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pbgs2\OneDrive\Documents\California Supportive Housing\HK+ and AFF 2025\0 Berkeley 141\26-4R1 Application\Completed\Entire Set to Upload\"/>
    </mc:Choice>
  </mc:AlternateContent>
  <xr:revisionPtr revIDLastSave="0" documentId="13_ncr:1_{720111F4-A680-4725-9F67-B416F94998C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20700" windowHeight="110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9" i="13" l="1"/>
  <c r="C95" i="13"/>
  <c r="C94" i="13"/>
  <c r="C93" i="13"/>
  <c r="C92" i="13"/>
  <c r="C91" i="13"/>
  <c r="C90" i="13"/>
  <c r="C89" i="13"/>
  <c r="C86" i="13"/>
  <c r="C85" i="13"/>
  <c r="C84" i="13"/>
  <c r="C83" i="13"/>
  <c r="C80" i="13"/>
  <c r="C79" i="13"/>
  <c r="C75" i="13"/>
  <c r="C69"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4" i="13"/>
  <c r="Z678" i="3" l="1"/>
  <c r="Z677" i="3"/>
  <c r="Z676" i="3"/>
  <c r="M257" i="3"/>
  <c r="M265" i="3" s="1"/>
  <c r="G136" i="21" l="1"/>
  <c r="C65" i="7" l="1"/>
  <c r="C66" i="7" s="1"/>
  <c r="A67" i="7" l="1"/>
  <c r="C568" i="3" l="1"/>
  <c r="F30" i="4" l="1"/>
  <c r="AH550" i="3" l="1"/>
  <c r="AG452" i="3"/>
  <c r="E84" i="4" l="1"/>
  <c r="F74" i="4"/>
  <c r="E69" i="4"/>
  <c r="E65" i="4"/>
  <c r="E53" i="4"/>
  <c r="E52" i="4"/>
  <c r="E51" i="4"/>
  <c r="E50" i="4"/>
  <c r="E49" i="4"/>
  <c r="E48" i="4"/>
  <c r="E47" i="4"/>
  <c r="E41" i="4"/>
  <c r="E35" i="4"/>
  <c r="E34" i="4"/>
  <c r="E29" i="4"/>
  <c r="C9" i="4"/>
  <c r="G679" i="3"/>
  <c r="Z671" i="3"/>
  <c r="G671" i="3"/>
  <c r="Z663" i="3"/>
  <c r="G663" i="3"/>
  <c r="Z679" i="3" s="1"/>
  <c r="Q641" i="3"/>
  <c r="Q640" i="3"/>
  <c r="Q636" i="3"/>
  <c r="Q635" i="3"/>
  <c r="H581" i="3"/>
  <c r="H656" i="3" s="1"/>
  <c r="AA590" i="3"/>
  <c r="AO641" i="3"/>
  <c r="L30" i="4" s="1"/>
  <c r="T564" i="3"/>
  <c r="Q564" i="3"/>
  <c r="C641" i="3"/>
  <c r="A68" i="7" s="1"/>
  <c r="C635" i="3"/>
  <c r="AV118" i="20" l="1" a="1"/>
  <c r="AV118" i="20" s="1"/>
  <c r="AV116" i="20" a="1"/>
  <c r="AV116" i="20" s="1"/>
  <c r="AV115" i="20" a="1"/>
  <c r="AV115" i="20" s="1"/>
  <c r="F75" i="4"/>
  <c r="E80" i="4"/>
  <c r="E43" i="4"/>
  <c r="E40" i="4"/>
  <c r="I430" i="3"/>
  <c r="AA306" i="3"/>
  <c r="AA305" i="3"/>
  <c r="H300" i="3"/>
  <c r="AA308" i="3" s="1"/>
  <c r="L288" i="3"/>
  <c r="L287" i="3"/>
  <c r="L286" i="3"/>
  <c r="H299" i="3" s="1"/>
  <c r="L285" i="3"/>
  <c r="L284" i="3"/>
  <c r="AC262" i="3"/>
  <c r="AC254" i="3"/>
  <c r="W262" i="3"/>
  <c r="M264" i="3"/>
  <c r="M263" i="3"/>
  <c r="M256" i="3"/>
  <c r="M255" i="3"/>
  <c r="M262" i="3"/>
  <c r="M261" i="3"/>
  <c r="W254" i="3"/>
  <c r="M254" i="3"/>
  <c r="M253" i="3"/>
  <c r="E4"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G100" i="21"/>
  <c r="B96" i="21"/>
  <c r="B81" i="21"/>
  <c r="B106" i="21"/>
  <c r="B49" i="21"/>
  <c r="B58" i="21"/>
  <c r="C5" i="7" l="1"/>
  <c r="BE10" i="3"/>
  <c r="BE11" i="3" s="1"/>
  <c r="P18" i="21"/>
  <c r="BE12" i="3" l="1"/>
  <c r="BE13" i="3" s="1"/>
  <c r="BE14" i="3" s="1"/>
  <c r="BE15" i="3" s="1"/>
  <c r="G159" i="21"/>
  <c r="I17" i="21" s="1"/>
  <c r="AG453" i="3" l="1"/>
  <c r="BN150" i="3" l="1"/>
  <c r="C177" i="20" l="1"/>
  <c r="U387" i="20"/>
  <c r="AJ724" i="20"/>
  <c r="L90" i="21"/>
  <c r="X760" i="3" l="1"/>
  <c r="AH760" i="3"/>
  <c r="BF759" i="3"/>
  <c r="BS759" i="3"/>
  <c r="BS760" i="3"/>
  <c r="AJ1029" i="3"/>
  <c r="BF748" i="3" l="1"/>
  <c r="AH759" i="3"/>
  <c r="AH750" i="3"/>
  <c r="AY1036" i="3"/>
  <c r="G761" i="3"/>
  <c r="AG446" i="3" l="1"/>
  <c r="Z821" i="3"/>
  <c r="AX703" i="20"/>
  <c r="AX702" i="20"/>
  <c r="AJ738" i="20"/>
  <c r="AO610" i="20"/>
  <c r="AP596" i="20"/>
  <c r="AG448" i="3" l="1"/>
  <c r="AG449" i="3" s="1"/>
  <c r="BE39" i="3"/>
  <c r="BA1047" i="3"/>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BE40" i="3" l="1"/>
  <c r="T212" i="3"/>
  <c r="BA1051" i="3" s="1"/>
  <c r="BD1060" i="3" s="1" a="1"/>
  <c r="BD1060" i="3" s="1"/>
  <c r="AG450" i="3"/>
  <c r="AG454" i="3" s="1"/>
  <c r="C765" i="3"/>
  <c r="X750" i="3"/>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F1035" i="3"/>
  <c r="AF1030" i="3"/>
  <c r="A40" i="7"/>
  <c r="E33" i="7"/>
  <c r="E32" i="7"/>
  <c r="E31" i="7"/>
  <c r="E30" i="7"/>
  <c r="E29"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CZ734" i="3"/>
  <c r="CZ735" i="3"/>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DE737" i="3"/>
  <c r="DE738" i="3"/>
  <c r="FO738" i="3" s="1"/>
  <c r="DE739" i="3"/>
  <c r="FO739" i="3" s="1"/>
  <c r="DE740" i="3"/>
  <c r="FO740" i="3" s="1"/>
  <c r="DE741" i="3"/>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0" i="20" a="1"/>
  <c r="AV120" i="20" s="1"/>
  <c r="AV119" i="20" a="1"/>
  <c r="AV119" i="20" s="1"/>
  <c r="AV117" i="20" a="1"/>
  <c r="AV117"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B66" i="13"/>
  <c r="B67" i="13"/>
  <c r="B68" i="13"/>
  <c r="B69" i="13"/>
  <c r="A53" i="13"/>
  <c r="H36" i="13"/>
  <c r="B36" i="13"/>
  <c r="H24" i="13"/>
  <c r="B24" i="13"/>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23" i="20"/>
  <c r="AQ124" i="20"/>
  <c r="AQ125"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84" i="4"/>
  <c r="S84" i="4" s="1"/>
  <c r="E84" i="13" s="1"/>
  <c r="B59" i="4"/>
  <c r="E59" i="4" s="1"/>
  <c r="R59" i="4" s="1"/>
  <c r="C80" i="11"/>
  <c r="C81" i="11"/>
  <c r="B80" i="11"/>
  <c r="B81" i="11"/>
  <c r="I96" i="13"/>
  <c r="J96" i="13"/>
  <c r="J81" i="13"/>
  <c r="I81" i="13"/>
  <c r="G81" i="13"/>
  <c r="F81" i="13"/>
  <c r="D81" i="13"/>
  <c r="C81" i="13"/>
  <c r="H80" i="13"/>
  <c r="B80" i="13"/>
  <c r="R80" i="4"/>
  <c r="S80" i="4" s="1"/>
  <c r="E80" i="13" s="1"/>
  <c r="D81" i="4"/>
  <c r="F81" i="4"/>
  <c r="G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27" i="13"/>
  <c r="E15" i="13"/>
  <c r="E14" i="13"/>
  <c r="E13" i="13"/>
  <c r="E10" i="13"/>
  <c r="B95" i="13"/>
  <c r="B94" i="13"/>
  <c r="B93" i="13"/>
  <c r="B92" i="13"/>
  <c r="B91" i="13"/>
  <c r="B90" i="13"/>
  <c r="B89" i="13"/>
  <c r="B88" i="13"/>
  <c r="B87" i="13"/>
  <c r="B86" i="13"/>
  <c r="B84" i="13"/>
  <c r="B83" i="13"/>
  <c r="B79"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75" i="4"/>
  <c r="R72" i="4"/>
  <c r="R73" i="4"/>
  <c r="R74" i="4"/>
  <c r="R69" i="4"/>
  <c r="S69" i="4" s="1"/>
  <c r="E69" i="13" s="1"/>
  <c r="R65" i="4"/>
  <c r="S65" i="4" s="1"/>
  <c r="R53" i="4"/>
  <c r="S53" i="4" s="1"/>
  <c r="E53" i="13" s="1"/>
  <c r="R52" i="4"/>
  <c r="S52" i="4" s="1"/>
  <c r="E52" i="13" s="1"/>
  <c r="R51" i="4"/>
  <c r="S51" i="4" s="1"/>
  <c r="E51" i="13" s="1"/>
  <c r="R50" i="4"/>
  <c r="S50" i="4" s="1"/>
  <c r="E50" i="13" s="1"/>
  <c r="R49" i="4"/>
  <c r="S49" i="4" s="1"/>
  <c r="E49" i="13" s="1"/>
  <c r="R48" i="4"/>
  <c r="S48" i="4" s="1"/>
  <c r="E48" i="13" s="1"/>
  <c r="R47" i="4"/>
  <c r="S47" i="4" s="1"/>
  <c r="E47" i="13" s="1"/>
  <c r="R43" i="4"/>
  <c r="S43" i="4" s="1"/>
  <c r="E43" i="13" s="1"/>
  <c r="R41" i="4"/>
  <c r="S41" i="4" s="1"/>
  <c r="E41" i="13" s="1"/>
  <c r="R40" i="4"/>
  <c r="S40" i="4" s="1"/>
  <c r="E40" i="13" s="1"/>
  <c r="R37" i="4"/>
  <c r="S37" i="4" s="1"/>
  <c r="E37" i="13" s="1"/>
  <c r="R35" i="4"/>
  <c r="S35" i="4" s="1"/>
  <c r="E35" i="13" s="1"/>
  <c r="R34" i="4"/>
  <c r="S34" i="4" s="1"/>
  <c r="E34" i="13" s="1"/>
  <c r="R29" i="4"/>
  <c r="S29" i="4" s="1"/>
  <c r="R27" i="4"/>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84" i="11"/>
  <c r="C84" i="11"/>
  <c r="A4" i="8"/>
  <c r="D4" i="8"/>
  <c r="A5" i="8"/>
  <c r="A6" i="8"/>
  <c r="D6" i="8"/>
  <c r="A7" i="8"/>
  <c r="D7" i="8"/>
  <c r="I7" i="8" s="1"/>
  <c r="A8" i="8"/>
  <c r="D8" i="8"/>
  <c r="A9" i="8"/>
  <c r="D9" i="8"/>
  <c r="A10" i="8"/>
  <c r="D10" i="8"/>
  <c r="A11" i="8"/>
  <c r="A12" i="8"/>
  <c r="A13" i="8"/>
  <c r="A14" i="8"/>
  <c r="A15" i="8"/>
  <c r="A16" i="8"/>
  <c r="D16" i="8"/>
  <c r="A17" i="8"/>
  <c r="D17" i="8"/>
  <c r="A18" i="8"/>
  <c r="D18" i="8"/>
  <c r="A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H38" i="4"/>
  <c r="K38" i="4"/>
  <c r="L38" i="4"/>
  <c r="O38" i="4"/>
  <c r="P38" i="4"/>
  <c r="P42" i="4"/>
  <c r="P54" i="4"/>
  <c r="P62" i="4"/>
  <c r="P70" i="4"/>
  <c r="P77" i="4"/>
  <c r="P96" i="4"/>
  <c r="P104" i="4"/>
  <c r="Q38" i="4"/>
  <c r="B40" i="4"/>
  <c r="B41" i="4"/>
  <c r="E42" i="4"/>
  <c r="G42" i="4"/>
  <c r="H42" i="4"/>
  <c r="K42" i="4"/>
  <c r="L42" i="4"/>
  <c r="O42" i="4"/>
  <c r="Q42" i="4"/>
  <c r="B43" i="4"/>
  <c r="B45" i="4"/>
  <c r="E45" i="4" s="1"/>
  <c r="B46" i="4"/>
  <c r="E46" i="4" s="1"/>
  <c r="R46" i="4" s="1"/>
  <c r="S46" i="4" s="1"/>
  <c r="E46" i="13" s="1"/>
  <c r="B47" i="4"/>
  <c r="B48" i="4"/>
  <c r="B49" i="4"/>
  <c r="B50" i="4"/>
  <c r="B51" i="4"/>
  <c r="B52" i="4"/>
  <c r="B53" i="4"/>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70" i="4"/>
  <c r="F70" i="4"/>
  <c r="G70" i="4"/>
  <c r="H70" i="4"/>
  <c r="I70" i="4"/>
  <c r="K70" i="4"/>
  <c r="L70" i="4"/>
  <c r="Q70" i="4"/>
  <c r="B72" i="4"/>
  <c r="B73" i="4"/>
  <c r="B74" i="4"/>
  <c r="B75" i="4"/>
  <c r="E77" i="4"/>
  <c r="G77" i="4"/>
  <c r="H77" i="4"/>
  <c r="I77" i="4"/>
  <c r="K77" i="4"/>
  <c r="L77" i="4"/>
  <c r="Q77" i="4"/>
  <c r="B79" i="4"/>
  <c r="B83" i="4"/>
  <c r="E83" i="4" s="1"/>
  <c r="R83" i="4" s="1"/>
  <c r="B84" i="4"/>
  <c r="B86" i="4"/>
  <c r="E86" i="4" s="1"/>
  <c r="R86" i="4" s="1"/>
  <c r="S86" i="4" s="1"/>
  <c r="E86" i="13" s="1"/>
  <c r="B87" i="4"/>
  <c r="E87" i="4" s="1"/>
  <c r="R87" i="4" s="1"/>
  <c r="S87" i="4" s="1"/>
  <c r="E87" i="13" s="1"/>
  <c r="B88" i="4"/>
  <c r="E88" i="4" s="1"/>
  <c r="R88" i="4" s="1"/>
  <c r="B89" i="4"/>
  <c r="E89" i="4" s="1"/>
  <c r="R89" i="4" s="1"/>
  <c r="S89" i="4" s="1"/>
  <c r="E89" i="13" s="1"/>
  <c r="B90" i="4"/>
  <c r="E90" i="4" s="1"/>
  <c r="R90" i="4" s="1"/>
  <c r="S90" i="4" s="1"/>
  <c r="E90" i="13" s="1"/>
  <c r="B91" i="4"/>
  <c r="E91" i="4" s="1"/>
  <c r="R91" i="4" s="1"/>
  <c r="S91" i="4" s="1"/>
  <c r="E91" i="13" s="1"/>
  <c r="B92" i="4"/>
  <c r="E92" i="4" s="1"/>
  <c r="R92" i="4" s="1"/>
  <c r="S92" i="4" s="1"/>
  <c r="E92" i="13" s="1"/>
  <c r="B93" i="4"/>
  <c r="E93" i="4" s="1"/>
  <c r="R93" i="4" s="1"/>
  <c r="S93" i="4" s="1"/>
  <c r="E93" i="13" s="1"/>
  <c r="B94" i="4"/>
  <c r="E94" i="4" s="1"/>
  <c r="R94" i="4" s="1"/>
  <c r="S94" i="4" s="1"/>
  <c r="E94" i="13" s="1"/>
  <c r="B95" i="4"/>
  <c r="E95" i="4" s="1"/>
  <c r="R95" i="4" s="1"/>
  <c r="S95" i="4" s="1"/>
  <c r="E95" i="13" s="1"/>
  <c r="F96" i="4"/>
  <c r="G96" i="4"/>
  <c r="H96" i="4"/>
  <c r="I96" i="4"/>
  <c r="K96" i="4"/>
  <c r="L96" i="4"/>
  <c r="Q96" i="4"/>
  <c r="B101" i="4"/>
  <c r="B102" i="4"/>
  <c r="B103" i="4"/>
  <c r="F104" i="4"/>
  <c r="G104" i="4"/>
  <c r="H104" i="4"/>
  <c r="K104" i="4"/>
  <c r="L104" i="4"/>
  <c r="Q104" i="4"/>
  <c r="F108" i="4"/>
  <c r="J108" i="4"/>
  <c r="J99"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H664" i="3" s="1"/>
  <c r="Z659" i="3"/>
  <c r="AA664" i="3" s="1"/>
  <c r="G667" i="3"/>
  <c r="H672" i="3" s="1"/>
  <c r="Z667" i="3"/>
  <c r="G675" i="3"/>
  <c r="Z675" i="3"/>
  <c r="G683" i="3"/>
  <c r="Z683" i="3"/>
  <c r="G691" i="3"/>
  <c r="Z691" i="3"/>
  <c r="X726" i="3"/>
  <c r="AH726" i="3" s="1"/>
  <c r="X728" i="3"/>
  <c r="X729" i="3"/>
  <c r="X730" i="3"/>
  <c r="AH730" i="3" s="1"/>
  <c r="X731" i="3"/>
  <c r="AH731" i="3" s="1"/>
  <c r="X732" i="3"/>
  <c r="AH732" i="3" s="1"/>
  <c r="X738" i="3"/>
  <c r="AH738" i="3" s="1"/>
  <c r="X739" i="3"/>
  <c r="AH739" i="3" s="1"/>
  <c r="X740" i="3"/>
  <c r="AH740" i="3" s="1"/>
  <c r="X742" i="3"/>
  <c r="X743" i="3"/>
  <c r="X744" i="3"/>
  <c r="X745" i="3"/>
  <c r="X746" i="3"/>
  <c r="X747" i="3"/>
  <c r="X748" i="3"/>
  <c r="X749" i="3"/>
  <c r="M840" i="3"/>
  <c r="Q840" i="3"/>
  <c r="U840" i="3"/>
  <c r="Y840" i="3"/>
  <c r="AC840" i="3"/>
  <c r="AG840" i="3"/>
  <c r="Z911" i="3"/>
  <c r="J104" i="4" l="1"/>
  <c r="E54" i="4"/>
  <c r="S70" i="4"/>
  <c r="E70" i="13" s="1"/>
  <c r="H9" i="13"/>
  <c r="E62" i="4"/>
  <c r="E65" i="13"/>
  <c r="S26" i="4"/>
  <c r="E26" i="13" s="1"/>
  <c r="S42" i="4"/>
  <c r="E42" i="13" s="1"/>
  <c r="R45" i="4"/>
  <c r="S45" i="4" s="1"/>
  <c r="E29" i="13"/>
  <c r="B26" i="4"/>
  <c r="D35" i="11"/>
  <c r="B8" i="13"/>
  <c r="T20" i="21"/>
  <c r="AD7" i="15"/>
  <c r="AD68" i="15"/>
  <c r="BE24" i="3"/>
  <c r="BE69" i="3"/>
  <c r="D36" i="11"/>
  <c r="D94" i="11"/>
  <c r="D87" i="11"/>
  <c r="D103" i="11"/>
  <c r="D6" i="11"/>
  <c r="D25" i="11"/>
  <c r="D91" i="11"/>
  <c r="D54" i="11"/>
  <c r="D90" i="11"/>
  <c r="D70" i="11"/>
  <c r="D93" i="11"/>
  <c r="D85" i="11"/>
  <c r="D89" i="11"/>
  <c r="D101" i="11"/>
  <c r="D92" i="11"/>
  <c r="D96" i="11"/>
  <c r="D88" i="11"/>
  <c r="D104" i="11"/>
  <c r="C82" i="11"/>
  <c r="B8" i="4"/>
  <c r="N184" i="24" s="1"/>
  <c r="D95" i="11"/>
  <c r="C12" i="4"/>
  <c r="B12" i="13" s="1"/>
  <c r="D75" i="11"/>
  <c r="D62" i="11"/>
  <c r="D58" i="11"/>
  <c r="D47" i="11"/>
  <c r="L12" i="4"/>
  <c r="D38" i="11"/>
  <c r="B42" i="4"/>
  <c r="H12" i="4"/>
  <c r="D51" i="11"/>
  <c r="D49" i="11"/>
  <c r="D48" i="11"/>
  <c r="D20" i="11"/>
  <c r="D15" i="11"/>
  <c r="D8" i="11"/>
  <c r="D41" i="11"/>
  <c r="D12" i="13"/>
  <c r="D74" i="11"/>
  <c r="C12" i="13"/>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71" i="11"/>
  <c r="O12" i="4"/>
  <c r="D10" i="11"/>
  <c r="B43" i="11"/>
  <c r="Q12" i="4"/>
  <c r="K12" i="4"/>
  <c r="D61" i="11"/>
  <c r="D57" i="11"/>
  <c r="B9" i="11"/>
  <c r="J12" i="4"/>
  <c r="B54" i="4"/>
  <c r="D30" i="11"/>
  <c r="D22" i="11"/>
  <c r="D80" i="11"/>
  <c r="B62" i="4"/>
  <c r="O63" i="4"/>
  <c r="O97" i="4" s="1"/>
  <c r="O105" i="4" s="1"/>
  <c r="M63" i="4"/>
  <c r="M97" i="4" s="1"/>
  <c r="M105" i="4" s="1"/>
  <c r="N12" i="4"/>
  <c r="I12" i="4"/>
  <c r="B70" i="4"/>
  <c r="D102" i="11"/>
  <c r="P63" i="4"/>
  <c r="P97" i="4" s="1"/>
  <c r="P105" i="4" s="1"/>
  <c r="F63" i="4"/>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J63" i="13"/>
  <c r="J97" i="13" s="1"/>
  <c r="J105" i="13" s="1"/>
  <c r="J107" i="13" s="1"/>
  <c r="D81" i="11"/>
  <c r="D60" i="11"/>
  <c r="M12" i="4"/>
  <c r="D63" i="4"/>
  <c r="D97" i="4" s="1"/>
  <c r="D105" i="4" s="1"/>
  <c r="BE68" i="3" s="1"/>
  <c r="R26" i="4"/>
  <c r="R42" i="4"/>
  <c r="R62" i="4"/>
  <c r="D63" i="13"/>
  <c r="D97" i="13" s="1"/>
  <c r="D105" i="13" s="1"/>
  <c r="C55" i="11"/>
  <c r="D23" i="11"/>
  <c r="D19" i="11"/>
  <c r="D14" i="11"/>
  <c r="D7" i="11"/>
  <c r="R8" i="4"/>
  <c r="G63" i="13"/>
  <c r="G97" i="13" s="1"/>
  <c r="G105" i="13" s="1"/>
  <c r="G107" i="13" s="1"/>
  <c r="M53" i="7"/>
  <c r="K58" i="7"/>
  <c r="C27" i="11"/>
  <c r="D46" i="11"/>
  <c r="B82" i="11"/>
  <c r="H63" i="4"/>
  <c r="I58" i="7"/>
  <c r="C9" i="11"/>
  <c r="B63" i="11"/>
  <c r="T63" i="4"/>
  <c r="D84" i="11"/>
  <c r="B54" i="13"/>
  <c r="K63" i="4"/>
  <c r="K97" i="4" s="1"/>
  <c r="K105" i="4" s="1"/>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AC898" i="3" s="1"/>
  <c r="E28" i="7" s="1"/>
  <c r="Q28" i="7" s="1"/>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54" i="4" l="1"/>
  <c r="K28" i="7"/>
  <c r="S28" i="7"/>
  <c r="M28" i="7"/>
  <c r="U28" i="7"/>
  <c r="G28" i="7"/>
  <c r="Y28" i="7"/>
  <c r="AA28" i="7"/>
  <c r="AG28" i="7"/>
  <c r="O28" i="7"/>
  <c r="I28" i="7"/>
  <c r="AE28" i="7"/>
  <c r="W28" i="7"/>
  <c r="AC28" i="7"/>
  <c r="S54" i="4"/>
  <c r="E54" i="13" s="1"/>
  <c r="E45" i="13"/>
  <c r="AJ634" i="20"/>
  <c r="AK816" i="20" s="1"/>
  <c r="T841" i="20" s="1"/>
  <c r="AF841" i="20" s="1"/>
  <c r="BE82" i="3" s="1"/>
  <c r="G108" i="21"/>
  <c r="D43" i="11"/>
  <c r="D71" i="11"/>
  <c r="B12" i="4"/>
  <c r="D55" i="11"/>
  <c r="D82" i="11"/>
  <c r="R12" i="4"/>
  <c r="D12" i="11"/>
  <c r="D63" i="11"/>
  <c r="B13" i="11"/>
  <c r="D27" i="11"/>
  <c r="T97" i="4"/>
  <c r="T99" i="4" s="1"/>
  <c r="H63" i="13"/>
  <c r="BE71" i="3"/>
  <c r="D9" i="11"/>
  <c r="C13" i="11"/>
  <c r="O53" i="7"/>
  <c r="M58" i="7"/>
  <c r="BA1048" i="3"/>
  <c r="BA1057" i="3" s="1" a="1"/>
  <c r="BA1057" i="3" s="1"/>
  <c r="AS373" i="20"/>
  <c r="G9" i="7"/>
  <c r="G153" i="21"/>
  <c r="AY1014" i="3"/>
  <c r="DX643" i="3"/>
  <c r="BG760" i="3"/>
  <c r="BH760" i="3" s="1"/>
  <c r="BG759" i="3"/>
  <c r="BH759" i="3" s="1"/>
  <c r="BT727" i="3"/>
  <c r="BT735" i="3"/>
  <c r="BT743" i="3"/>
  <c r="BU743" i="3" s="1"/>
  <c r="BT751" i="3"/>
  <c r="BU751" i="3" s="1"/>
  <c r="BT760" i="3"/>
  <c r="BU760" i="3" s="1"/>
  <c r="BT728" i="3"/>
  <c r="BU728" i="3" s="1"/>
  <c r="BT736" i="3"/>
  <c r="BT744" i="3"/>
  <c r="BU744" i="3" s="1"/>
  <c r="BT752" i="3"/>
  <c r="BU752" i="3" s="1"/>
  <c r="BT726" i="3"/>
  <c r="BU726" i="3" s="1"/>
  <c r="BT729" i="3"/>
  <c r="BU729" i="3" s="1"/>
  <c r="BT737" i="3"/>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T750" i="3"/>
  <c r="BU750" i="3" s="1"/>
  <c r="BT733" i="3"/>
  <c r="BT741" i="3"/>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61" i="3"/>
  <c r="DX665" i="3"/>
  <c r="EC647" i="3"/>
  <c r="EC660" i="3"/>
  <c r="I1061" i="3"/>
  <c r="AY1015" i="3" s="1"/>
  <c r="AF837" i="20"/>
  <c r="BE79" i="3" s="1"/>
  <c r="Y27" i="15"/>
  <c r="AI27" i="15"/>
  <c r="T27" i="15"/>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62" i="3"/>
  <c r="EH647" i="3"/>
  <c r="EH659" i="3"/>
  <c r="EH643" i="3"/>
  <c r="EH655" i="3"/>
  <c r="EH653" i="3"/>
  <c r="EH657" i="3"/>
  <c r="EH658" i="3"/>
  <c r="EH677" i="3"/>
  <c r="EH646" i="3"/>
  <c r="EH660" i="3"/>
  <c r="EH656" i="3"/>
  <c r="EH644" i="3"/>
  <c r="DD763" i="3"/>
  <c r="EH648" i="3"/>
  <c r="EH663" i="3"/>
  <c r="EH665" i="3"/>
  <c r="EH654" i="3"/>
  <c r="EH664" i="3"/>
  <c r="EH676" i="3"/>
  <c r="G42" i="21" a="1"/>
  <c r="G42" i="21" s="1"/>
  <c r="G43" i="21" s="1"/>
  <c r="O30" i="21" s="1"/>
  <c r="DX657" i="3"/>
  <c r="DX648" i="3"/>
  <c r="DX650" i="3"/>
  <c r="DX649" i="3"/>
  <c r="DX664" i="3"/>
  <c r="DX660" i="3"/>
  <c r="DX655" i="3"/>
  <c r="DX663" i="3"/>
  <c r="DX652" i="3"/>
  <c r="DX662" i="3"/>
  <c r="DX656" i="3"/>
  <c r="DO762" i="3"/>
  <c r="DX659" i="3"/>
  <c r="DX646" i="3"/>
  <c r="DX658" i="3"/>
  <c r="DX651" i="3"/>
  <c r="EH661" i="3"/>
  <c r="EW659" i="3"/>
  <c r="DX645" i="3"/>
  <c r="ER658" i="3"/>
  <c r="AW118" i="20"/>
  <c r="DX653" i="3"/>
  <c r="CU810" i="3"/>
  <c r="AB996" i="3" s="1"/>
  <c r="AJ996" i="3" s="1"/>
  <c r="ER676" i="3"/>
  <c r="CT806" i="3"/>
  <c r="DU808" i="3" s="1"/>
  <c r="DU807" i="3"/>
  <c r="DE810" i="3"/>
  <c r="AB998" i="3" s="1"/>
  <c r="AJ998" i="3" s="1"/>
  <c r="EM661" i="3"/>
  <c r="EM649" i="3"/>
  <c r="EM662" i="3"/>
  <c r="DI763" i="3"/>
  <c r="EM677" i="3"/>
  <c r="EM645" i="3"/>
  <c r="EM665" i="3"/>
  <c r="EM663" i="3"/>
  <c r="EM676" i="3"/>
  <c r="EM648" i="3"/>
  <c r="EM655" i="3"/>
  <c r="EM647" i="3"/>
  <c r="EM657" i="3"/>
  <c r="EM650" i="3"/>
  <c r="EM664" i="3"/>
  <c r="EM652" i="3"/>
  <c r="EM646" i="3"/>
  <c r="EM656" i="3"/>
  <c r="EH645" i="3"/>
  <c r="ET807" i="3"/>
  <c r="EM643" i="3"/>
  <c r="EM651" i="3"/>
  <c r="E6" i="7"/>
  <c r="K15" i="7"/>
  <c r="E29" i="21"/>
  <c r="G24" i="21"/>
  <c r="O28" i="21" l="1"/>
  <c r="P28" i="21" s="1" a="1"/>
  <c r="P28" i="21" s="1"/>
  <c r="S28" i="21" s="1"/>
  <c r="O35" i="21"/>
  <c r="P35" i="21" s="1" a="1"/>
  <c r="P35" i="21" s="1"/>
  <c r="S35" i="21" s="1"/>
  <c r="O31" i="21"/>
  <c r="P31" i="21" s="1" a="1"/>
  <c r="P31" i="21" s="1"/>
  <c r="S31" i="21" s="1"/>
  <c r="O33" i="21"/>
  <c r="P33" i="21" s="1" a="1"/>
  <c r="P33" i="21" s="1"/>
  <c r="S33" i="21" s="1"/>
  <c r="O32" i="21"/>
  <c r="P32" i="21" s="1" a="1"/>
  <c r="P32" i="21" s="1"/>
  <c r="S32" i="21" s="1"/>
  <c r="O34" i="21"/>
  <c r="P34" i="21" s="1" a="1"/>
  <c r="P34" i="21" s="1"/>
  <c r="S34" i="21" s="1"/>
  <c r="T104" i="4"/>
  <c r="H104" i="13" s="1"/>
  <c r="H99" i="13"/>
  <c r="O20" i="21"/>
  <c r="P20" i="21" s="1" a="1"/>
  <c r="P20" i="21" s="1"/>
  <c r="S20" i="21" s="1"/>
  <c r="O26" i="21"/>
  <c r="P26" i="21" s="1" a="1"/>
  <c r="P26" i="21" s="1"/>
  <c r="S26" i="21" s="1"/>
  <c r="O29" i="21"/>
  <c r="P29" i="21" s="1" a="1"/>
  <c r="P29" i="21" s="1"/>
  <c r="S29" i="21" s="1"/>
  <c r="O27" i="21"/>
  <c r="P27" i="21" s="1" a="1"/>
  <c r="P27" i="21" s="1"/>
  <c r="S27"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30" i="21" a="1"/>
  <c r="P30" i="21" s="1"/>
  <c r="S30" i="21" s="1"/>
  <c r="DU763" i="3"/>
  <c r="O764" i="3" s="1"/>
  <c r="BG761" i="3"/>
  <c r="BT761" i="3"/>
  <c r="AX708" i="20"/>
  <c r="AO708" i="20" s="1"/>
  <c r="BH726" i="3"/>
  <c r="AW121" i="20"/>
  <c r="K8" i="7"/>
  <c r="M8" i="7" s="1"/>
  <c r="EC678" i="3"/>
  <c r="J129" i="20" s="1"/>
  <c r="J132" i="20" s="1"/>
  <c r="J135" i="20" s="1"/>
  <c r="EW678" i="3"/>
  <c r="AD129" i="20" s="1"/>
  <c r="AD132" i="20" s="1"/>
  <c r="AD135" i="20" s="1"/>
  <c r="ER678" i="3"/>
  <c r="Y129" i="20" s="1"/>
  <c r="Y132" i="20" s="1"/>
  <c r="Y135" i="20" s="1"/>
  <c r="AJ995" i="3"/>
  <c r="AB999" i="3"/>
  <c r="AJ999" i="3" s="1"/>
  <c r="G6" i="7"/>
  <c r="E7" i="7"/>
  <c r="M15" i="7"/>
  <c r="F27" i="21"/>
  <c r="G52" i="21"/>
  <c r="G54" i="21" s="1"/>
  <c r="G56" i="21" s="1"/>
  <c r="E12" i="21" s="1"/>
  <c r="F28" i="21"/>
  <c r="G28" i="21" s="1"/>
  <c r="G61" i="21"/>
  <c r="G63" i="21" s="1"/>
  <c r="G65" i="21" s="1"/>
  <c r="E13" i="21" s="1"/>
  <c r="AK190" i="20" l="1"/>
  <c r="T827" i="20"/>
  <c r="AF827" i="20" s="1"/>
  <c r="H105" i="13"/>
  <c r="T107" i="4"/>
  <c r="Q58" i="7"/>
  <c r="S53" i="7"/>
  <c r="G45" i="21"/>
  <c r="G47" i="21" s="1"/>
  <c r="E10" i="21" s="1"/>
  <c r="E11" i="21"/>
  <c r="AP718" i="20"/>
  <c r="AP719" i="20"/>
  <c r="K9" i="7"/>
  <c r="AJ1001" i="3"/>
  <c r="AB1000" i="3"/>
  <c r="DU810" i="3"/>
  <c r="U386" i="20" s="1"/>
  <c r="P430" i="3"/>
  <c r="I6" i="7"/>
  <c r="G7" i="7"/>
  <c r="O15" i="7"/>
  <c r="M9" i="7"/>
  <c r="O8" i="7"/>
  <c r="G27" i="21"/>
  <c r="F26" i="21"/>
  <c r="AJ1003" i="3" l="1"/>
  <c r="AJ1045" i="3"/>
  <c r="I15" i="21" s="1"/>
  <c r="AJ1016" i="3"/>
  <c r="AJ1038" i="3"/>
  <c r="H107" i="13"/>
  <c r="BE72" i="3"/>
  <c r="T833" i="20"/>
  <c r="AF833" i="20" s="1"/>
  <c r="BE76" i="3" s="1"/>
  <c r="S58" i="7"/>
  <c r="U53" i="7"/>
  <c r="AJ1054" i="3"/>
  <c r="AJ1058" i="3"/>
  <c r="AP563" i="20"/>
  <c r="K6" i="7"/>
  <c r="I7" i="7"/>
  <c r="G26" i="21"/>
  <c r="F29" i="21"/>
  <c r="G29" i="21"/>
  <c r="Q15" i="7"/>
  <c r="O9" i="7"/>
  <c r="Q8" i="7"/>
  <c r="AD11" i="15" l="1"/>
  <c r="AD23" i="15" s="1"/>
  <c r="AD26" i="15" s="1"/>
  <c r="AD28" i="15" s="1"/>
  <c r="AI11" i="15"/>
  <c r="AI23" i="15" s="1"/>
  <c r="AI26" i="15" s="1"/>
  <c r="AI28" i="15" s="1"/>
  <c r="AP566" i="20"/>
  <c r="U58" i="7"/>
  <c r="W53" i="7"/>
  <c r="AJ1062" i="3"/>
  <c r="AP565" i="20"/>
  <c r="M6" i="7"/>
  <c r="K7" i="7"/>
  <c r="S15" i="7"/>
  <c r="G93" i="21"/>
  <c r="G31" i="21"/>
  <c r="G33" i="21" s="1"/>
  <c r="E9" i="21" s="1"/>
  <c r="G102" i="21"/>
  <c r="G104" i="21" s="1"/>
  <c r="E16" i="21" s="1"/>
  <c r="G125" i="21"/>
  <c r="G110" i="21"/>
  <c r="Q9" i="7"/>
  <c r="S8" i="7"/>
  <c r="AP567" i="20" l="1"/>
  <c r="G94" i="21"/>
  <c r="E15" i="21" s="1"/>
  <c r="W58" i="7"/>
  <c r="Y53" i="7"/>
  <c r="T24" i="15"/>
  <c r="AP570" i="20"/>
  <c r="AP569" i="20" s="1"/>
  <c r="M7" i="7"/>
  <c r="O6" i="7"/>
  <c r="G115" i="21"/>
  <c r="G127" i="21"/>
  <c r="G111" i="21"/>
  <c r="U15" i="7"/>
  <c r="U8" i="7"/>
  <c r="S9" i="7"/>
  <c r="AP572" i="20" l="1"/>
  <c r="AF565" i="20" s="1"/>
  <c r="AA53" i="7"/>
  <c r="Y58" i="7"/>
  <c r="G129" i="21"/>
  <c r="E17" i="21" s="1"/>
  <c r="E14" i="21" s="1"/>
  <c r="E18" i="21" s="1"/>
  <c r="O7" i="7"/>
  <c r="Q6" i="7"/>
  <c r="W15" i="7"/>
  <c r="U9" i="7"/>
  <c r="W8" i="7"/>
  <c r="AC53" i="7" l="1"/>
  <c r="AA58" i="7"/>
  <c r="Q7" i="7"/>
  <c r="S6" i="7"/>
  <c r="Y15" i="7"/>
  <c r="W9" i="7"/>
  <c r="Y8" i="7"/>
  <c r="AE53" i="7" l="1"/>
  <c r="AC58" i="7"/>
  <c r="S7" i="7"/>
  <c r="U6" i="7"/>
  <c r="AA15" i="7"/>
  <c r="Y9" i="7"/>
  <c r="AA8" i="7"/>
  <c r="AG53" i="7" l="1"/>
  <c r="AG58" i="7" s="1"/>
  <c r="AE58" i="7"/>
  <c r="U7" i="7"/>
  <c r="W6" i="7"/>
  <c r="AC15" i="7"/>
  <c r="AC8" i="7"/>
  <c r="AA9" i="7"/>
  <c r="Y6" i="7" l="1"/>
  <c r="W7" i="7"/>
  <c r="AE15" i="7"/>
  <c r="AC9" i="7"/>
  <c r="AE8" i="7"/>
  <c r="Y7" i="7" l="1"/>
  <c r="AA6" i="7"/>
  <c r="AG15" i="7"/>
  <c r="AE9" i="7"/>
  <c r="AG8" i="7"/>
  <c r="AG9" i="7" s="1"/>
  <c r="AC6" i="7" l="1"/>
  <c r="AA7" i="7"/>
  <c r="AE6" i="7" l="1"/>
  <c r="AC7" i="7"/>
  <c r="AE7" i="7" l="1"/>
  <c r="AG6" i="7"/>
  <c r="AG7" i="7" l="1"/>
  <c r="BH761" i="3" l="1"/>
  <c r="AC761" i="3" s="1"/>
  <c r="BE42" i="3" l="1"/>
  <c r="E92" i="20"/>
  <c r="E93" i="20" s="1"/>
  <c r="E94" i="20" s="1"/>
  <c r="E102" i="20"/>
  <c r="E105" i="20" s="1"/>
  <c r="AP105" i="20" s="1"/>
  <c r="AK108" i="20" s="1"/>
  <c r="T828" i="20" s="1"/>
  <c r="AF828" i="20" s="1"/>
  <c r="BE73" i="3" l="1"/>
  <c r="H3" i="21"/>
  <c r="G30" i="4" l="1"/>
  <c r="G38" i="4" s="1"/>
  <c r="G63" i="4" s="1"/>
  <c r="G97" i="4" s="1"/>
  <c r="G105" i="4" s="1"/>
  <c r="G108" i="4"/>
  <c r="AA927" i="3" l="1"/>
  <c r="AW927" i="3"/>
  <c r="AG927" i="3" s="1"/>
  <c r="BE21" i="3"/>
  <c r="X727" i="3" l="1"/>
  <c r="AH727" i="3" s="1"/>
  <c r="D5" i="8"/>
  <c r="AQ112" i="20"/>
  <c r="EZ727" i="3"/>
  <c r="EZ761" i="3" l="1"/>
  <c r="DX644" i="3"/>
  <c r="DX678" i="3" s="1"/>
  <c r="E129" i="20" s="1"/>
  <c r="E132" i="20" s="1"/>
  <c r="E135" i="20" s="1"/>
  <c r="BU727" i="3"/>
  <c r="F76" i="4" l="1"/>
  <c r="B76" i="4"/>
  <c r="B77" i="11"/>
  <c r="B78" i="11" s="1"/>
  <c r="C77" i="4"/>
  <c r="C77" i="11"/>
  <c r="B76" i="13"/>
  <c r="E40" i="7"/>
  <c r="C78" i="11" l="1"/>
  <c r="D77" i="11"/>
  <c r="B77" i="13"/>
  <c r="B77" i="4"/>
  <c r="R76" i="4"/>
  <c r="R77" i="4" s="1"/>
  <c r="F77" i="4"/>
  <c r="F97" i="4" s="1"/>
  <c r="F105" i="4" s="1"/>
  <c r="Q40" i="7"/>
  <c r="Q43" i="7" s="1"/>
  <c r="O40" i="7"/>
  <c r="O43" i="7" s="1"/>
  <c r="AA40" i="7"/>
  <c r="AA43" i="7" s="1"/>
  <c r="AC40" i="7"/>
  <c r="AC43" i="7" s="1"/>
  <c r="Y40" i="7"/>
  <c r="Y43" i="7" s="1"/>
  <c r="I40" i="7"/>
  <c r="I43" i="7" s="1"/>
  <c r="K40" i="7"/>
  <c r="K43" i="7" s="1"/>
  <c r="E43" i="7"/>
  <c r="G40" i="7"/>
  <c r="G43" i="7" s="1"/>
  <c r="AE40" i="7"/>
  <c r="AE43" i="7" s="1"/>
  <c r="S40" i="7"/>
  <c r="S43" i="7" s="1"/>
  <c r="U40" i="7"/>
  <c r="U43" i="7" s="1"/>
  <c r="M40" i="7"/>
  <c r="M43" i="7" s="1"/>
  <c r="AG40" i="7"/>
  <c r="AG43" i="7" s="1"/>
  <c r="W40" i="7"/>
  <c r="W43" i="7" s="1"/>
  <c r="B33" i="13" l="1"/>
  <c r="C34" i="11"/>
  <c r="B33" i="4"/>
  <c r="E33" i="4"/>
  <c r="R33" i="4" s="1"/>
  <c r="S33" i="4" s="1"/>
  <c r="E33" i="13" s="1"/>
  <c r="B34" i="11"/>
  <c r="E31" i="4"/>
  <c r="R31" i="4" s="1"/>
  <c r="S31" i="4" s="1"/>
  <c r="E31" i="13" s="1"/>
  <c r="B31" i="4"/>
  <c r="B32" i="11"/>
  <c r="C32" i="11"/>
  <c r="B31" i="13"/>
  <c r="B32" i="13"/>
  <c r="B33" i="11"/>
  <c r="E32" i="4"/>
  <c r="R32" i="4" s="1"/>
  <c r="S32" i="4" s="1"/>
  <c r="E32" i="13" s="1"/>
  <c r="B32" i="4"/>
  <c r="C33" i="11"/>
  <c r="D78" i="11"/>
  <c r="D32" i="11" l="1"/>
  <c r="D33" i="11"/>
  <c r="D34" i="11"/>
  <c r="E30" i="4"/>
  <c r="B31" i="11"/>
  <c r="B39" i="11" s="1"/>
  <c r="B64" i="11" s="1"/>
  <c r="B30" i="4"/>
  <c r="B30" i="13"/>
  <c r="C31" i="11"/>
  <c r="C38" i="4"/>
  <c r="B38" i="13" l="1"/>
  <c r="B38" i="4"/>
  <c r="B63" i="4" s="1"/>
  <c r="C63" i="4"/>
  <c r="C39" i="11"/>
  <c r="D31" i="11"/>
  <c r="E38" i="4"/>
  <c r="E63" i="4" s="1"/>
  <c r="R30" i="4"/>
  <c r="S30" i="4" l="1"/>
  <c r="R38" i="4"/>
  <c r="R63" i="4" s="1"/>
  <c r="D39" i="11"/>
  <c r="C64" i="11"/>
  <c r="B63" i="13"/>
  <c r="D64" i="11" l="1"/>
  <c r="E30" i="13"/>
  <c r="S38" i="4"/>
  <c r="E38" i="13" l="1"/>
  <c r="S63" i="4"/>
  <c r="E63" i="13" l="1"/>
  <c r="AQ119" i="20" l="1"/>
  <c r="X734" i="3"/>
  <c r="AH734" i="3" s="1"/>
  <c r="D12" i="8"/>
  <c r="FJ734" i="3"/>
  <c r="EH651" i="3" s="1"/>
  <c r="AQ118" i="20"/>
  <c r="X733" i="3"/>
  <c r="AH733" i="3" s="1"/>
  <c r="D11" i="8"/>
  <c r="FJ733" i="3"/>
  <c r="O761" i="3" l="1"/>
  <c r="Y808" i="3" s="1"/>
  <c r="AQ122" i="20"/>
  <c r="D15" i="8"/>
  <c r="X737" i="3"/>
  <c r="AH737" i="3" s="1"/>
  <c r="FO737" i="3"/>
  <c r="EM654" i="3" s="1"/>
  <c r="AQ121" i="20"/>
  <c r="X736" i="3"/>
  <c r="AH736" i="3" s="1"/>
  <c r="D14" i="8"/>
  <c r="FO736" i="3"/>
  <c r="EM653" i="3" s="1"/>
  <c r="AQ120" i="20"/>
  <c r="D13" i="8"/>
  <c r="X735" i="3"/>
  <c r="AH735" i="3" s="1"/>
  <c r="FJ735" i="3"/>
  <c r="EH652" i="3" s="1"/>
  <c r="X741" i="3"/>
  <c r="AH741" i="3" s="1"/>
  <c r="D19" i="8"/>
  <c r="AQ126" i="20"/>
  <c r="FO741" i="3"/>
  <c r="EH650" i="3"/>
  <c r="BU733" i="3"/>
  <c r="BU734" i="3"/>
  <c r="D40" i="8" l="1"/>
  <c r="Y809" i="3"/>
  <c r="Z826" i="3" s="1"/>
  <c r="EH678" i="3"/>
  <c r="O129" i="20" s="1"/>
  <c r="O132" i="20" s="1"/>
  <c r="O135" i="20" s="1"/>
  <c r="FJ761" i="3"/>
  <c r="BU737" i="3"/>
  <c r="BU736" i="3"/>
  <c r="BU735" i="3"/>
  <c r="FO761" i="3"/>
  <c r="EM658" i="3"/>
  <c r="EM678" i="3" s="1"/>
  <c r="T129" i="20" s="1"/>
  <c r="T132" i="20" s="1"/>
  <c r="T135" i="20" s="1"/>
  <c r="BU741" i="3"/>
  <c r="E4" i="7"/>
  <c r="AO637" i="3" s="1"/>
  <c r="W857" i="3"/>
  <c r="B85" i="4"/>
  <c r="B86" i="11"/>
  <c r="B97" i="11" s="1"/>
  <c r="B98" i="11" s="1"/>
  <c r="C96" i="4"/>
  <c r="B85" i="13"/>
  <c r="C86" i="11"/>
  <c r="E137" i="20" l="1"/>
  <c r="E138" i="20" s="1"/>
  <c r="AK142" i="20" s="1"/>
  <c r="T829" i="20" s="1"/>
  <c r="AF829" i="20" s="1"/>
  <c r="BE74" i="3" s="1"/>
  <c r="BU761" i="3"/>
  <c r="AH761" i="3" s="1"/>
  <c r="AC892" i="3"/>
  <c r="AC894" i="3" s="1"/>
  <c r="E16" i="7"/>
  <c r="H108" i="4"/>
  <c r="H79" i="4" s="1"/>
  <c r="G4" i="7"/>
  <c r="E5" i="7"/>
  <c r="E11" i="7" s="1"/>
  <c r="D86" i="11"/>
  <c r="C97" i="11"/>
  <c r="B96" i="13"/>
  <c r="B96" i="4"/>
  <c r="C97" i="4"/>
  <c r="E85" i="4"/>
  <c r="N183" i="24"/>
  <c r="N190" i="24" s="1"/>
  <c r="BE43" i="3" l="1"/>
  <c r="E79" i="4"/>
  <c r="H81" i="4"/>
  <c r="H97" i="4" s="1"/>
  <c r="H105" i="4" s="1"/>
  <c r="G16" i="7"/>
  <c r="E22" i="7"/>
  <c r="E35" i="7" s="1"/>
  <c r="E37" i="7" s="1"/>
  <c r="G5" i="7"/>
  <c r="G11" i="7" s="1"/>
  <c r="I4" i="7"/>
  <c r="B97" i="13"/>
  <c r="B97" i="4"/>
  <c r="D97" i="11"/>
  <c r="C98" i="11"/>
  <c r="R85" i="4"/>
  <c r="E96" i="4"/>
  <c r="I5" i="7" l="1"/>
  <c r="I11" i="7" s="1"/>
  <c r="K4" i="7"/>
  <c r="E49" i="7"/>
  <c r="AC895" i="3" s="1"/>
  <c r="E45" i="7"/>
  <c r="I16" i="7"/>
  <c r="G22" i="7"/>
  <c r="G35" i="7" s="1"/>
  <c r="G37" i="7" s="1"/>
  <c r="R79" i="4"/>
  <c r="E81" i="4"/>
  <c r="E97" i="4" s="1"/>
  <c r="S85" i="4"/>
  <c r="R96" i="4"/>
  <c r="D98" i="11"/>
  <c r="G49" i="7" l="1"/>
  <c r="G45" i="7"/>
  <c r="K16" i="7"/>
  <c r="I22" i="7"/>
  <c r="I35" i="7" s="1"/>
  <c r="I37" i="7" s="1"/>
  <c r="E48" i="7"/>
  <c r="E47" i="7"/>
  <c r="E60" i="7"/>
  <c r="S79" i="4"/>
  <c r="R81" i="4"/>
  <c r="R97" i="4" s="1"/>
  <c r="M4" i="7"/>
  <c r="K5" i="7"/>
  <c r="K11" i="7" s="1"/>
  <c r="E85" i="13"/>
  <c r="S96" i="4"/>
  <c r="S81" i="4" l="1"/>
  <c r="E81" i="13" s="1"/>
  <c r="E79" i="13"/>
  <c r="O4" i="7"/>
  <c r="M5" i="7"/>
  <c r="M11" i="7" s="1"/>
  <c r="E67" i="7"/>
  <c r="E66" i="7"/>
  <c r="E62" i="7"/>
  <c r="E68" i="7"/>
  <c r="I45" i="7"/>
  <c r="I49" i="7"/>
  <c r="M16" i="7"/>
  <c r="K22" i="7"/>
  <c r="K35" i="7" s="1"/>
  <c r="K37" i="7" s="1"/>
  <c r="G60" i="7"/>
  <c r="G48" i="7"/>
  <c r="G47" i="7"/>
  <c r="E96" i="13"/>
  <c r="S97" i="4" l="1"/>
  <c r="S99" i="4" s="1"/>
  <c r="K45" i="7"/>
  <c r="K49" i="7"/>
  <c r="O16" i="7"/>
  <c r="M22" i="7"/>
  <c r="M35" i="7" s="1"/>
  <c r="M37" i="7" s="1"/>
  <c r="I48" i="7"/>
  <c r="I60" i="7"/>
  <c r="I47" i="7"/>
  <c r="E70" i="7"/>
  <c r="E72" i="7" s="1"/>
  <c r="Q4" i="7"/>
  <c r="O5" i="7"/>
  <c r="O11" i="7" s="1"/>
  <c r="G68" i="7"/>
  <c r="G62" i="7"/>
  <c r="G67" i="7"/>
  <c r="G66" i="7"/>
  <c r="E97" i="13" l="1"/>
  <c r="AZ1055" i="3"/>
  <c r="BA1065" i="3" s="1"/>
  <c r="S4" i="7"/>
  <c r="Q5" i="7"/>
  <c r="Q11" i="7" s="1"/>
  <c r="I62" i="7"/>
  <c r="I68" i="7"/>
  <c r="I67" i="7"/>
  <c r="I66" i="7"/>
  <c r="M45" i="7"/>
  <c r="M49" i="7"/>
  <c r="Q16" i="7"/>
  <c r="O22" i="7"/>
  <c r="O35" i="7" s="1"/>
  <c r="O37" i="7" s="1"/>
  <c r="G70" i="7"/>
  <c r="G72" i="7" s="1"/>
  <c r="K48" i="7"/>
  <c r="K47" i="7"/>
  <c r="K60" i="7"/>
  <c r="E99" i="13"/>
  <c r="S104" i="4"/>
  <c r="AZ1060" i="3" l="1"/>
  <c r="BA1064" i="3" s="1"/>
  <c r="I70" i="7"/>
  <c r="I72" i="7" s="1"/>
  <c r="S16" i="7"/>
  <c r="Q22" i="7"/>
  <c r="Q35" i="7" s="1"/>
  <c r="Q37" i="7" s="1"/>
  <c r="O45" i="7"/>
  <c r="O49" i="7"/>
  <c r="M47" i="7"/>
  <c r="M60" i="7"/>
  <c r="M48" i="7"/>
  <c r="K62" i="7"/>
  <c r="K68" i="7"/>
  <c r="K67" i="7"/>
  <c r="K66" i="7"/>
  <c r="S5" i="7"/>
  <c r="S11" i="7" s="1"/>
  <c r="U4" i="7"/>
  <c r="BA1067" i="3"/>
  <c r="E104" i="13"/>
  <c r="S105" i="4"/>
  <c r="K70" i="7" l="1"/>
  <c r="K72" i="7" s="1"/>
  <c r="M62" i="7"/>
  <c r="M68" i="7"/>
  <c r="M67" i="7"/>
  <c r="M66" i="7"/>
  <c r="O47" i="7"/>
  <c r="O48" i="7"/>
  <c r="O60" i="7"/>
  <c r="Q45" i="7"/>
  <c r="Q49" i="7"/>
  <c r="U5" i="7"/>
  <c r="U11" i="7" s="1"/>
  <c r="W4" i="7"/>
  <c r="S22" i="7"/>
  <c r="S35" i="7" s="1"/>
  <c r="S37" i="7" s="1"/>
  <c r="U16" i="7"/>
  <c r="BA1068" i="3"/>
  <c r="E105" i="13"/>
  <c r="I9" i="21"/>
  <c r="S107" i="4"/>
  <c r="M70" i="7" l="1"/>
  <c r="M72" i="7" s="1"/>
  <c r="O68" i="7"/>
  <c r="O62" i="7"/>
  <c r="O67" i="7"/>
  <c r="O66" i="7"/>
  <c r="S49" i="7"/>
  <c r="S45" i="7"/>
  <c r="Y4" i="7"/>
  <c r="W5" i="7"/>
  <c r="W11" i="7" s="1"/>
  <c r="Q48" i="7"/>
  <c r="Q47" i="7"/>
  <c r="Q60" i="7"/>
  <c r="W16" i="7"/>
  <c r="U22" i="7"/>
  <c r="U35" i="7" s="1"/>
  <c r="U37" i="7" s="1"/>
  <c r="AF564" i="20"/>
  <c r="AF566" i="20" s="1"/>
  <c r="AK572" i="20" s="1"/>
  <c r="T840" i="20" s="1"/>
  <c r="AF840" i="20" s="1"/>
  <c r="E107" i="13"/>
  <c r="AE707" i="3"/>
  <c r="AC465" i="3"/>
  <c r="AA1065" i="3"/>
  <c r="AA1066" i="3" s="1"/>
  <c r="G1067" i="3" s="1"/>
  <c r="G165" i="21"/>
  <c r="G166" i="21"/>
  <c r="Y16" i="7" l="1"/>
  <c r="W22" i="7"/>
  <c r="W35" i="7" s="1"/>
  <c r="W37" i="7" s="1"/>
  <c r="AA4" i="7"/>
  <c r="Y5" i="7"/>
  <c r="Y11" i="7" s="1"/>
  <c r="Q62" i="7"/>
  <c r="Q68" i="7"/>
  <c r="Q67" i="7"/>
  <c r="Q66" i="7"/>
  <c r="S48" i="7"/>
  <c r="S60" i="7"/>
  <c r="S47" i="7"/>
  <c r="O70" i="7"/>
  <c r="O72" i="7" s="1"/>
  <c r="U49" i="7"/>
  <c r="U45" i="7"/>
  <c r="AF843" i="20"/>
  <c r="BE70" i="3" s="1"/>
  <c r="BE81" i="3"/>
  <c r="Y11" i="15"/>
  <c r="Y23" i="15" s="1"/>
  <c r="Y26" i="15" s="1"/>
  <c r="Y28" i="15" s="1"/>
  <c r="T11" i="15"/>
  <c r="T23" i="15" s="1"/>
  <c r="Q70" i="7" l="1"/>
  <c r="Q72" i="7" s="1"/>
  <c r="S68" i="7"/>
  <c r="S62" i="7"/>
  <c r="S66" i="7"/>
  <c r="S67" i="7"/>
  <c r="AA5" i="7"/>
  <c r="AA11" i="7" s="1"/>
  <c r="AC4" i="7"/>
  <c r="U48" i="7"/>
  <c r="U47" i="7"/>
  <c r="U60" i="7"/>
  <c r="W49" i="7"/>
  <c r="W45" i="7"/>
  <c r="AA16" i="7"/>
  <c r="Y22" i="7"/>
  <c r="Y35" i="7" s="1"/>
  <c r="Y37" i="7" s="1"/>
  <c r="T26" i="15"/>
  <c r="T28" i="15" s="1"/>
  <c r="T29" i="15" s="1"/>
  <c r="Y64" i="15"/>
  <c r="Y68" i="15" s="1"/>
  <c r="Y69" i="15" s="1"/>
  <c r="AD38" i="15"/>
  <c r="AD40" i="15" s="1"/>
  <c r="U62" i="7" l="1"/>
  <c r="U68" i="7"/>
  <c r="U67" i="7"/>
  <c r="U66" i="7"/>
  <c r="AC16" i="7"/>
  <c r="AA22" i="7"/>
  <c r="AA35" i="7" s="1"/>
  <c r="AA37" i="7" s="1"/>
  <c r="W48" i="7"/>
  <c r="W60" i="7"/>
  <c r="W47" i="7"/>
  <c r="AC5" i="7"/>
  <c r="AC11" i="7" s="1"/>
  <c r="AE4" i="7"/>
  <c r="S70" i="7"/>
  <c r="S72" i="7" s="1"/>
  <c r="Y49" i="7"/>
  <c r="Y45" i="7"/>
  <c r="Y38" i="15"/>
  <c r="Y40" i="15" s="1"/>
  <c r="Y41" i="15" s="1"/>
  <c r="U70" i="7" l="1"/>
  <c r="U72" i="7" s="1"/>
  <c r="AE5" i="7"/>
  <c r="AE11" i="7" s="1"/>
  <c r="AG4" i="7"/>
  <c r="AG5" i="7" s="1"/>
  <c r="AG11" i="7" s="1"/>
  <c r="W67" i="7"/>
  <c r="W68" i="7"/>
  <c r="W66" i="7"/>
  <c r="W62" i="7"/>
  <c r="AA45" i="7"/>
  <c r="AA49" i="7"/>
  <c r="AE16" i="7"/>
  <c r="AC22" i="7"/>
  <c r="AC35" i="7" s="1"/>
  <c r="AC37" i="7" s="1"/>
  <c r="Y47" i="7"/>
  <c r="Y60" i="7"/>
  <c r="Y48" i="7"/>
  <c r="W70" i="7" l="1"/>
  <c r="W72" i="7" s="1"/>
  <c r="Y68" i="7"/>
  <c r="Y67" i="7"/>
  <c r="Y66" i="7"/>
  <c r="Y62" i="7"/>
  <c r="AC49" i="7"/>
  <c r="AC45" i="7"/>
  <c r="AG16" i="7"/>
  <c r="AG22" i="7" s="1"/>
  <c r="AG35" i="7" s="1"/>
  <c r="AG37" i="7" s="1"/>
  <c r="AE22" i="7"/>
  <c r="AE35" i="7" s="1"/>
  <c r="AE37" i="7" s="1"/>
  <c r="AA47" i="7"/>
  <c r="AA60" i="7"/>
  <c r="AA48" i="7"/>
  <c r="Y70" i="7" l="1"/>
  <c r="Y72" i="7" s="1"/>
  <c r="AG49" i="7"/>
  <c r="AG45" i="7"/>
  <c r="AC47" i="7"/>
  <c r="AC60" i="7"/>
  <c r="AC48" i="7"/>
  <c r="AA68" i="7"/>
  <c r="AA67" i="7"/>
  <c r="AA66" i="7"/>
  <c r="AA62" i="7"/>
  <c r="AE49" i="7"/>
  <c r="AE45" i="7"/>
  <c r="AA70" i="7" l="1"/>
  <c r="AA72" i="7" s="1"/>
  <c r="AE47" i="7"/>
  <c r="AE60" i="7"/>
  <c r="AE48" i="7"/>
  <c r="AC68" i="7"/>
  <c r="AC67" i="7"/>
  <c r="AC66" i="7"/>
  <c r="AC62" i="7"/>
  <c r="AG48" i="7"/>
  <c r="AG60" i="7"/>
  <c r="AG47" i="7"/>
  <c r="AC70" i="7" l="1"/>
  <c r="AC72" i="7" s="1"/>
  <c r="AG68" i="7"/>
  <c r="AG67" i="7"/>
  <c r="AG66" i="7"/>
  <c r="AG62" i="7"/>
  <c r="AE68" i="7"/>
  <c r="AE67" i="7"/>
  <c r="AE66" i="7"/>
  <c r="AE62" i="7"/>
  <c r="AG70" i="7" l="1"/>
  <c r="AG72" i="7" s="1"/>
  <c r="AE70" i="7"/>
  <c r="AE72" i="7" s="1"/>
  <c r="C100" i="11" l="1"/>
  <c r="B99" i="4"/>
  <c r="AM566" i="3"/>
  <c r="C104" i="4"/>
  <c r="B100" i="11"/>
  <c r="B105" i="11" s="1"/>
  <c r="B106" i="11" s="1"/>
  <c r="B99" i="13"/>
  <c r="B104" i="4" l="1"/>
  <c r="B104" i="13"/>
  <c r="C105" i="4"/>
  <c r="D100" i="11"/>
  <c r="C105" i="11"/>
  <c r="D105" i="11" l="1"/>
  <c r="C106" i="11"/>
  <c r="D106" i="11" s="1"/>
  <c r="AG268" i="20"/>
  <c r="BE101" i="3"/>
  <c r="AC464" i="3"/>
  <c r="B105" i="4"/>
  <c r="B105" i="13"/>
  <c r="AB47" i="15" l="1"/>
  <c r="BE22" i="3"/>
  <c r="AC463" i="3"/>
  <c r="N180" i="24"/>
  <c r="AB265" i="20"/>
  <c r="AG267" i="20" s="1"/>
  <c r="AG269" i="20" s="1"/>
  <c r="AK272" i="20" s="1"/>
  <c r="T834" i="20" s="1"/>
  <c r="BE77" i="3" s="1"/>
  <c r="N181" i="24" l="1"/>
  <c r="N191" i="24"/>
  <c r="BE44" i="3"/>
  <c r="I99" i="4" l="1"/>
  <c r="I108" i="4"/>
  <c r="AO647" i="3"/>
  <c r="AB48" i="15" s="1"/>
  <c r="AB49" i="15" s="1"/>
  <c r="AB54" i="15" l="1"/>
  <c r="AB55" i="15" s="1"/>
  <c r="AB56" i="15" s="1"/>
  <c r="I104" i="4"/>
  <c r="I105" i="4" s="1"/>
  <c r="E99" i="4"/>
  <c r="M26" i="3" l="1"/>
  <c r="BE19" i="3" s="1"/>
  <c r="AB57" i="15"/>
  <c r="R99" i="4"/>
  <c r="R104" i="4" s="1"/>
  <c r="R105" i="4" s="1"/>
  <c r="E104" i="4"/>
  <c r="E105" i="4" s="1"/>
  <c r="AO648" i="3" s="1"/>
  <c r="P204" i="3" l="1"/>
  <c r="AB59" i="15"/>
  <c r="AO649" i="3"/>
  <c r="E108" i="4"/>
  <c r="AM565" i="3"/>
  <c r="AB77" i="15" l="1"/>
  <c r="AM563" i="3"/>
  <c r="AM567" i="3" s="1"/>
  <c r="AM574" i="3" s="1"/>
  <c r="AB78" i="15" l="1"/>
  <c r="AB79" i="15" l="1"/>
  <c r="AB81" i="15" s="1"/>
  <c r="I10" i="21"/>
  <c r="I11" i="21" s="1"/>
  <c r="I18" i="21" s="1"/>
  <c r="H4" i="21" s="1"/>
  <c r="M27" i="3"/>
  <c r="BE20" i="3" l="1"/>
  <c r="P205" i="3"/>
  <c r="H5" i="21"/>
  <c r="J82" i="15"/>
  <c r="BE8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21A14628-5967-4F65-A369-466EAB1427EB}">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 ref="C67" authorId="0" shapeId="0" xr:uid="{4E283F80-9487-4A17-A0E9-DFF11B157664}">
      <text>
        <r>
          <rPr>
            <sz val="9"/>
            <color indexed="81"/>
            <rFont val="Tahoma"/>
            <family val="2"/>
          </rPr>
          <t>INSERT PERCENTAGE SHARE OF RESIDUAL RECEIPTS CASH FLOW</t>
        </r>
      </text>
    </comment>
    <comment ref="C68" authorId="0" shapeId="0" xr:uid="{6EFDA3E7-6D2F-4DB3-93EE-472C46EE056B}">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<sst xmlns="http://schemas.openxmlformats.org/spreadsheetml/2006/main" count="5129" uniqueCount="2766">
  <si>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</si>
  <si>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</si>
  <si>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</si>
  <si>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</si>
  <si>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</si>
  <si>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</si>
  <si>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</si>
  <si>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</si>
  <si>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</si>
  <si>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</si>
  <si>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</si>
  <si>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</si>
  <si>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</si>
  <si>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</si>
  <si>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</si>
  <si>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</si>
  <si>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</si>
  <si>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</si>
  <si>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</si>
  <si>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</si>
  <si>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</si>
  <si>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</si>
  <si>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</si>
  <si>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</si>
  <si>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</si>
  <si>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</si>
  <si>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</si>
  <si>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</si>
  <si>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</si>
  <si>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</si>
  <si>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</si>
  <si>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</si>
  <si>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</si>
  <si>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</si>
  <si>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</si>
  <si>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</si>
  <si>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</si>
  <si>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</si>
  <si>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</si>
  <si>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</si>
  <si>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</si>
  <si>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</si>
  <si>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</si>
  <si>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</si>
  <si>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</si>
  <si>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</si>
  <si>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</si>
  <si>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</si>
  <si>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</si>
  <si>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</si>
  <si>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</si>
  <si>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</si>
  <si>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</si>
  <si>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</si>
  <si>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</si>
  <si>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</si>
  <si>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</si>
  <si>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</si>
  <si>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</si>
  <si>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</si>
  <si>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</si>
  <si>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</si>
  <si>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</si>
  <si>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</si>
  <si>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</si>
  <si>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</si>
  <si>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</si>
  <si>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</si>
  <si>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</si>
  <si>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</si>
  <si>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</si>
  <si>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</si>
  <si>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</si>
  <si>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</si>
  <si>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</si>
  <si>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</si>
  <si>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</si>
  <si>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</si>
  <si>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</si>
  <si>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</si>
  <si>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</si>
  <si>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</si>
  <si>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</si>
  <si>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</si>
  <si>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</si>
  <si>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</si>
  <si>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</si>
  <si>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</si>
  <si>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</si>
  <si>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</si>
  <si>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</si>
  <si>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</si>
  <si>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</si>
  <si>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</si>
  <si>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</si>
  <si>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</si>
  <si>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</si>
  <si>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</si>
  <si>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</si>
  <si>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</si>
  <si>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</si>
  <si>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</si>
  <si>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</si>
  <si>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</si>
  <si>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</si>
  <si>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</si>
  <si>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</si>
  <si>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</si>
  <si>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</si>
  <si>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</si>
  <si>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</si>
  <si>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</si>
  <si>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</si>
  <si>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</si>
  <si>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</si>
  <si>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</si>
  <si>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</si>
  <si>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</si>
  <si>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</si>
  <si>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</si>
  <si>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</si>
  <si>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</si>
  <si>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</si>
  <si>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</si>
  <si>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</si>
  <si>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</si>
  <si>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</si>
  <si>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</si>
  <si>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</si>
  <si>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</si>
  <si>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</si>
  <si>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</si>
  <si>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</si>
  <si>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</si>
  <si>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</si>
  <si>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</si>
  <si>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</si>
  <si>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</si>
  <si>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</si>
  <si>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</si>
  <si>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</si>
  <si>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</si>
  <si>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</si>
  <si>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</si>
  <si>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</si>
  <si>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</si>
  <si>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</si>
  <si>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</si>
  <si>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</si>
  <si>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</si>
  <si>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</si>
  <si>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</si>
  <si>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</si>
  <si>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</si>
  <si>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</si>
  <si>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</si>
  <si>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</si>
  <si>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</si>
  <si>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</si>
  <si>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</si>
  <si>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</si>
  <si>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</si>
  <si>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</si>
  <si>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</si>
  <si>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</si>
  <si>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</si>
  <si>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</si>
  <si>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</si>
  <si>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</si>
  <si>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</si>
  <si>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</si>
  <si>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</si>
  <si>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</si>
  <si>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</si>
  <si>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</si>
  <si>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</si>
  <si>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</si>
  <si>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</si>
  <si>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</si>
  <si>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</si>
  <si>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</si>
  <si>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</si>
  <si>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</si>
  <si>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</si>
  <si>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</si>
  <si>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</si>
  <si>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</si>
  <si>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</si>
  <si>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</si>
  <si>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</si>
  <si>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</si>
  <si>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</si>
  <si>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</si>
  <si>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</si>
  <si>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</si>
  <si>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</si>
  <si>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</si>
  <si>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</si>
  <si>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</si>
  <si>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</si>
  <si>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</si>
  <si>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</si>
  <si>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</si>
  <si>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</si>
  <si>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</si>
  <si>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</si>
  <si>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</si>
  <si>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</si>
  <si>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</si>
  <si>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</si>
  <si>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</si>
  <si>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</si>
  <si>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</si>
  <si>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</si>
  <si>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</si>
  <si>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</si>
  <si>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</si>
  <si>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</si>
  <si>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</si>
  <si>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</si>
  <si>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</si>
  <si>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</si>
  <si>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</si>
  <si>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</si>
  <si>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</si>
  <si>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</si>
  <si>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</si>
  <si>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</si>
  <si>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</si>
  <si>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</si>
  <si>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</si>
  <si>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</si>
  <si>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</si>
  <si>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</si>
  <si>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</si>
  <si>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</si>
  <si>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</si>
  <si>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</si>
  <si>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</si>
  <si>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</si>
  <si>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</si>
  <si>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</si>
  <si>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</si>
  <si>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</si>
  <si>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</si>
  <si>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</si>
  <si>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</si>
  <si>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</si>
  <si>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</si>
  <si>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</si>
  <si>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</si>
  <si>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</si>
  <si>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</si>
  <si>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</si>
  <si>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</si>
  <si>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</si>
  <si>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</si>
  <si>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</si>
  <si>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</si>
  <si>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</si>
  <si>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</si>
  <si>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</si>
  <si>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</si>
  <si>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</si>
  <si>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</si>
  <si>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</si>
  <si>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</si>
  <si>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</si>
  <si>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</si>
  <si>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</si>
  <si>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</si>
  <si>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</si>
  <si>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</si>
  <si>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</si>
  <si>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</si>
  <si>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</si>
  <si>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</si>
  <si>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</si>
  <si>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</si>
  <si>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</si>
  <si>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</si>
  <si>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</si>
  <si>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</si>
  <si>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</si>
  <si>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</si>
  <si>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</si>
  <si>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</si>
  <si>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</si>
  <si>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</si>
  <si>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</si>
  <si>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</si>
  <si>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</si>
  <si>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</si>
  <si>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</si>
  <si>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</si>
  <si>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</si>
  <si>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</si>
  <si>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</si>
  <si>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</si>
  <si>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</si>
  <si>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</si>
  <si>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</si>
  <si>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</si>
  <si>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</si>
  <si>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</si>
  <si>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</si>
  <si>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</si>
  <si>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</si>
  <si>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</si>
  <si>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</si>
  <si>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</si>
  <si>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</si>
  <si>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</si>
  <si>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</si>
  <si>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</si>
  <si>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</si>
  <si>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</si>
  <si>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</si>
  <si>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</si>
  <si>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</si>
  <si>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</si>
  <si>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</si>
  <si>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</si>
  <si>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</si>
  <si>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</si>
  <si>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</si>
  <si>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</si>
  <si>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</si>
  <si>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</si>
  <si>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</si>
  <si>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</si>
  <si>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</si>
  <si>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</si>
  <si>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</si>
  <si>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</si>
  <si>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</si>
  <si>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</si>
  <si>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</si>
  <si>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</si>
  <si>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</si>
  <si>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</si>
  <si>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</si>
  <si>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</si>
  <si>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</si>
  <si>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</si>
  <si>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</si>
  <si>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</si>
  <si>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</si>
  <si>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</si>
  <si>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</si>
  <si>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</si>
  <si>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</si>
  <si>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</si>
  <si>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</si>
  <si>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</si>
  <si>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</si>
  <si>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</si>
  <si>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</si>
  <si>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</si>
  <si>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</si>
  <si>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</si>
  <si>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</si>
  <si>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</si>
  <si>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</si>
  <si>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</si>
  <si>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</si>
  <si>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</si>
  <si>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</si>
  <si>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</si>
  <si>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</si>
  <si>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</si>
  <si>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</si>
  <si>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</si>
  <si>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</si>
  <si>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</si>
  <si>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</si>
  <si>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</si>
  <si>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</si>
  <si>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</si>
  <si>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</si>
  <si>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</si>
  <si>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</si>
  <si>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</si>
  <si>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</si>
  <si>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</si>
  <si>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</si>
  <si>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</si>
  <si>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</si>
  <si>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</si>
  <si>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</si>
  <si>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</si>
  <si>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</si>
  <si>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</si>
  <si>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</si>
  <si>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</si>
  <si>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</si>
  <si>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</si>
  <si>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</si>
  <si>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</si>
  <si>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</si>
  <si>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</si>
  <si>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</si>
  <si>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</si>
  <si>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</si>
  <si>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</si>
  <si>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</si>
  <si>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</si>
  <si>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</si>
  <si>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</si>
  <si>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</si>
  <si>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</si>
  <si>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</si>
  <si>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</si>
  <si>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</si>
  <si>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</si>
  <si>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</si>
  <si>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</si>
  <si>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</si>
  <si>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</si>
  <si>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</si>
  <si>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</si>
  <si>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</si>
  <si>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</si>
  <si>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</si>
  <si>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</si>
  <si>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</si>
  <si>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</si>
  <si>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</si>
  <si>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</si>
  <si>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</si>
  <si>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</si>
  <si>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</si>
  <si>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</si>
  <si>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</si>
  <si>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</si>
  <si>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</si>
  <si>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</si>
  <si>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</si>
  <si>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</si>
  <si>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</si>
  <si>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</si>
  <si>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</si>
  <si>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</si>
  <si>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</si>
  <si>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</si>
  <si>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</si>
  <si>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</si>
  <si>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</si>
  <si>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</si>
  <si>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</si>
  <si>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</si>
  <si>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</si>
  <si>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</si>
  <si>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</si>
  <si>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</si>
  <si>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</si>
  <si>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</si>
  <si>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</si>
  <si>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</si>
  <si>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</si>
  <si>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</si>
  <si>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</si>
  <si>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</si>
  <si>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</si>
  <si>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</si>
  <si>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</si>
  <si>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</si>
  <si>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</si>
  <si>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</si>
  <si>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</si>
  <si>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</si>
  <si>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</si>
  <si>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</si>
  <si>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</si>
  <si>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</si>
  <si>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</si>
  <si>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</si>
  <si>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</si>
  <si>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</si>
  <si>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</si>
  <si>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</si>
  <si>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</si>
  <si>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</si>
  <si>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</si>
  <si>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</si>
  <si>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</si>
  <si>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</si>
  <si>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</si>
  <si>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</si>
  <si>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</si>
  <si>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</si>
  <si>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</si>
  <si>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</si>
  <si>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</si>
  <si>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</si>
  <si>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</si>
  <si>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</si>
  <si>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</si>
  <si>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</si>
  <si>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</si>
  <si>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</si>
  <si>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</si>
  <si>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</si>
  <si>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</si>
  <si>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</si>
  <si>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</si>
  <si>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</si>
  <si>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</si>
  <si>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</si>
  <si>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</si>
  <si>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</si>
  <si>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</si>
  <si>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</si>
  <si>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</si>
  <si>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</si>
  <si>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</si>
  <si>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</si>
  <si>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</si>
  <si>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</si>
  <si>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</si>
  <si>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</si>
  <si>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</si>
  <si>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</si>
  <si>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</si>
  <si>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</si>
  <si>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</si>
  <si>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</si>
  <si>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</si>
  <si>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</si>
  <si>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</si>
  <si>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</si>
  <si>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</si>
  <si>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</si>
  <si>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</si>
  <si>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</si>
  <si>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</si>
  <si>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</si>
  <si>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</si>
  <si>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</si>
  <si>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</si>
  <si>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</si>
  <si>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</si>
  <si>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</si>
  <si>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</si>
  <si>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</si>
  <si>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</si>
  <si>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</si>
  <si>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</si>
  <si>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</si>
  <si>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</si>
  <si>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</si>
  <si>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</si>
  <si>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</si>
  <si>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</si>
  <si>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</si>
  <si>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</si>
  <si>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</si>
  <si>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</si>
  <si>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</si>
  <si>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</si>
  <si>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</si>
  <si>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</si>
  <si>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</si>
  <si>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</si>
  <si>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</si>
  <si>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</si>
  <si>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</si>
  <si>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</si>
  <si>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</si>
  <si>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</si>
  <si>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</si>
  <si>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</si>
  <si>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</si>
  <si>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</si>
  <si>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</si>
  <si>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</si>
  <si>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</si>
  <si>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</si>
  <si>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</si>
  <si>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</si>
  <si>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</si>
  <si>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</si>
  <si>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</si>
  <si>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</si>
  <si>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</si>
  <si>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</si>
  <si>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</si>
  <si>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</si>
  <si>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</si>
  <si>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</si>
  <si>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</si>
  <si>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</si>
  <si>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</si>
  <si>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</si>
  <si>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</si>
  <si>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</si>
  <si>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</si>
  <si>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</si>
  <si>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</si>
  <si>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</si>
  <si>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</si>
  <si>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</si>
  <si>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</si>
  <si>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</si>
  <si>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</si>
  <si>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</si>
  <si>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</si>
  <si>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</si>
  <si>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</si>
  <si>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</si>
  <si>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</si>
  <si>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</si>
  <si>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</si>
  <si>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</si>
  <si>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</si>
  <si>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</si>
  <si>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</si>
  <si>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</si>
  <si>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</si>
  <si>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</si>
  <si>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</si>
  <si>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</si>
  <si>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</si>
  <si>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</si>
  <si>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</si>
  <si>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</si>
  <si>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</si>
  <si>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</si>
  <si>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</si>
  <si>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</si>
  <si>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</si>
  <si>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</si>
  <si>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</si>
  <si>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</si>
  <si>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</si>
  <si>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</si>
  <si>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</si>
  <si>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</si>
  <si>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</si>
  <si>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</si>
  <si>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</si>
  <si>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</si>
  <si>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</si>
  <si>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</si>
  <si>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</si>
  <si>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</si>
  <si>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</si>
  <si>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</si>
  <si>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</si>
  <si>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</si>
  <si>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</si>
  <si>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</si>
  <si>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</si>
  <si>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</si>
  <si>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</si>
  <si>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</si>
  <si>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</si>
  <si>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</si>
  <si>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</si>
  <si>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</si>
  <si>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</si>
  <si>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</si>
  <si>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</si>
  <si>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</si>
  <si>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</si>
  <si>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</si>
  <si>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</si>
  <si>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</si>
  <si>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</si>
  <si>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</si>
  <si>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</si>
  <si>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</si>
  <si>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</si>
  <si>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</si>
  <si>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</si>
  <si>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</si>
  <si>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</si>
  <si>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</si>
  <si>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</si>
  <si>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</si>
  <si>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</si>
  <si>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</si>
  <si>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</si>
  <si>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</si>
  <si>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</si>
  <si>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</si>
  <si>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</si>
  <si>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</si>
  <si>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</si>
  <si>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</si>
  <si>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</si>
  <si>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</si>
  <si>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</si>
  <si>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</si>
  <si>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</si>
  <si>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</si>
  <si>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</si>
  <si>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</si>
  <si>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</si>
  <si>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</si>
  <si>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</si>
  <si>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</si>
  <si>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</si>
  <si>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</si>
  <si>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</si>
  <si>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</si>
  <si>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</si>
  <si>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</si>
  <si>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</si>
  <si>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</si>
  <si>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</si>
  <si>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</si>
  <si>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</si>
  <si>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</si>
  <si>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</si>
  <si>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</si>
  <si>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</si>
  <si>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</si>
  <si>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</si>
  <si>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</si>
  <si>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</si>
  <si>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</si>
  <si>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</si>
  <si>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</si>
  <si>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</si>
  <si>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</si>
  <si>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</si>
  <si>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</si>
  <si>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</si>
  <si>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</si>
  <si>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</si>
  <si>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</si>
  <si>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</si>
  <si>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</si>
  <si>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</si>
  <si>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</si>
  <si>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</si>
  <si>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</si>
  <si>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</si>
  <si>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</si>
  <si>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</si>
  <si>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</si>
  <si>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</si>
  <si>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</si>
  <si>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</si>
  <si>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</si>
  <si>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</si>
  <si>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</si>
  <si>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</si>
  <si>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</si>
  <si>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</si>
  <si>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</si>
  <si>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</si>
  <si>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</si>
  <si>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</si>
  <si>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</si>
  <si>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</si>
  <si>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</si>
  <si>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</si>
  <si>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</si>
  <si>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</si>
  <si>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</si>
  <si>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</si>
  <si>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</si>
  <si>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</si>
  <si>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</si>
  <si>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</si>
  <si>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</si>
  <si>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</si>
  <si>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</si>
  <si>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</si>
  <si>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</si>
  <si>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</si>
  <si>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</si>
  <si>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</si>
  <si>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</si>
  <si>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</si>
  <si>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</si>
  <si>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</si>
  <si>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</si>
  <si>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</si>
  <si>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</si>
  <si>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</si>
  <si>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</si>
  <si>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</si>
  <si>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</si>
  <si>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</si>
  <si>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</si>
  <si>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</si>
  <si>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</si>
  <si>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</si>
  <si>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</si>
  <si>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</si>
  <si>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</si>
  <si>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</si>
  <si>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</si>
  <si>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</si>
  <si>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</si>
  <si>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</si>
  <si>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</si>
  <si>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</si>
  <si>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</si>
  <si>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</si>
  <si>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</si>
  <si>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</si>
  <si>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</si>
  <si>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</si>
  <si>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</si>
  <si>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</si>
  <si>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</si>
  <si>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</si>
  <si>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</si>
  <si>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</si>
  <si>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</si>
  <si>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</si>
  <si>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</si>
  <si>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</si>
  <si>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</si>
  <si>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</si>
  <si>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</si>
  <si>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</si>
  <si>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</si>
  <si>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</si>
  <si>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</si>
  <si>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</si>
  <si>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</si>
  <si>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</si>
  <si>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</si>
  <si>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</si>
  <si>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</si>
  <si>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</si>
  <si>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</si>
  <si>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</si>
  <si>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</si>
  <si>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</si>
  <si>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</si>
  <si>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</si>
  <si>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</si>
  <si>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</si>
  <si>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</si>
  <si>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</si>
  <si>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</si>
  <si>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</si>
  <si>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</si>
  <si>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</si>
  <si>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</si>
  <si>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</si>
  <si>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</si>
  <si>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</si>
  <si>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</si>
  <si>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</si>
  <si>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</si>
  <si>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</si>
  <si>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</si>
  <si>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</si>
  <si>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</si>
  <si>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</si>
  <si>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</si>
  <si>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</si>
  <si>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</si>
  <si>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</si>
  <si>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</si>
  <si>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</si>
  <si>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</si>
  <si>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</si>
  <si>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</si>
  <si>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</si>
  <si>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</si>
  <si>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</si>
  <si>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</si>
  <si>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</si>
  <si>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</si>
  <si>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</si>
  <si>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</si>
  <si>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</si>
  <si>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</si>
  <si>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</si>
  <si>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</si>
  <si>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</si>
  <si>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</si>
  <si>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</si>
  <si>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</si>
  <si>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</si>
  <si>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</si>
  <si>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</si>
  <si>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</si>
  <si>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</si>
  <si>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</si>
  <si>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</si>
  <si>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</si>
  <si>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</si>
  <si>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</si>
  <si>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</si>
  <si>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</si>
  <si>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</si>
  <si>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</si>
  <si>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</si>
  <si>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</si>
  <si>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</si>
  <si>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</si>
  <si>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</si>
  <si>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</si>
  <si>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</si>
  <si>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</si>
  <si>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</si>
  <si>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</si>
  <si>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</si>
  <si>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</si>
  <si>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</si>
  <si>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</si>
  <si>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</si>
  <si>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</si>
  <si>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</si>
  <si>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</si>
  <si>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</si>
  <si>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</si>
  <si>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</si>
  <si>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</si>
  <si>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</si>
  <si>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</si>
  <si>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</si>
  <si>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</si>
  <si>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</si>
  <si>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</si>
  <si>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</si>
  <si>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</si>
  <si>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</si>
  <si>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</si>
  <si>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</si>
  <si>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</si>
  <si>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</si>
  <si>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</si>
  <si>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</si>
  <si>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</si>
  <si>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</si>
  <si>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</si>
  <si>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</si>
  <si>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</si>
  <si>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</si>
  <si>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</si>
  <si>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</si>
  <si>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</si>
  <si>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</si>
  <si>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</si>
  <si>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</si>
  <si>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</si>
  <si>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</si>
  <si>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</si>
  <si>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</si>
  <si>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</si>
  <si>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</si>
  <si>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</si>
  <si>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</si>
  <si>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</si>
  <si>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</si>
  <si>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</si>
  <si>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</si>
  <si>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</si>
  <si>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</si>
  <si>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</si>
  <si>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</si>
  <si>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</si>
  <si>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</si>
  <si>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</si>
  <si>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</si>
  <si>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</si>
  <si>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</si>
  <si>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</si>
  <si>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</si>
  <si>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</si>
  <si>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</si>
  <si>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</si>
  <si>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</si>
  <si>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</si>
  <si>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</si>
  <si>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</si>
  <si>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</si>
  <si>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</si>
  <si>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</si>
  <si>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</si>
  <si>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</si>
  <si>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</si>
  <si>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</si>
  <si>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</si>
  <si>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</si>
  <si>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</si>
  <si>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</si>
  <si>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</si>
  <si>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</si>
  <si>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</si>
  <si>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</si>
  <si>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</si>
  <si>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</si>
  <si>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</si>
  <si>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</si>
  <si>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</si>
  <si>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</si>
  <si>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</si>
  <si>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</si>
  <si>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</si>
  <si>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</si>
  <si>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</si>
  <si>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</si>
  <si>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</si>
  <si>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</si>
  <si>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</si>
  <si>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</si>
  <si>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</si>
  <si>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</si>
  <si>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</si>
  <si>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</si>
  <si>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</si>
  <si>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</si>
  <si>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</si>
  <si>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</si>
  <si>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</si>
  <si>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</si>
  <si>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</si>
  <si>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</si>
  <si>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</si>
  <si>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</si>
  <si>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</si>
  <si>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</si>
  <si>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</si>
  <si>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</si>
  <si>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</si>
  <si>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</si>
  <si>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</si>
  <si>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</si>
  <si>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</si>
  <si>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</si>
  <si>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</si>
  <si>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</si>
  <si>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</si>
  <si>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</si>
  <si>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</si>
  <si>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</si>
  <si>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</si>
  <si>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</si>
  <si>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</si>
  <si>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</si>
  <si>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</si>
  <si>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</si>
  <si>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</si>
  <si>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</si>
  <si>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</si>
  <si>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</si>
  <si>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</si>
  <si>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</si>
  <si>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</si>
  <si>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</si>
  <si>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</si>
  <si>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</si>
  <si>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</si>
  <si>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</si>
  <si>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</si>
  <si>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</si>
  <si>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</si>
  <si>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</si>
  <si>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</si>
  <si>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</si>
  <si>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</si>
  <si>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</si>
  <si>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</si>
  <si>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</si>
  <si>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</si>
  <si>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</si>
  <si>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</si>
  <si>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</si>
  <si>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</si>
  <si>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</si>
  <si>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</si>
  <si>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</si>
  <si>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</si>
  <si>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</si>
  <si>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</si>
  <si>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</si>
  <si>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</si>
  <si>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</si>
  <si>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</si>
  <si>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</si>
  <si>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</si>
  <si>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</si>
  <si>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</si>
  <si>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</si>
  <si>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</si>
  <si>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</si>
  <si>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</si>
  <si>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</si>
  <si>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</si>
  <si>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</si>
  <si>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</si>
  <si>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</si>
  <si>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</si>
  <si>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</si>
  <si>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</si>
  <si>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</si>
  <si>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</si>
  <si>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</si>
  <si>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</si>
  <si>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</si>
  <si>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</si>
  <si>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</si>
  <si>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</si>
  <si>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</si>
  <si>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</si>
  <si>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</si>
  <si>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</si>
  <si>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</si>
  <si>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</si>
  <si>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</si>
  <si>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</si>
  <si>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</si>
  <si>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</si>
  <si>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</si>
  <si>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</si>
  <si>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</si>
  <si>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</si>
  <si>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</si>
  <si>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</si>
  <si>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</si>
  <si>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</si>
  <si>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</si>
  <si>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</si>
  <si>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</si>
  <si>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</si>
  <si>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</si>
  <si>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</si>
  <si>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</si>
  <si>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</si>
  <si>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</si>
  <si>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</si>
  <si>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</si>
  <si>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</si>
  <si>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</si>
  <si>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</si>
  <si>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</si>
  <si>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</si>
  <si>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</si>
  <si>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</si>
  <si>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</si>
  <si>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</si>
  <si>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</si>
  <si>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</si>
  <si>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</si>
  <si>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</si>
  <si>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</si>
  <si>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</si>
  <si>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</si>
  <si>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</si>
  <si>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</si>
  <si>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</si>
  <si>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</si>
  <si>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</si>
  <si>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</si>
  <si>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</si>
  <si>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</si>
  <si>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</si>
  <si>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</si>
  <si>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</si>
  <si>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</si>
  <si>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</si>
  <si>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</si>
  <si>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</si>
  <si>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</si>
  <si>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</si>
  <si>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</si>
  <si>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</si>
  <si>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</si>
  <si>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</si>
  <si>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</si>
  <si>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</si>
  <si>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</si>
  <si>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</si>
  <si>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</si>
  <si>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</si>
  <si>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</si>
  <si>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</si>
  <si>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</si>
  <si>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</si>
  <si>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</si>
  <si>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</si>
  <si>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</si>
  <si>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</si>
  <si>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</si>
  <si>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</si>
  <si>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</si>
  <si>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</si>
  <si>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</si>
  <si>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</si>
  <si>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</si>
  <si>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</si>
  <si>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</si>
  <si>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</si>
  <si>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</si>
  <si>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</si>
  <si>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</si>
  <si>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</si>
  <si>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</si>
  <si>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</si>
  <si>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</si>
  <si>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</si>
  <si>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</si>
  <si>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</si>
  <si>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</si>
  <si>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</si>
  <si>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</si>
  <si>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</si>
  <si>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</si>
  <si>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</si>
  <si>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</si>
  <si>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</si>
  <si>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</si>
  <si>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</si>
  <si>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</si>
  <si>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</si>
  <si>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</si>
  <si>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</si>
  <si>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</si>
  <si>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</si>
  <si>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</si>
  <si>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</si>
  <si>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</si>
  <si>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</si>
  <si>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</si>
  <si>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</si>
  <si>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</si>
  <si>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</si>
  <si>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</si>
  <si>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</si>
  <si>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</si>
  <si>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</si>
  <si>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</si>
  <si>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</si>
  <si>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</si>
  <si>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</si>
  <si>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</si>
  <si>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</si>
  <si>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</si>
  <si>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</si>
  <si>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</si>
  <si>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</si>
  <si>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</si>
  <si>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</si>
  <si>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</si>
  <si>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</si>
  <si>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</si>
  <si>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</si>
  <si>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</si>
  <si>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</si>
  <si>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</si>
  <si>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</si>
  <si>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</si>
  <si>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</si>
  <si>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</si>
  <si>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</si>
  <si>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</si>
  <si>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</si>
  <si>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</si>
  <si>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</si>
  <si>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</si>
  <si>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</si>
  <si>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</si>
  <si>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</si>
  <si>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</si>
  <si>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</si>
  <si>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</si>
  <si>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</si>
  <si>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</si>
  <si>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</si>
  <si>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</si>
  <si>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</si>
  <si>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</si>
  <si>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</si>
  <si>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</si>
  <si>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</si>
  <si>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</si>
  <si>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</si>
  <si>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</si>
  <si>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</si>
  <si>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</si>
  <si>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</si>
  <si>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</si>
  <si>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</si>
  <si>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</si>
  <si>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</si>
  <si>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</si>
  <si>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</si>
  <si>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</si>
  <si>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</si>
  <si>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</si>
  <si>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</si>
  <si>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</si>
  <si>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</si>
  <si>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</si>
  <si>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</si>
  <si>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</si>
  <si>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</si>
  <si>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</si>
  <si>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</si>
  <si>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</si>
  <si>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</si>
  <si>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</si>
  <si>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</si>
  <si>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</si>
  <si>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</si>
  <si>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</si>
  <si>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</si>
  <si>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</si>
  <si>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</si>
  <si>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</si>
  <si>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</si>
  <si>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</si>
  <si>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</si>
  <si>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</si>
  <si>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</si>
  <si>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</si>
  <si>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</si>
  <si>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</si>
  <si>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</si>
  <si>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</si>
  <si>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</si>
  <si>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</si>
  <si>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</si>
  <si>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</si>
  <si>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</si>
  <si>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</si>
  <si>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</si>
  <si>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</si>
  <si>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</si>
  <si>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</si>
  <si>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</si>
  <si>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</si>
  <si>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</si>
  <si>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</si>
  <si>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</si>
  <si>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</si>
  <si>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</si>
  <si>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</si>
  <si>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</si>
  <si>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</si>
  <si>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</si>
  <si>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</si>
  <si>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</si>
  <si>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</si>
  <si>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</si>
  <si>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</si>
  <si>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</si>
  <si>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</si>
  <si>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</si>
  <si>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</si>
  <si>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</si>
  <si>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</si>
  <si>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</si>
  <si>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</si>
  <si>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</si>
  <si>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</si>
  <si>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</si>
  <si>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</si>
  <si>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</si>
  <si>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</si>
  <si>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</si>
  <si>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</si>
  <si>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</si>
  <si>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</si>
  <si>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</si>
  <si>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</si>
  <si>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</si>
  <si>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</si>
  <si>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</si>
  <si>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</si>
  <si>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</si>
  <si>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</si>
  <si>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</si>
  <si>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</si>
  <si>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</si>
  <si>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</si>
  <si>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</si>
  <si>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</si>
  <si>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</si>
  <si>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</si>
  <si>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</si>
  <si>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</si>
  <si>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</si>
  <si>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</si>
  <si>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</si>
  <si>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</si>
  <si>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</si>
  <si>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</si>
  <si>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</si>
  <si>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</si>
  <si>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</si>
  <si>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</si>
  <si>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</si>
  <si>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</si>
  <si>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</si>
  <si>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</si>
  <si>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</si>
  <si>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</si>
  <si>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</si>
  <si>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</si>
  <si>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</si>
  <si>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</si>
  <si>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</si>
  <si>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</si>
  <si>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</si>
  <si>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</si>
  <si>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</si>
  <si>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</si>
  <si>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</si>
  <si>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</si>
  <si>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</si>
  <si>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</si>
  <si>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</si>
  <si>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</si>
  <si>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</si>
  <si>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</si>
  <si>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</si>
  <si>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</si>
  <si>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</si>
  <si>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</si>
  <si>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</si>
  <si>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</si>
  <si>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</si>
  <si>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</si>
  <si>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</si>
  <si>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</si>
  <si>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</si>
  <si>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</si>
  <si>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</si>
  <si>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</si>
  <si>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</si>
  <si>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</si>
  <si>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</si>
  <si>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</si>
  <si>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</si>
  <si>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</si>
  <si>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</si>
  <si>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</si>
  <si>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</si>
  <si>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</si>
  <si>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</si>
  <si>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</si>
  <si>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</si>
  <si>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</si>
  <si>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</si>
  <si>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</si>
  <si>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</si>
  <si>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</si>
  <si>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</si>
  <si>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</si>
  <si>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</si>
  <si>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</si>
  <si>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</si>
  <si>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</si>
  <si>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</si>
  <si>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</si>
  <si>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</si>
  <si>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</si>
  <si>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</si>
  <si>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</si>
  <si>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</si>
  <si>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</si>
  <si>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</si>
  <si>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</si>
  <si>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</si>
  <si>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</si>
  <si>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</si>
  <si>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</si>
  <si>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</si>
  <si>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</si>
  <si>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</si>
  <si>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</si>
  <si>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</si>
  <si>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</si>
  <si>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</si>
  <si>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</si>
  <si>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</si>
  <si>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</si>
  <si>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</si>
  <si>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</si>
  <si>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</si>
  <si>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</si>
  <si>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</si>
  <si>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</si>
  <si>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</si>
  <si>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</si>
  <si>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</si>
  <si>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</si>
  <si>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</si>
  <si>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</si>
  <si>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</si>
  <si>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</si>
  <si>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</si>
  <si>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</si>
  <si>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</si>
  <si>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</si>
  <si>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</si>
  <si>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</si>
  <si>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</si>
  <si>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</si>
  <si>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</si>
  <si>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</si>
  <si>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</si>
  <si>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</si>
  <si>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</si>
  <si>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</si>
  <si>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</si>
  <si>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</si>
  <si>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</si>
  <si>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</si>
  <si>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</si>
  <si>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</si>
  <si>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</si>
  <si>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</si>
  <si>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</si>
  <si>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</si>
  <si>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</si>
  <si>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</si>
  <si>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</si>
  <si>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</si>
  <si>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</si>
  <si>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</si>
  <si>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</si>
  <si>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</si>
  <si>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</si>
  <si>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</si>
  <si>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</si>
  <si>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</si>
  <si>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</si>
  <si>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</si>
  <si>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</si>
  <si>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</si>
  <si>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</si>
  <si>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</si>
  <si>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</si>
  <si>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</si>
  <si>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</si>
  <si>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</si>
  <si>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</si>
  <si>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</si>
  <si>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</si>
  <si>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</si>
  <si>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</si>
  <si>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</si>
  <si>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</si>
  <si>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</si>
  <si>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</si>
  <si>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</si>
  <si>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</si>
  <si>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</si>
  <si>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</si>
  <si>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</si>
  <si>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</si>
  <si>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</si>
  <si>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</si>
  <si>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</si>
  <si>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</si>
  <si>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</si>
  <si>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</si>
  <si>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</si>
  <si>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</si>
  <si>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</si>
  <si>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</si>
  <si>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</si>
  <si>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</si>
  <si>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</si>
  <si>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</si>
  <si>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</si>
  <si>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</si>
  <si>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</si>
  <si>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</si>
  <si>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</si>
  <si>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</si>
  <si>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</si>
  <si>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</si>
  <si>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</si>
  <si>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</si>
  <si>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</si>
  <si>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</si>
  <si>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</si>
  <si>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</si>
  <si>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</si>
  <si>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</si>
  <si>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</si>
  <si>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</si>
  <si>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</si>
  <si>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</si>
  <si>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</si>
  <si>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</si>
  <si>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</si>
  <si>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</si>
  <si>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</si>
  <si>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</si>
  <si>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</si>
  <si>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</si>
  <si>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</si>
  <si>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</si>
  <si>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</si>
  <si>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</si>
  <si>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</si>
  <si>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</si>
  <si>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</si>
  <si>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</si>
  <si>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</si>
  <si>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</si>
  <si>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</si>
  <si>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</si>
  <si>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</si>
  <si>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</si>
  <si>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</si>
  <si>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</si>
  <si>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</si>
  <si>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</si>
  <si>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</si>
  <si>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</si>
  <si>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</si>
  <si>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</si>
  <si>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</si>
  <si>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</si>
  <si>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</si>
  <si>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</si>
  <si>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</si>
  <si>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</si>
  <si>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</si>
  <si>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</si>
  <si>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</si>
  <si>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</si>
  <si>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</si>
  <si>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</si>
  <si>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</si>
  <si>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</si>
  <si>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</si>
  <si>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</si>
  <si>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</si>
  <si>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</si>
  <si>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</si>
  <si>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</si>
  <si>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</si>
  <si>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</si>
  <si>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</si>
  <si>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</si>
  <si>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</si>
  <si>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</si>
  <si>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</si>
  <si>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</si>
  <si>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</si>
  <si>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</si>
  <si>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</si>
  <si>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</si>
  <si>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</si>
  <si>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</si>
  <si>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</si>
  <si>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</si>
  <si>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</si>
  <si>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</si>
  <si>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</si>
  <si>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</si>
  <si>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</si>
  <si>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</si>
  <si>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</si>
  <si>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</si>
  <si>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</si>
  <si>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</si>
  <si>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</si>
  <si>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</si>
  <si>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</si>
  <si>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</si>
  <si>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</si>
  <si>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</si>
  <si>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</si>
  <si>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</si>
  <si>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</si>
  <si>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</si>
  <si>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</si>
  <si>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</si>
  <si>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</si>
  <si>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</si>
  <si>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</si>
  <si>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</si>
  <si>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</si>
  <si>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</si>
  <si>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</si>
  <si>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</si>
  <si>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</si>
  <si>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</si>
  <si>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</si>
  <si>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</si>
  <si>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</si>
  <si>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</si>
  <si>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</si>
  <si>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</si>
  <si>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</si>
  <si>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</si>
  <si>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</si>
  <si>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</si>
  <si>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</si>
  <si>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</si>
  <si>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</si>
  <si>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</si>
  <si>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</si>
  <si>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</si>
  <si>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</si>
  <si>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</si>
  <si>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</si>
  <si>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</si>
  <si>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</si>
  <si>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</si>
  <si>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</si>
  <si>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</si>
  <si>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</si>
  <si>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</si>
  <si>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</si>
  <si>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</si>
  <si>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</si>
  <si>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</si>
  <si>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</si>
  <si>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</si>
  <si>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</si>
  <si>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</si>
  <si>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</si>
  <si>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</si>
  <si>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</si>
  <si>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</si>
  <si>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</si>
  <si>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</si>
  <si>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</si>
  <si>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</si>
  <si>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</si>
  <si>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</si>
  <si>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</si>
  <si>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</si>
  <si>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</si>
  <si>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</si>
  <si>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</si>
  <si>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</si>
  <si>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</si>
  <si>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</si>
  <si>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</si>
  <si>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</si>
  <si>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</si>
  <si>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</si>
  <si>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</si>
  <si>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</si>
  <si>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</si>
  <si>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</si>
  <si>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</si>
  <si>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</si>
  <si>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</si>
  <si>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</si>
  <si>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</si>
  <si>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</si>
  <si>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</si>
  <si>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</si>
  <si>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</si>
  <si>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</si>
  <si>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</si>
  <si>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</si>
  <si>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</si>
  <si>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</si>
  <si>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</si>
  <si>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</si>
  <si>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</si>
  <si>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</si>
  <si>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</si>
  <si>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</si>
  <si>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</si>
  <si>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</si>
  <si>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</si>
  <si>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</si>
  <si>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</si>
  <si>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</si>
  <si>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</si>
  <si>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</si>
  <si>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</si>
  <si>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</si>
  <si>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</si>
  <si>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</si>
  <si>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</si>
  <si>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</si>
  <si>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</si>
  <si>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</si>
  <si>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</si>
  <si>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</si>
  <si>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</si>
  <si>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</si>
  <si>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</si>
  <si>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</si>
  <si>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</si>
  <si>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</si>
  <si>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</si>
  <si>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</si>
  <si>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</si>
  <si>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</si>
  <si>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</si>
  <si>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</si>
  <si>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</si>
  <si>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</si>
  <si>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</si>
  <si>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</si>
  <si>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</si>
  <si>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</si>
  <si>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</si>
  <si>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</si>
  <si>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</si>
  <si>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</si>
  <si>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</si>
  <si>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</si>
  <si>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</si>
  <si>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</si>
  <si>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</si>
  <si>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</si>
  <si>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</si>
  <si>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</si>
  <si>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</si>
  <si>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</si>
  <si>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</si>
  <si>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</si>
  <si>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</si>
  <si>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</si>
  <si>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</si>
  <si>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</si>
  <si>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</si>
  <si>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</si>
  <si>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</si>
  <si>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</si>
  <si>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</si>
  <si>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</si>
  <si>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</si>
  <si>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</si>
  <si>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</si>
  <si>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</si>
  <si>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</si>
  <si>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</si>
  <si>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</si>
  <si>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</si>
  <si>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</si>
  <si>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</si>
  <si>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</si>
  <si>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</si>
  <si>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</si>
  <si>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</si>
  <si>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</si>
  <si>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</si>
  <si>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</si>
  <si>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</si>
  <si>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</si>
  <si>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</si>
  <si>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</si>
  <si>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</si>
  <si>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</si>
  <si>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</si>
  <si>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</si>
  <si>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</si>
  <si>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</si>
  <si>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</si>
  <si>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</si>
  <si>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</si>
  <si>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</si>
  <si>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</si>
  <si>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</si>
  <si>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</si>
  <si>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</si>
  <si>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</si>
  <si>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</si>
  <si>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</si>
  <si>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</si>
  <si>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</si>
  <si>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</si>
  <si>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</si>
  <si>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</si>
  <si>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</si>
  <si>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</si>
  <si>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</si>
  <si>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</si>
  <si>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</si>
  <si>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</si>
  <si>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</si>
  <si>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</si>
  <si>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</si>
  <si>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</si>
  <si>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</si>
  <si>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</si>
  <si>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</si>
  <si>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</si>
  <si>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</si>
  <si>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</si>
  <si>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</si>
  <si>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</si>
  <si>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</si>
  <si>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</si>
  <si>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</si>
  <si>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</si>
  <si>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</si>
  <si>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</si>
  <si>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</si>
  <si>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</si>
  <si>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</si>
  <si>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</si>
  <si>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</si>
  <si>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</si>
  <si>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</si>
  <si>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</si>
  <si>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</si>
  <si>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</si>
  <si>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</si>
  <si>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</si>
  <si>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</si>
  <si>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</si>
  <si>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</si>
  <si>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</si>
  <si>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</si>
  <si>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</si>
  <si>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</si>
  <si>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</si>
  <si>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</si>
  <si>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</si>
  <si>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</si>
  <si>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</si>
  <si>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</si>
  <si>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</si>
  <si>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</si>
  <si>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</si>
  <si>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</si>
  <si>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</si>
  <si>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</si>
  <si>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</si>
  <si>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</si>
  <si>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</si>
  <si>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</si>
  <si>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</si>
  <si>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</si>
  <si>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</si>
  <si>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</si>
  <si>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</si>
  <si>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</si>
  <si>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</si>
  <si>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</si>
  <si>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</si>
  <si>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</si>
  <si>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</si>
  <si>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</si>
  <si>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</si>
  <si>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</si>
  <si>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</si>
  <si>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</si>
  <si>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</si>
  <si>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</si>
  <si>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</si>
  <si>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</si>
  <si>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</si>
  <si>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</si>
  <si>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</si>
  <si>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</si>
  <si>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</si>
  <si>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</si>
  <si>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</si>
  <si>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</si>
  <si>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</si>
  <si>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</si>
  <si>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</si>
  <si>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</si>
  <si>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</si>
  <si>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</si>
  <si>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</si>
  <si>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</si>
  <si>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</si>
  <si>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</si>
  <si>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</si>
  <si>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</si>
  <si>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</si>
  <si>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</si>
  <si>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</si>
  <si>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</si>
  <si>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</si>
  <si>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</si>
  <si>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</si>
  <si>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</si>
  <si>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</si>
  <si>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</si>
  <si>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</si>
  <si>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</si>
  <si>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</si>
  <si>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</si>
  <si>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</si>
  <si>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</si>
  <si>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</si>
  <si>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</si>
  <si>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</si>
  <si>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</si>
  <si>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</si>
  <si>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</si>
  <si>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</si>
  <si>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</si>
  <si>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</si>
  <si>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</si>
  <si>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</si>
  <si>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</si>
  <si>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</si>
  <si>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</si>
  <si>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</si>
  <si>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</si>
  <si>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</si>
  <si>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</si>
  <si>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</si>
  <si>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</si>
  <si>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</si>
  <si>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</si>
  <si>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</si>
  <si>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</si>
  <si>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</si>
  <si>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</si>
  <si>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</si>
  <si>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</si>
  <si>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</si>
  <si>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</si>
  <si>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</si>
  <si>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</si>
  <si>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</si>
  <si>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</si>
  <si>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</si>
  <si>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</si>
  <si>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</si>
  <si>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</si>
  <si>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</si>
  <si>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</si>
  <si>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</si>
  <si>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</si>
  <si>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</si>
  <si>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</si>
  <si>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</si>
  <si>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</si>
  <si>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</si>
  <si>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</si>
  <si>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</si>
  <si>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</si>
  <si>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</si>
  <si>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</si>
  <si>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</si>
  <si>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</si>
  <si>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</si>
  <si>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</si>
  <si>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</si>
  <si>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</si>
  <si>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</si>
  <si>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</si>
  <si>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</si>
  <si>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</si>
  <si>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</si>
  <si>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</si>
  <si>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</si>
  <si>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</si>
  <si>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</si>
  <si>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</si>
  <si>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</si>
  <si>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</si>
  <si>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</si>
  <si>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</si>
  <si>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</si>
  <si>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</si>
  <si>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</si>
  <si>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</si>
  <si>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</si>
  <si>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</si>
  <si>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</si>
  <si>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</si>
  <si>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</si>
  <si>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</si>
  <si>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</si>
  <si>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</si>
  <si>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</si>
  <si>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</si>
  <si>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</si>
  <si>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</si>
  <si>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</si>
  <si>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</si>
  <si>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</si>
  <si>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</si>
  <si>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</si>
  <si>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</si>
  <si>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</si>
  <si>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</si>
  <si>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</si>
  <si>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</si>
  <si>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</si>
  <si>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</si>
  <si>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</si>
  <si>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</si>
  <si>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</si>
  <si>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</si>
  <si>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</si>
  <si>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</si>
  <si>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</si>
  <si>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</si>
  <si>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</si>
  <si>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</si>
  <si>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</si>
  <si>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</si>
  <si>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</si>
  <si>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</si>
  <si>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</si>
  <si>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</si>
  <si>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</si>
  <si>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</si>
  <si>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</si>
  <si>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</si>
  <si>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</si>
  <si>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</si>
  <si>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</si>
  <si>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</si>
  <si>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</si>
  <si>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</si>
  <si>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</si>
  <si>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</si>
  <si>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</si>
  <si>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</si>
  <si>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</si>
  <si>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</si>
  <si>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</si>
  <si>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</si>
  <si>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</si>
  <si>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</si>
  <si>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</si>
  <si>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</si>
  <si>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</si>
  <si>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</si>
  <si>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</si>
  <si>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</si>
  <si>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</si>
  <si>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</si>
  <si>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</si>
  <si>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</si>
  <si>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</si>
  <si>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</si>
  <si>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</si>
  <si>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</si>
  <si>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</si>
  <si>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</si>
  <si>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</si>
  <si>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</si>
  <si>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</si>
  <si>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</si>
  <si>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</si>
  <si>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</si>
  <si>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</si>
  <si>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</si>
  <si>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</si>
  <si>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</si>
  <si>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</si>
  <si>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</si>
  <si>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</si>
  <si>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</si>
  <si>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</si>
  <si>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</si>
  <si>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</si>
  <si>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</si>
  <si>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</si>
  <si>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</si>
  <si>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</si>
  <si>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</si>
  <si>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</si>
  <si>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</si>
  <si>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</si>
  <si>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</si>
  <si>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</si>
  <si>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</si>
  <si>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</si>
  <si>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</si>
  <si>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</si>
  <si>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</si>
  <si>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</si>
  <si>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</si>
  <si>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</si>
  <si>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</si>
  <si>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</si>
  <si>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</si>
  <si>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</si>
  <si>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</si>
  <si>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</si>
  <si>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</si>
  <si>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</si>
  <si>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</si>
  <si>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</si>
  <si>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</si>
  <si>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</si>
  <si>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</si>
  <si>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</si>
  <si>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</si>
  <si>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</si>
  <si>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</si>
  <si>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</si>
  <si>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</si>
  <si>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</si>
  <si>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</si>
  <si>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</si>
  <si>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</si>
  <si>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</si>
  <si>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</si>
  <si>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</si>
  <si>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</si>
  <si>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</si>
  <si>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</si>
  <si>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</si>
  <si>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</si>
  <si>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</si>
  <si>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</si>
  <si>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</si>
  <si>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</si>
  <si>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</si>
  <si>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</si>
  <si>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</si>
  <si>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</si>
  <si>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</si>
  <si>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</si>
  <si>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</si>
  <si>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</si>
  <si>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</si>
  <si>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</si>
  <si>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</si>
  <si>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</si>
  <si>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</si>
  <si>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</si>
  <si>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</si>
  <si>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</si>
  <si>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</si>
  <si>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</si>
  <si>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</si>
  <si>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</si>
  <si>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</si>
  <si>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</si>
  <si>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</si>
  <si>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</si>
  <si>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</si>
  <si>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</si>
  <si>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</si>
  <si>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</si>
  <si>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</si>
  <si>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</si>
  <si>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</si>
  <si>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</si>
  <si>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</si>
  <si>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</si>
  <si>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</si>
  <si>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</si>
  <si>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</si>
  <si>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</si>
  <si>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</si>
  <si>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</si>
  <si>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</si>
  <si>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</si>
  <si>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</si>
  <si>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</si>
  <si>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</si>
  <si>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</si>
  <si>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</si>
  <si>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</si>
  <si>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</si>
  <si>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</si>
  <si>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</si>
  <si>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</si>
  <si>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</si>
  <si>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</si>
  <si>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</si>
  <si>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</si>
  <si>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</si>
  <si>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</si>
  <si>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</si>
  <si>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</si>
  <si>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</si>
  <si>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</si>
  <si>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</si>
  <si>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</si>
  <si>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</si>
  <si>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</si>
  <si>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</si>
  <si>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</si>
  <si>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</si>
  <si>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</si>
  <si>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</si>
  <si>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</si>
  <si>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</si>
  <si>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</si>
  <si>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</si>
  <si>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</si>
  <si>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</si>
  <si>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</si>
  <si>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</si>
  <si>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</si>
  <si>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</si>
  <si>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</si>
  <si>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</si>
  <si>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</si>
  <si>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</si>
  <si>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</si>
  <si>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</si>
  <si>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</si>
  <si>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</si>
  <si>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</si>
  <si>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</si>
  <si>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</si>
  <si>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</si>
  <si>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</si>
  <si>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</si>
  <si>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</si>
  <si>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</si>
  <si>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</si>
  <si>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</si>
  <si>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</si>
  <si>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</si>
  <si>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</si>
  <si>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</si>
  <si>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</si>
  <si>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</si>
  <si>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</si>
  <si>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</si>
  <si>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</si>
  <si>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</si>
  <si>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</si>
  <si>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</si>
  <si>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</si>
  <si>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</si>
  <si>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</si>
  <si>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</si>
  <si>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</si>
  <si>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</si>
  <si>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</si>
  <si>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</si>
  <si>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</si>
  <si>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</si>
  <si>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</si>
  <si>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</si>
  <si>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</si>
  <si>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</si>
  <si>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</si>
  <si>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</si>
  <si>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</si>
  <si>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</si>
  <si>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</si>
  <si>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</si>
  <si>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</si>
  <si>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</si>
  <si>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</si>
  <si>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</si>
  <si>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</si>
  <si>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</si>
  <si>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</si>
  <si>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</si>
  <si>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</si>
  <si>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</si>
  <si>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</si>
  <si>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</si>
  <si>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</si>
  <si>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</si>
  <si>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</si>
  <si>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</si>
  <si>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</si>
  <si>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</si>
  <si>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</si>
  <si>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</si>
  <si>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</si>
  <si>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</si>
  <si>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</si>
  <si>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</si>
  <si>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</si>
  <si>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</si>
  <si>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</si>
  <si>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</si>
  <si>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</si>
  <si>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</si>
  <si>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</si>
  <si>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</si>
  <si>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</si>
  <si>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</si>
  <si>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</si>
  <si>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</si>
  <si>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</si>
  <si>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</si>
  <si>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</si>
  <si>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</si>
  <si>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</si>
  <si>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</si>
  <si>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</si>
  <si>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</si>
  <si>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</si>
  <si>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</si>
  <si>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</si>
  <si>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</si>
  <si>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</si>
  <si>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</si>
  <si>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</si>
  <si>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</si>
  <si>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</si>
  <si>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</si>
  <si>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</si>
  <si>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</si>
  <si>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</si>
  <si>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</si>
  <si>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</si>
  <si>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</si>
  <si>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</si>
  <si>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</si>
  <si>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</si>
  <si>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</si>
  <si>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</si>
  <si>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</si>
  <si>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</si>
  <si>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</si>
  <si>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</si>
  <si>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</si>
  <si>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</si>
  <si>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</si>
  <si>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</si>
  <si>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</si>
  <si>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</si>
  <si>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</si>
  <si>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</si>
  <si>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</si>
  <si>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</si>
  <si>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</si>
  <si>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</si>
  <si>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</si>
  <si>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</si>
  <si>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</si>
  <si>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</si>
  <si>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</si>
  <si>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</si>
  <si>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</si>
  <si>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</si>
  <si>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</si>
  <si>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</si>
  <si>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</si>
  <si>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</si>
  <si>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</si>
  <si>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</si>
  <si>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</si>
  <si>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</si>
  <si>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</si>
  <si>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</si>
  <si>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</si>
  <si>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</si>
  <si>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</si>
  <si>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</si>
  <si>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</si>
  <si>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</si>
  <si>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</si>
  <si>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</si>
  <si>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</si>
  <si>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</si>
  <si>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</si>
  <si>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</si>
  <si>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</si>
  <si>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</si>
  <si>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</si>
  <si>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</si>
  <si>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</si>
  <si>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</si>
  <si>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</si>
  <si>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</si>
  <si>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</si>
  <si>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</si>
  <si>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</si>
  <si>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</si>
  <si>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</si>
  <si>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</si>
  <si>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</si>
  <si>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</si>
  <si>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</si>
  <si>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</si>
  <si>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</si>
  <si>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</si>
  <si>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</si>
  <si>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</si>
  <si>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</si>
  <si>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</si>
  <si>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</si>
  <si>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</si>
  <si>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</si>
  <si>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</si>
  <si>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</si>
  <si>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</si>
  <si>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</si>
  <si>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</si>
  <si>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</si>
  <si>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</si>
  <si>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</si>
  <si>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</si>
  <si>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</si>
  <si>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</si>
  <si>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</si>
  <si>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</si>
  <si>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</si>
  <si>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</si>
  <si>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</si>
  <si>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</si>
  <si>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</si>
  <si>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</si>
  <si>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</si>
  <si>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</si>
  <si>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</si>
  <si>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</si>
  <si>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</si>
  <si>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</si>
  <si>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</si>
  <si>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</si>
  <si>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</si>
  <si>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</si>
  <si>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</si>
  <si>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</si>
  <si>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</si>
  <si>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</si>
  <si>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</si>
  <si>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</si>
  <si>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</si>
  <si>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</si>
  <si>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</si>
  <si>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</si>
  <si>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</si>
  <si>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</si>
  <si>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</si>
  <si>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</si>
  <si>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</si>
  <si>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</si>
  <si>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</si>
  <si>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</si>
  <si>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</si>
  <si>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</si>
  <si>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</si>
  <si>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</si>
  <si>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</si>
  <si>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</si>
  <si>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</si>
  <si>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</si>
  <si>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</si>
  <si>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</si>
  <si>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</si>
  <si>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</si>
  <si>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</si>
  <si>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</si>
  <si>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</si>
  <si>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</si>
  <si>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</si>
  <si>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</si>
  <si>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</si>
  <si>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</si>
  <si>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</si>
  <si>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</si>
  <si>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</si>
  <si>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</si>
  <si>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</si>
  <si>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</si>
  <si>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</si>
  <si>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</si>
  <si>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</si>
  <si>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</si>
  <si>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</si>
  <si>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</si>
  <si>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</si>
  <si>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</si>
  <si>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</si>
  <si>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</si>
  <si>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</si>
  <si>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</si>
  <si>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</si>
  <si>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</si>
  <si>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</si>
  <si>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</si>
  <si>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</si>
  <si>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</si>
  <si>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</si>
  <si>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</si>
  <si>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</si>
  <si>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</si>
  <si>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</si>
  <si>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</si>
  <si>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</si>
  <si>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</si>
  <si>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</si>
  <si>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</si>
  <si>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</si>
  <si>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</si>
  <si>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</si>
  <si>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</si>
  <si>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</si>
  <si>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</si>
  <si>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</si>
  <si>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</si>
  <si>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</si>
  <si>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</si>
  <si>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</si>
  <si>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</si>
  <si>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</si>
  <si>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</si>
  <si>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</si>
  <si>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</si>
  <si>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</si>
  <si>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</si>
  <si>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</si>
  <si>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</si>
  <si>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</si>
  <si>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</si>
  <si>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</si>
  <si>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</si>
  <si>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</si>
  <si>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</si>
  <si>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</si>
  <si>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</si>
  <si>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</si>
  <si>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</si>
  <si>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</si>
  <si>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</si>
  <si>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</si>
  <si>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</si>
  <si>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</si>
  <si>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</si>
  <si>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</si>
  <si>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</si>
  <si>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</si>
  <si>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</si>
  <si>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</si>
  <si>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</si>
  <si>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</si>
  <si>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</si>
  <si>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</si>
  <si>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</si>
  <si>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</si>
  <si>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</si>
  <si>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</si>
  <si>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</si>
  <si>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</si>
  <si>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</si>
  <si>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</si>
  <si>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</si>
  <si>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</si>
  <si>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</si>
  <si>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</si>
  <si>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</si>
  <si>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</si>
  <si>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</si>
  <si>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</si>
  <si>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</si>
  <si>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</si>
  <si>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</si>
  <si>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</si>
  <si>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</si>
  <si>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California Supportive Housing</t>
  </si>
  <si>
    <t>CSH San Pablo Housing</t>
  </si>
  <si>
    <t>Punit Bhargava</t>
  </si>
  <si>
    <t>President and CEO</t>
  </si>
  <si>
    <t>January</t>
  </si>
  <si>
    <t>Los Altos</t>
  </si>
  <si>
    <t>City of Berkeley</t>
  </si>
  <si>
    <t xml:space="preserve"> 2180 Milvia St</t>
  </si>
  <si>
    <t>Berkeley</t>
  </si>
  <si>
    <t>(510) 981-7000</t>
  </si>
  <si>
    <t>Paul Buddenhagen</t>
  </si>
  <si>
    <t>CManager@berkeleyca.gov</t>
  </si>
  <si>
    <t>056-1983-042-01</t>
  </si>
  <si>
    <t>40%/60%</t>
  </si>
  <si>
    <t>1015 Saint Joseph Ave</t>
  </si>
  <si>
    <t>CA</t>
  </si>
  <si>
    <t>408-647-4720</t>
  </si>
  <si>
    <t>Administrative GP</t>
  </si>
  <si>
    <t>Managing GP</t>
  </si>
  <si>
    <t>None</t>
  </si>
  <si>
    <t>Community Resident Services, Inc.</t>
  </si>
  <si>
    <t>2554 Millcreek Drive Ste 101</t>
  </si>
  <si>
    <t>Erin Myers</t>
  </si>
  <si>
    <t>(916) 900-1307</t>
  </si>
  <si>
    <t xml:space="preserve">erin@communityresidentservices.com </t>
  </si>
  <si>
    <t>Managing General Partner</t>
  </si>
  <si>
    <t>TBD</t>
  </si>
  <si>
    <t>Propp Christensen Caniglia LLP</t>
  </si>
  <si>
    <t>9261 Sierra College Blvd</t>
  </si>
  <si>
    <t>Roseville, CA 95661</t>
  </si>
  <si>
    <t>Justin Gierth</t>
  </si>
  <si>
    <t>916-791-2900</t>
  </si>
  <si>
    <t>jgierth@pccllp.com</t>
  </si>
  <si>
    <t>Valbridge Property Advisors</t>
  </si>
  <si>
    <t>3160 Crow Canyon, Suite 245</t>
  </si>
  <si>
    <t>San Ramon, CA 94583</t>
  </si>
  <si>
    <t>Garrett Warren</t>
  </si>
  <si>
    <t>925-327-1660</t>
  </si>
  <si>
    <t xml:space="preserve">gwarren@valbridge.com </t>
  </si>
  <si>
    <t>California Muncipal Financial Authority</t>
  </si>
  <si>
    <t>2111 Palomar Airport Rd. Ste. 320</t>
  </si>
  <si>
    <t>Carlsbad, CA 92011</t>
  </si>
  <si>
    <t>Anthony Stubbs</t>
  </si>
  <si>
    <t>760-930-1333</t>
  </si>
  <si>
    <t>astubbs@cmfa-ca.com</t>
  </si>
  <si>
    <t>Not Applicable</t>
  </si>
  <si>
    <t>FPI Management Corporation</t>
  </si>
  <si>
    <t>800 Iron Point Rd</t>
  </si>
  <si>
    <t>Folsom, CA 95630</t>
  </si>
  <si>
    <t>Chelsea Flynn</t>
  </si>
  <si>
    <t>916-850-4404</t>
  </si>
  <si>
    <t>chelsea.flynn@fpimgt.com</t>
  </si>
  <si>
    <t>Laurin Associates</t>
  </si>
  <si>
    <t xml:space="preserve">1501 Sports Drive, Suite A  </t>
  </si>
  <si>
    <t>Sacramento, CA 95834</t>
  </si>
  <si>
    <t>Stefanie Williams</t>
  </si>
  <si>
    <t xml:space="preserve"> 916-372-6100</t>
  </si>
  <si>
    <t xml:space="preserve">swilliams@laurinassociates.com </t>
  </si>
  <si>
    <t>Partner Engineering and Science, Inc.</t>
  </si>
  <si>
    <t>2154 Torrance Blvd</t>
  </si>
  <si>
    <t>Torrance, CA  90501</t>
  </si>
  <si>
    <t>Jay Grenfell</t>
  </si>
  <si>
    <t>415-992-3755</t>
  </si>
  <si>
    <t>415-952-9421</t>
  </si>
  <si>
    <t xml:space="preserve">JGrenfell@partneresi.com </t>
  </si>
  <si>
    <t>Bay Area Contractors Ltd.</t>
  </si>
  <si>
    <t>Geeta Dogra</t>
  </si>
  <si>
    <t>bayareacontractorsltd@gmail.com</t>
  </si>
  <si>
    <t>Banta Design</t>
  </si>
  <si>
    <t>Phil Banta</t>
  </si>
  <si>
    <t>415-298-9461</t>
  </si>
  <si>
    <t>pbanta@bantadesign.com</t>
  </si>
  <si>
    <t>Inner City Infill Site</t>
  </si>
  <si>
    <t>Investor Equity</t>
  </si>
  <si>
    <t>Deferred to Permanent Conversion</t>
  </si>
  <si>
    <t>GreyStone[GHII] - Taxable Bond</t>
  </si>
  <si>
    <t>Fixed</t>
  </si>
  <si>
    <t xml:space="preserve">14301 FNB Parkway </t>
  </si>
  <si>
    <t>Omaha</t>
  </si>
  <si>
    <t>Frank Bravo</t>
  </si>
  <si>
    <t>619.613.5527</t>
  </si>
  <si>
    <t>Gargi Sharma</t>
  </si>
  <si>
    <t>GreyStone[GHII] - B-Bond</t>
  </si>
  <si>
    <t>Income from Operations</t>
  </si>
  <si>
    <t>GP Equity</t>
  </si>
  <si>
    <t xml:space="preserve">Private Loan - Deferred Contractor Fee </t>
  </si>
  <si>
    <t>Private Loan - Seller Carry Back</t>
  </si>
  <si>
    <t>2 Bedroom</t>
  </si>
  <si>
    <t>Application Fees, Misc. Income</t>
  </si>
  <si>
    <t>Berkeley Housing Authority</t>
  </si>
  <si>
    <t>office expenses</t>
  </si>
  <si>
    <t>Cleaning</t>
  </si>
  <si>
    <t>Misc Taxes/License</t>
  </si>
  <si>
    <t>Legal for Perm Loan</t>
  </si>
  <si>
    <t>Other: Owner Legal</t>
  </si>
  <si>
    <t>2147 San Pablo Ave</t>
  </si>
  <si>
    <t>Elan Apartments LLC</t>
  </si>
  <si>
    <t xml:space="preserve">Sensory Impaired Pursuant to CBC Chapter 11B															</t>
  </si>
  <si>
    <t>High Density Residential / Commercial</t>
  </si>
  <si>
    <t>C-W / Maximum Density - No Cap</t>
  </si>
  <si>
    <t>C-W / 96 units</t>
  </si>
  <si>
    <t>85' Allowable</t>
  </si>
  <si>
    <t>1.5 parking space / 1000 sq ft</t>
  </si>
  <si>
    <t>47025 Marrakesh Drive</t>
  </si>
  <si>
    <t>Palm Desert, CA 92260</t>
  </si>
  <si>
    <t>Los Altos, CA 94024</t>
  </si>
  <si>
    <t>8335 Sunset Blvd, Ste 203</t>
  </si>
  <si>
    <t>West Hollywood</t>
  </si>
  <si>
    <t>Roy Faerber</t>
  </si>
  <si>
    <t>(310) 860-4550</t>
  </si>
  <si>
    <t>2147 SAN PABLO, LLC</t>
  </si>
  <si>
    <t>Kaiwei Wang</t>
  </si>
  <si>
    <t>Manager</t>
  </si>
  <si>
    <t>925.386.0285</t>
  </si>
  <si>
    <t>1117 Virginia St. Unit # D, Berkeley CA 94702</t>
  </si>
  <si>
    <t>LHTF Funding and AB2011 approval</t>
  </si>
  <si>
    <t>sanpablo.housing@cshousing.org</t>
  </si>
  <si>
    <t>Provided</t>
  </si>
  <si>
    <t>GreyStone[GHI] - Tax Exempt</t>
  </si>
  <si>
    <t>Bay Area Affordable Housing Loan</t>
  </si>
  <si>
    <t>Developer Equity</t>
  </si>
  <si>
    <t>Deferred Contractor Loan - Private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</si>
</sst>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89">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9" fontId="19" fillId="0" borderId="11" xfId="4494" applyFont="1" applyBorder="1" applyAlignment="1">
      <alignment horizontal="center"/>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19" fillId="5" borderId="6" xfId="0"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66" fontId="2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8" fillId="5" borderId="4"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26" fillId="0" borderId="9" xfId="0" applyFont="1" applyBorder="1" applyAlignment="1">
      <alignment horizontal="center"/>
    </xf>
    <xf numFmtId="0" fontId="26" fillId="0" borderId="6" xfId="0" applyFont="1" applyBorder="1" applyAlignment="1">
      <alignment horizontal="center"/>
    </xf>
    <xf numFmtId="0" fontId="0" fillId="5" borderId="4" xfId="0" applyFill="1" applyBorder="1" applyAlignment="1" applyProtection="1">
      <alignment horizontal="left"/>
      <protection locked="0"/>
    </xf>
    <xf numFmtId="0" fontId="28" fillId="0" borderId="0" xfId="0" applyFont="1" applyAlignment="1">
      <alignment horizontal="left" vertical="top" wrapText="1"/>
    </xf>
    <xf numFmtId="0" fontId="19" fillId="0" borderId="0" xfId="0" applyFont="1" applyAlignment="1">
      <alignment wrapText="1"/>
    </xf>
    <xf numFmtId="0" fontId="25" fillId="3" borderId="0" xfId="0" applyFont="1" applyFill="1" applyAlignment="1">
      <alignment horizontal="center" vertical="center"/>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0" fontId="19"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28" fillId="5" borderId="11" xfId="0" applyNumberFormat="1" applyFont="1" applyFill="1" applyBorder="1" applyAlignment="1" applyProtection="1">
      <alignment horizontal="center"/>
      <protection locked="0"/>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80" fontId="0" fillId="0" borderId="6" xfId="0" applyNumberForma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19" fillId="0" borderId="3" xfId="0" applyFont="1" applyBorder="1" applyAlignment="1">
      <alignment horizontal="center"/>
    </xf>
    <xf numFmtId="0" fontId="19" fillId="0" borderId="5" xfId="0" applyFont="1" applyBorder="1" applyAlignment="1">
      <alignment horizontal="center"/>
    </xf>
    <xf numFmtId="0" fontId="28" fillId="2" borderId="11" xfId="0" applyFont="1" applyFill="1" applyBorder="1" applyAlignment="1">
      <alignment horizontal="center"/>
    </xf>
    <xf numFmtId="0" fontId="28" fillId="45" borderId="11" xfId="0" applyFont="1" applyFill="1" applyBorder="1" applyAlignment="1">
      <alignment horizontal="center"/>
    </xf>
    <xf numFmtId="0" fontId="19" fillId="0" borderId="4"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11" xfId="0" applyFont="1" applyBorder="1" applyAlignment="1">
      <alignment horizontal="center"/>
    </xf>
    <xf numFmtId="0" fontId="19" fillId="0" borderId="11" xfId="543" applyBorder="1" applyAlignment="1">
      <alignment horizontal="center"/>
    </xf>
    <xf numFmtId="0" fontId="28" fillId="0" borderId="4"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11" xfId="0" applyNumberFormat="1" applyFill="1" applyBorder="1" applyAlignment="1" applyProtection="1">
      <alignment horizontal="right"/>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0" fontId="26" fillId="0" borderId="0" xfId="0" applyFont="1" applyAlignment="1">
      <alignment horizontal="center" vertical="center"/>
    </xf>
    <xf numFmtId="0" fontId="26"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11"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19"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26" fillId="0" borderId="7" xfId="0" applyFont="1" applyBorder="1" applyAlignment="1">
      <alignment horizontal="center" wrapText="1"/>
    </xf>
    <xf numFmtId="168" fontId="0" fillId="5" borderId="11"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0" fontId="26" fillId="0" borderId="2" xfId="0" applyFont="1" applyBorder="1" applyAlignment="1">
      <alignment horizontal="right"/>
    </xf>
    <xf numFmtId="0" fontId="26" fillId="0" borderId="7" xfId="0" applyFont="1" applyBorder="1" applyAlignment="1">
      <alignment horizontal="right"/>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0" xfId="543" applyAlignment="1">
      <alignment horizontal="center"/>
    </xf>
    <xf numFmtId="2" fontId="19"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0" fillId="0" borderId="11" xfId="0" applyNumberForma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0" fillId="5" borderId="11" xfId="0" applyNumberFormat="1" applyFill="1" applyBorder="1" applyProtection="1">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8" fillId="0" borderId="3" xfId="0" applyFont="1" applyBorder="1" applyAlignment="1">
      <alignment horizontal="left"/>
    </xf>
    <xf numFmtId="0" fontId="19" fillId="5" borderId="4" xfId="0" applyFont="1" applyFill="1" applyBorder="1" applyAlignment="1" applyProtection="1">
      <alignment wrapText="1"/>
      <protection locked="0"/>
    </xf>
    <xf numFmtId="171" fontId="19" fillId="0" borderId="0" xfId="543" applyNumberFormat="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0" fontId="0" fillId="5" borderId="4" xfId="0" applyNumberForma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1" xfId="0" applyFont="1" applyBorder="1" applyAlignment="1">
      <alignment horizontal="center" vertical="center"/>
    </xf>
    <xf numFmtId="166" fontId="19" fillId="5" borderId="4" xfId="0" applyNumberFormat="1" applyFont="1" applyFill="1" applyBorder="1" applyAlignment="1" applyProtection="1">
      <alignment horizontal="left"/>
      <protection locked="0"/>
    </xf>
    <xf numFmtId="0" fontId="19" fillId="5" borderId="11" xfId="0" applyFont="1" applyFill="1" applyBorder="1" applyAlignment="1" applyProtection="1">
      <alignment horizontal="left" vertical="center" wrapText="1"/>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9" fillId="5" borderId="11" xfId="0" applyFont="1" applyFill="1" applyBorder="1" applyAlignment="1" applyProtection="1">
      <alignment vertical="center" wrapText="1"/>
      <protection locked="0"/>
    </xf>
    <xf numFmtId="0" fontId="0" fillId="0" borderId="12" xfId="0" applyBorder="1" applyAlignment="1">
      <alignment horizontal="center"/>
    </xf>
    <xf numFmtId="0" fontId="0" fillId="43" borderId="4" xfId="0"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71" fontId="19" fillId="0" borderId="0" xfId="543" applyNumberFormat="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9" fontId="19"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68" fontId="157" fillId="0" borderId="0" xfId="0" applyNumberFormat="1" applyFont="1" applyAlignment="1">
      <alignment horizontal="center" vertical="center" wrapText="1"/>
    </xf>
    <xf numFmtId="0" fontId="28" fillId="5" borderId="6" xfId="271" applyFill="1" applyBorder="1" applyProtection="1">
      <protection locked="0"/>
    </xf>
    <xf numFmtId="0" fontId="19" fillId="43" borderId="11" xfId="0" applyFont="1" applyFill="1" applyBorder="1" applyAlignment="1" applyProtection="1">
      <alignment horizontal="center"/>
      <protection locked="0"/>
    </xf>
    <xf numFmtId="0" fontId="28" fillId="0" borderId="11" xfId="0" applyFont="1" applyBorder="1" applyAlignment="1">
      <alignment horizontal="center"/>
    </xf>
    <xf numFmtId="0" fontId="0" fillId="5" borderId="3" xfId="0" quotePrefix="1" applyFill="1" applyBorder="1" applyAlignment="1" applyProtection="1">
      <alignment horizontal="right"/>
      <protection locked="0"/>
    </xf>
    <xf numFmtId="0" fontId="19" fillId="0" borderId="4" xfId="0" applyFont="1" applyBorder="1" applyAlignment="1">
      <alignment horizontal="left"/>
    </xf>
    <xf numFmtId="0" fontId="19" fillId="0" borderId="5" xfId="0" applyFont="1"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8" fontId="19"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38"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1" fontId="28"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8" fillId="0" borderId="4" xfId="0" applyFont="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9" fillId="5" borderId="0" xfId="244"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168" fontId="28" fillId="0" borderId="11" xfId="0" applyNumberFormat="1" applyFont="1" applyBorder="1" applyAlignment="1">
      <alignment horizontal="center"/>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28" fillId="5" borderId="11" xfId="0" applyFont="1" applyFill="1" applyBorder="1" applyAlignment="1" applyProtection="1">
      <alignment horizontal="center"/>
      <protection locked="0"/>
    </xf>
    <xf numFmtId="0" fontId="19" fillId="5" borderId="4" xfId="0" applyFont="1" applyFill="1" applyBorder="1" applyAlignment="1" applyProtection="1">
      <alignment horizontal="center" wrapText="1"/>
      <protection locked="0"/>
    </xf>
    <xf numFmtId="10" fontId="28"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0" fontId="28"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0" fontId="19" fillId="5" borderId="3" xfId="569" applyFill="1" applyBorder="1" applyAlignment="1" applyProtection="1">
      <alignment horizontal="center"/>
      <protection locked="0"/>
    </xf>
    <xf numFmtId="0" fontId="19" fillId="5" borderId="4" xfId="569" applyFill="1" applyBorder="1" applyAlignment="1" applyProtection="1">
      <alignment horizontal="center"/>
      <protection locked="0"/>
    </xf>
    <xf numFmtId="0" fontId="19" fillId="5" borderId="5" xfId="569"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8" fillId="5" borderId="11" xfId="0" quotePrefix="1" applyNumberFormat="1" applyFont="1" applyFill="1" applyBorder="1" applyAlignment="1" applyProtection="1">
      <alignment horizontal="center"/>
      <protection locked="0"/>
    </xf>
    <xf numFmtId="3" fontId="28"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26"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D9D4AE62-828C-4D80-B767-1707C184694F}"/>
    <cellStyle name="20% - Accent1 11" xfId="8758" xr:uid="{2F735C8D-70CB-4E84-A95A-4445894745BC}"/>
    <cellStyle name="20% - Accent1 11 2" xfId="18082" xr:uid="{A01FB016-8296-404E-BA43-5DDF8DBE5B55}"/>
    <cellStyle name="20% - Accent1 12" xfId="9613" xr:uid="{1DFFBBBF-64E8-45B6-8CBC-4AFCD6C52E51}"/>
    <cellStyle name="20% - Accent1 2" xfId="2" xr:uid="{00000000-0005-0000-0000-000002000000}"/>
    <cellStyle name="20% - Accent1 2 10" xfId="8797" xr:uid="{7F4BEAE6-CC35-4B07-89BD-8FC5D6B3D35B}"/>
    <cellStyle name="20% - Accent1 2 10 2" xfId="18121" xr:uid="{34FFA5CD-DFF8-4767-9072-34E59B71DCA5}"/>
    <cellStyle name="20% - Accent1 2 11" xfId="9614" xr:uid="{112C0874-AD7C-4307-A940-C4FC19086FAD}"/>
    <cellStyle name="20% - Accent1 2 2" xfId="3" xr:uid="{00000000-0005-0000-0000-000003000000}"/>
    <cellStyle name="20% - Accent1 2 2 10" xfId="9615" xr:uid="{A3ED128E-E3DE-4459-8C74-DD06E29242CE}"/>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AF94DD36-E28B-455F-84E6-928F8502044F}"/>
    <cellStyle name="20% - Accent1 2 2 2 2 2 3" xfId="12175" xr:uid="{D69F0705-5BC8-4F01-BE61-52985EA059DD}"/>
    <cellStyle name="20% - Accent1 2 2 2 2 3" xfId="4921" xr:uid="{00000000-0005-0000-0000-000008000000}"/>
    <cellStyle name="20% - Accent1 2 2 2 2 3 2" xfId="14247" xr:uid="{DE8D07B9-571B-4CA2-B1CE-71F68603A720}"/>
    <cellStyle name="20% - Accent1 2 2 2 2 4" xfId="9532" xr:uid="{D5FAB462-C5A9-4306-AA37-C118C84F9393}"/>
    <cellStyle name="20% - Accent1 2 2 2 2 4 2" xfId="18847" xr:uid="{5BFF1A43-E41E-4D88-87B9-AE0851E176BD}"/>
    <cellStyle name="20% - Accent1 2 2 2 2 5" xfId="10030" xr:uid="{167EE12D-3518-40AE-BE45-261164919847}"/>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C4F876AD-254B-4F7C-B40F-2F4475CB1573}"/>
    <cellStyle name="20% - Accent1 2 2 2 3 2 3" xfId="12588" xr:uid="{E7D70420-2787-45B2-B0AE-360409EF23C4}"/>
    <cellStyle name="20% - Accent1 2 2 2 3 3" xfId="5334" xr:uid="{00000000-0005-0000-0000-00000C000000}"/>
    <cellStyle name="20% - Accent1 2 2 2 3 3 2" xfId="14660" xr:uid="{1A89EF12-0646-4756-B81B-327B78E9D383}"/>
    <cellStyle name="20% - Accent1 2 2 2 3 4" xfId="10443" xr:uid="{4AF9E44A-A8EC-4AD1-BFA5-D9623DC7A935}"/>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670B41EB-57F8-409E-AC5F-3EBB0BDD52A4}"/>
    <cellStyle name="20% - Accent1 2 2 2 4 2 3" xfId="13001" xr:uid="{2495518E-CD60-454C-B8B2-89816A6B54F0}"/>
    <cellStyle name="20% - Accent1 2 2 2 4 3" xfId="5747" xr:uid="{00000000-0005-0000-0000-000010000000}"/>
    <cellStyle name="20% - Accent1 2 2 2 4 3 2" xfId="15073" xr:uid="{F2638495-DB7B-4841-BB3C-3910291DC273}"/>
    <cellStyle name="20% - Accent1 2 2 2 4 4" xfId="10856" xr:uid="{BFB0E5F3-EBDE-4A1D-BF78-CEF53B205207}"/>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FAF3C9FE-87AA-4687-A42A-BFD487E3F5BF}"/>
    <cellStyle name="20% - Accent1 2 2 2 5 2 3" xfId="13414" xr:uid="{1959884F-F1C3-4CAA-ADA3-C6E96CD08D3B}"/>
    <cellStyle name="20% - Accent1 2 2 2 5 3" xfId="6160" xr:uid="{00000000-0005-0000-0000-000014000000}"/>
    <cellStyle name="20% - Accent1 2 2 2 5 3 2" xfId="15486" xr:uid="{BC652AF5-E8B4-42CF-B298-F00543414DC2}"/>
    <cellStyle name="20% - Accent1 2 2 2 5 4" xfId="11269" xr:uid="{AC5E3C54-D18C-40B6-A653-E02EFBEFD27E}"/>
    <cellStyle name="20% - Accent1 2 2 2 6" xfId="2267" xr:uid="{00000000-0005-0000-0000-000015000000}"/>
    <cellStyle name="20% - Accent1 2 2 2 6 2" xfId="6573" xr:uid="{00000000-0005-0000-0000-000016000000}"/>
    <cellStyle name="20% - Accent1 2 2 2 6 2 2" xfId="15899" xr:uid="{2F2CA654-120C-44D6-8A4F-24E22D360FBE}"/>
    <cellStyle name="20% - Accent1 2 2 2 6 3" xfId="11682" xr:uid="{AC969663-5DC7-4317-A720-D86257525C10}"/>
    <cellStyle name="20% - Accent1 2 2 2 7" xfId="4507" xr:uid="{00000000-0005-0000-0000-000017000000}"/>
    <cellStyle name="20% - Accent1 2 2 2 7 2" xfId="13833" xr:uid="{D9472067-CF6E-46E8-926B-37B4B8631FD8}"/>
    <cellStyle name="20% - Accent1 2 2 2 8" xfId="9107" xr:uid="{4168D01E-823F-4E8F-9A1D-70697AC1F241}"/>
    <cellStyle name="20% - Accent1 2 2 2 8 2" xfId="18431" xr:uid="{BD61B42A-EF0A-4B08-8AA6-7FCE6260474A}"/>
    <cellStyle name="20% - Accent1 2 2 2 9" xfId="9616" xr:uid="{DAB60B7F-09FD-44E6-A18F-C9794E8E5F5D}"/>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60A9D96C-41AB-494F-B0D5-38AE31023EDE}"/>
    <cellStyle name="20% - Accent1 2 2 3 2 3" xfId="12174" xr:uid="{D40E863B-810C-421D-9A94-9C699E7981DA}"/>
    <cellStyle name="20% - Accent1 2 2 3 3" xfId="4920" xr:uid="{00000000-0005-0000-0000-00001B000000}"/>
    <cellStyle name="20% - Accent1 2 2 3 3 2" xfId="14246" xr:uid="{8CEEAAAF-EBD0-4038-B96B-C46133E4D2A3}"/>
    <cellStyle name="20% - Accent1 2 2 3 4" xfId="9325" xr:uid="{DE19910B-698B-4F31-B25F-3533B35DDA95}"/>
    <cellStyle name="20% - Accent1 2 2 3 4 2" xfId="18640" xr:uid="{1822684A-F14B-4104-985F-8E96E9A0CE5A}"/>
    <cellStyle name="20% - Accent1 2 2 3 5" xfId="10029" xr:uid="{ABBD3D3B-B833-4A0E-85FF-3A0B0D7DB71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DE520F17-62FC-4793-9E0B-E54C7F711DE4}"/>
    <cellStyle name="20% - Accent1 2 2 4 2 3" xfId="12587" xr:uid="{36ED9AF7-36F6-45F2-BAE5-138D722E7905}"/>
    <cellStyle name="20% - Accent1 2 2 4 3" xfId="5333" xr:uid="{00000000-0005-0000-0000-00001F000000}"/>
    <cellStyle name="20% - Accent1 2 2 4 3 2" xfId="14659" xr:uid="{9466135D-AB39-4481-9A3A-C6CA532EA3C3}"/>
    <cellStyle name="20% - Accent1 2 2 4 4" xfId="10442" xr:uid="{3FD675EB-68EF-4404-B48B-C58AC60BE8A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9121C866-21AA-4AB4-BE3B-95C3CEA7D491}"/>
    <cellStyle name="20% - Accent1 2 2 5 2 3" xfId="13000" xr:uid="{C673663D-7B74-4076-8826-FB3B7FB3175E}"/>
    <cellStyle name="20% - Accent1 2 2 5 3" xfId="5746" xr:uid="{00000000-0005-0000-0000-000023000000}"/>
    <cellStyle name="20% - Accent1 2 2 5 3 2" xfId="15072" xr:uid="{4B3E8880-C381-4C52-A951-2BD2FC698EBF}"/>
    <cellStyle name="20% - Accent1 2 2 5 4" xfId="10855" xr:uid="{375378BF-E339-4BF7-A297-2CAA75CDDAA9}"/>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CF3A0B90-8E7B-4BA7-B7F7-E61FE115BE71}"/>
    <cellStyle name="20% - Accent1 2 2 6 2 3" xfId="13413" xr:uid="{FC0E34B6-DD06-4343-A157-9E863CA570D4}"/>
    <cellStyle name="20% - Accent1 2 2 6 3" xfId="6159" xr:uid="{00000000-0005-0000-0000-000027000000}"/>
    <cellStyle name="20% - Accent1 2 2 6 3 2" xfId="15485" xr:uid="{7A04A38A-3AB7-47C9-988B-8BEB37474CD4}"/>
    <cellStyle name="20% - Accent1 2 2 6 4" xfId="11268" xr:uid="{C2DD8017-E90E-4776-A9BD-C9DD0DEDEE7B}"/>
    <cellStyle name="20% - Accent1 2 2 7" xfId="2266" xr:uid="{00000000-0005-0000-0000-000028000000}"/>
    <cellStyle name="20% - Accent1 2 2 7 2" xfId="6572" xr:uid="{00000000-0005-0000-0000-000029000000}"/>
    <cellStyle name="20% - Accent1 2 2 7 2 2" xfId="15898" xr:uid="{0D153E0D-FD02-455D-BF60-A82BAC8F77C1}"/>
    <cellStyle name="20% - Accent1 2 2 7 3" xfId="11681" xr:uid="{D7847209-303A-4F99-ABBD-48F577A2F30A}"/>
    <cellStyle name="20% - Accent1 2 2 8" xfId="4506" xr:uid="{00000000-0005-0000-0000-00002A000000}"/>
    <cellStyle name="20% - Accent1 2 2 8 2" xfId="13832" xr:uid="{8D39B026-B021-42E7-A5CD-99331AE15CB6}"/>
    <cellStyle name="20% - Accent1 2 2 9" xfId="8900" xr:uid="{7D7E3EAF-DF6A-403F-8C20-66BB9757790F}"/>
    <cellStyle name="20% - Accent1 2 2 9 2" xfId="18224" xr:uid="{D4598874-95E9-4996-988C-AB67A8F2A73A}"/>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19361989-3BA4-4C68-BC3A-435C2815EE22}"/>
    <cellStyle name="20% - Accent1 2 3 2 2 3" xfId="12176" xr:uid="{1727042C-503F-4E5C-81EE-FE3E2775F480}"/>
    <cellStyle name="20% - Accent1 2 3 2 3" xfId="4922" xr:uid="{00000000-0005-0000-0000-00002F000000}"/>
    <cellStyle name="20% - Accent1 2 3 2 3 2" xfId="14248" xr:uid="{833F2BAB-0096-459D-905C-25FFD857EDF6}"/>
    <cellStyle name="20% - Accent1 2 3 2 4" xfId="9429" xr:uid="{CCD4BD61-3143-497B-A316-8024A8762A6C}"/>
    <cellStyle name="20% - Accent1 2 3 2 4 2" xfId="18744" xr:uid="{98FA1A42-686A-4F22-83A3-8D12E32356AD}"/>
    <cellStyle name="20% - Accent1 2 3 2 5" xfId="10031" xr:uid="{ABE85896-F9A9-482B-BAFF-3F29101DD05D}"/>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90657C53-0354-41E6-B226-175C74CC97B9}"/>
    <cellStyle name="20% - Accent1 2 3 3 2 3" xfId="12589" xr:uid="{A1323C45-1A27-42F7-97D1-F986183D88DC}"/>
    <cellStyle name="20% - Accent1 2 3 3 3" xfId="5335" xr:uid="{00000000-0005-0000-0000-000033000000}"/>
    <cellStyle name="20% - Accent1 2 3 3 3 2" xfId="14661" xr:uid="{83662334-0B99-4FC9-83E1-5B4E5A64888E}"/>
    <cellStyle name="20% - Accent1 2 3 3 4" xfId="10444" xr:uid="{72DF7C3F-F156-4A04-92AC-9835DF18ADF3}"/>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352C8747-460F-434D-964D-11A1124CEFC7}"/>
    <cellStyle name="20% - Accent1 2 3 4 2 3" xfId="13002" xr:uid="{F4171810-5C0E-4E1B-A5D7-9BBEA632598D}"/>
    <cellStyle name="20% - Accent1 2 3 4 3" xfId="5748" xr:uid="{00000000-0005-0000-0000-000037000000}"/>
    <cellStyle name="20% - Accent1 2 3 4 3 2" xfId="15074" xr:uid="{834259D1-FE8F-488A-A7B0-115194B0B4B9}"/>
    <cellStyle name="20% - Accent1 2 3 4 4" xfId="10857" xr:uid="{372D7945-4A17-4D51-A5B5-E0E2D20314A9}"/>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BDC3EDB3-DB86-4D18-9330-47DA17FFFA51}"/>
    <cellStyle name="20% - Accent1 2 3 5 2 3" xfId="13415" xr:uid="{70C200ED-6B59-4BA5-9C07-E2650974D88C}"/>
    <cellStyle name="20% - Accent1 2 3 5 3" xfId="6161" xr:uid="{00000000-0005-0000-0000-00003B000000}"/>
    <cellStyle name="20% - Accent1 2 3 5 3 2" xfId="15487" xr:uid="{C249C509-3166-4B5B-A081-7808662AEA68}"/>
    <cellStyle name="20% - Accent1 2 3 5 4" xfId="11270" xr:uid="{5A083B30-FC55-46F9-AE9D-896486FE6CC1}"/>
    <cellStyle name="20% - Accent1 2 3 6" xfId="2268" xr:uid="{00000000-0005-0000-0000-00003C000000}"/>
    <cellStyle name="20% - Accent1 2 3 6 2" xfId="6574" xr:uid="{00000000-0005-0000-0000-00003D000000}"/>
    <cellStyle name="20% - Accent1 2 3 6 2 2" xfId="15900" xr:uid="{0C6A9A4C-55E1-44D4-8EFC-DDBC3ACC538F}"/>
    <cellStyle name="20% - Accent1 2 3 6 3" xfId="11683" xr:uid="{AC9B01A5-1DE0-4A3A-BE87-19C6A5279B7E}"/>
    <cellStyle name="20% - Accent1 2 3 7" xfId="4508" xr:uid="{00000000-0005-0000-0000-00003E000000}"/>
    <cellStyle name="20% - Accent1 2 3 7 2" xfId="13834" xr:uid="{B278C48A-618E-4FC7-927B-3BED65AAB012}"/>
    <cellStyle name="20% - Accent1 2 3 8" xfId="9004" xr:uid="{14A9C135-BB7B-44DD-97E1-B6B10773DEE2}"/>
    <cellStyle name="20% - Accent1 2 3 8 2" xfId="18328" xr:uid="{97469E8E-1C43-4D22-BDDF-FDC59A658911}"/>
    <cellStyle name="20% - Accent1 2 3 9" xfId="9617" xr:uid="{944FAF53-D83C-43DB-9429-BEA064C00C22}"/>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EB0C9241-24D3-48E4-B016-1B6EADE2B4C0}"/>
    <cellStyle name="20% - Accent1 2 4 2 3" xfId="12173" xr:uid="{F310675F-2D74-488F-9332-061F24E01813}"/>
    <cellStyle name="20% - Accent1 2 4 3" xfId="4919" xr:uid="{00000000-0005-0000-0000-000042000000}"/>
    <cellStyle name="20% - Accent1 2 4 3 2" xfId="14245" xr:uid="{DF091358-89D0-4E86-AFB2-14EE856C0BE7}"/>
    <cellStyle name="20% - Accent1 2 4 4" xfId="9221" xr:uid="{11532E3F-E59C-4FF7-9F45-291A17A69435}"/>
    <cellStyle name="20% - Accent1 2 4 4 2" xfId="18537" xr:uid="{4830D819-2146-49B0-8F3D-660B1FD76E2F}"/>
    <cellStyle name="20% - Accent1 2 4 5" xfId="10028" xr:uid="{442857F5-EB76-4D10-B743-FCCB75FD1A62}"/>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DD137A95-9DF6-4903-BB4C-7D793508873C}"/>
    <cellStyle name="20% - Accent1 2 5 2 3" xfId="12586" xr:uid="{45C8DE59-1AF7-4F07-9427-C5C2802DD8DB}"/>
    <cellStyle name="20% - Accent1 2 5 3" xfId="5332" xr:uid="{00000000-0005-0000-0000-000046000000}"/>
    <cellStyle name="20% - Accent1 2 5 3 2" xfId="14658" xr:uid="{04C9481A-5061-456A-97DC-643E54B69A3D}"/>
    <cellStyle name="20% - Accent1 2 5 4" xfId="10441" xr:uid="{5CFF0A64-6DF2-47DD-B8EE-A4184BC307E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8F2258F6-ABDE-4F50-B059-78AC80842182}"/>
    <cellStyle name="20% - Accent1 2 6 2 3" xfId="12999" xr:uid="{6D234C16-14E4-4673-9580-931E33ABBD87}"/>
    <cellStyle name="20% - Accent1 2 6 3" xfId="5745" xr:uid="{00000000-0005-0000-0000-00004A000000}"/>
    <cellStyle name="20% - Accent1 2 6 3 2" xfId="15071" xr:uid="{1CB88A19-4A36-4331-87C2-34DC270110EB}"/>
    <cellStyle name="20% - Accent1 2 6 4" xfId="10854" xr:uid="{8694C424-875C-477B-AC89-ABBCA9710E73}"/>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74A3446A-676F-453B-AC47-5C0BA708E56B}"/>
    <cellStyle name="20% - Accent1 2 7 2 3" xfId="13412" xr:uid="{93CE12F6-989F-4C95-BE82-757AEA8107F7}"/>
    <cellStyle name="20% - Accent1 2 7 3" xfId="6158" xr:uid="{00000000-0005-0000-0000-00004E000000}"/>
    <cellStyle name="20% - Accent1 2 7 3 2" xfId="15484" xr:uid="{B61AB35A-014C-4405-A7B4-B7404E605D7E}"/>
    <cellStyle name="20% - Accent1 2 7 4" xfId="11267" xr:uid="{6960AFA9-A490-4B25-81DB-168FABB8EC8E}"/>
    <cellStyle name="20% - Accent1 2 8" xfId="2265" xr:uid="{00000000-0005-0000-0000-00004F000000}"/>
    <cellStyle name="20% - Accent1 2 8 2" xfId="6571" xr:uid="{00000000-0005-0000-0000-000050000000}"/>
    <cellStyle name="20% - Accent1 2 8 2 2" xfId="15897" xr:uid="{92A89901-7AA9-4161-9FE9-9A74C54ACA05}"/>
    <cellStyle name="20% - Accent1 2 8 3" xfId="11680" xr:uid="{BB85AD38-8D0F-4CBD-ACF3-716153919B3A}"/>
    <cellStyle name="20% - Accent1 2 9" xfId="4505" xr:uid="{00000000-0005-0000-0000-000051000000}"/>
    <cellStyle name="20% - Accent1 2 9 2" xfId="13831" xr:uid="{C174CE34-AF0B-425F-8910-FC6018DBB8DB}"/>
    <cellStyle name="20% - Accent1 3" xfId="6" xr:uid="{00000000-0005-0000-0000-000052000000}"/>
    <cellStyle name="20% - Accent1 3 10" xfId="9618" xr:uid="{C1F7E46A-5693-4196-8AE6-ECE3F53D962B}"/>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0AFB6B64-09E4-4604-8131-8141FC63D8BD}"/>
    <cellStyle name="20% - Accent1 3 2 2 2 3" xfId="12178" xr:uid="{C328CB08-54E1-4E2E-BEA6-4F386A56BDB9}"/>
    <cellStyle name="20% - Accent1 3 2 2 3" xfId="4924" xr:uid="{00000000-0005-0000-0000-000057000000}"/>
    <cellStyle name="20% - Accent1 3 2 2 3 2" xfId="14250" xr:uid="{F0AEB8FC-6C35-47BB-9CF4-96C90CB073D9}"/>
    <cellStyle name="20% - Accent1 3 2 2 4" xfId="9493" xr:uid="{FCEFE71D-2A04-4899-B62A-B225DBF7F0BF}"/>
    <cellStyle name="20% - Accent1 3 2 2 4 2" xfId="18808" xr:uid="{7E1A78CC-A498-4B64-B865-8B16B0C9A1A8}"/>
    <cellStyle name="20% - Accent1 3 2 2 5" xfId="10033" xr:uid="{1B98B8D4-507B-4073-8C66-31CD14616F51}"/>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A1F05A47-C43F-4284-BA6F-9797EBDEBAD9}"/>
    <cellStyle name="20% - Accent1 3 2 3 2 3" xfId="12591" xr:uid="{E044DC8B-0859-45C2-B002-D62BE0C4BFC2}"/>
    <cellStyle name="20% - Accent1 3 2 3 3" xfId="5337" xr:uid="{00000000-0005-0000-0000-00005B000000}"/>
    <cellStyle name="20% - Accent1 3 2 3 3 2" xfId="14663" xr:uid="{0FB6298B-3619-4A90-942D-EE4D914EDEDA}"/>
    <cellStyle name="20% - Accent1 3 2 3 4" xfId="10446" xr:uid="{FF91D22F-BBE2-4DEE-B978-5CDD7E23A3F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A6C13841-F78F-4D24-996F-0A21B2FBC1C3}"/>
    <cellStyle name="20% - Accent1 3 2 4 2 3" xfId="13004" xr:uid="{D80D18DD-6F4B-4B15-903E-93B124A4DBB0}"/>
    <cellStyle name="20% - Accent1 3 2 4 3" xfId="5750" xr:uid="{00000000-0005-0000-0000-00005F000000}"/>
    <cellStyle name="20% - Accent1 3 2 4 3 2" xfId="15076" xr:uid="{CD3E4630-0BD5-4EB3-A4B9-7C42AA53D794}"/>
    <cellStyle name="20% - Accent1 3 2 4 4" xfId="10859" xr:uid="{65AFA9E3-F91B-4AB2-B1F8-9400B9B57F2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10477C84-C852-4348-A022-ADA0A9667FD1}"/>
    <cellStyle name="20% - Accent1 3 2 5 2 3" xfId="13417" xr:uid="{0324368E-6AD1-4849-ADD4-569986460C41}"/>
    <cellStyle name="20% - Accent1 3 2 5 3" xfId="6163" xr:uid="{00000000-0005-0000-0000-000063000000}"/>
    <cellStyle name="20% - Accent1 3 2 5 3 2" xfId="15489" xr:uid="{3E8BB8A5-6365-4EFF-9A9A-ECC1BA284ECA}"/>
    <cellStyle name="20% - Accent1 3 2 5 4" xfId="11272" xr:uid="{1FCD7333-9D7B-416D-A650-8E87A22D7545}"/>
    <cellStyle name="20% - Accent1 3 2 6" xfId="2270" xr:uid="{00000000-0005-0000-0000-000064000000}"/>
    <cellStyle name="20% - Accent1 3 2 6 2" xfId="6576" xr:uid="{00000000-0005-0000-0000-000065000000}"/>
    <cellStyle name="20% - Accent1 3 2 6 2 2" xfId="15902" xr:uid="{7E3767BD-68F5-4856-AC99-D6D4997D6060}"/>
    <cellStyle name="20% - Accent1 3 2 6 3" xfId="11685" xr:uid="{37D801BF-21ED-4C7B-B4AF-599C64200271}"/>
    <cellStyle name="20% - Accent1 3 2 7" xfId="4510" xr:uid="{00000000-0005-0000-0000-000066000000}"/>
    <cellStyle name="20% - Accent1 3 2 7 2" xfId="13836" xr:uid="{648BD2F1-7E09-48DB-BC66-C03C12EDD4DE}"/>
    <cellStyle name="20% - Accent1 3 2 8" xfId="9068" xr:uid="{354460C9-AD38-4FCD-882B-4DFB81DE5890}"/>
    <cellStyle name="20% - Accent1 3 2 8 2" xfId="18392" xr:uid="{D201E006-8B0F-4554-8094-EE7397DEC029}"/>
    <cellStyle name="20% - Accent1 3 2 9" xfId="9619" xr:uid="{BEC3DDB7-9FB5-42F6-B127-B1E061258AE3}"/>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FC311070-1D66-489B-97AE-3B2E84100A88}"/>
    <cellStyle name="20% - Accent1 3 3 2 3" xfId="12177" xr:uid="{FA69F1B3-AD0B-4AC4-9388-5F49BD136D52}"/>
    <cellStyle name="20% - Accent1 3 3 3" xfId="4923" xr:uid="{00000000-0005-0000-0000-00006A000000}"/>
    <cellStyle name="20% - Accent1 3 3 3 2" xfId="14249" xr:uid="{AF427FDF-9C66-4ACB-A751-F26BE3BD45DD}"/>
    <cellStyle name="20% - Accent1 3 3 4" xfId="9286" xr:uid="{B5220C4B-EBE7-4AD0-9A24-7F16FA378184}"/>
    <cellStyle name="20% - Accent1 3 3 4 2" xfId="18601" xr:uid="{85E7B7D3-5E5F-48F7-B32D-A343FBBD7DCB}"/>
    <cellStyle name="20% - Accent1 3 3 5" xfId="10032" xr:uid="{41C664B9-9E29-456E-94DE-ED544EC112BD}"/>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63741E4B-5F1B-40DE-B99E-9DE8141E5F4E}"/>
    <cellStyle name="20% - Accent1 3 4 2 3" xfId="12590" xr:uid="{020F4EDC-AFDB-4E30-898D-3CDA6226B8EA}"/>
    <cellStyle name="20% - Accent1 3 4 3" xfId="5336" xr:uid="{00000000-0005-0000-0000-00006E000000}"/>
    <cellStyle name="20% - Accent1 3 4 3 2" xfId="14662" xr:uid="{102D45CA-AD5A-4D69-9E5B-1AED46E561A6}"/>
    <cellStyle name="20% - Accent1 3 4 4" xfId="10445" xr:uid="{C2423B72-2B1A-46B8-B8F6-26DE72825B53}"/>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A8B74B88-A061-4218-9F52-E68E5A255B33}"/>
    <cellStyle name="20% - Accent1 3 5 2 3" xfId="13003" xr:uid="{5C1AD914-CA62-4E69-87AB-9F50895517B1}"/>
    <cellStyle name="20% - Accent1 3 5 3" xfId="5749" xr:uid="{00000000-0005-0000-0000-000072000000}"/>
    <cellStyle name="20% - Accent1 3 5 3 2" xfId="15075" xr:uid="{44A3B5CD-9089-4EA5-BC5B-1043D9CC281B}"/>
    <cellStyle name="20% - Accent1 3 5 4" xfId="10858" xr:uid="{58232E94-33B6-4684-A257-99ECDC338439}"/>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B318760E-823D-4B59-BD79-E5A99BB3DE7F}"/>
    <cellStyle name="20% - Accent1 3 6 2 3" xfId="13416" xr:uid="{D6017444-A408-43B2-8B2E-F104DB840600}"/>
    <cellStyle name="20% - Accent1 3 6 3" xfId="6162" xr:uid="{00000000-0005-0000-0000-000076000000}"/>
    <cellStyle name="20% - Accent1 3 6 3 2" xfId="15488" xr:uid="{3C8FD5E9-8A41-4D13-BBE8-670658C7758E}"/>
    <cellStyle name="20% - Accent1 3 6 4" xfId="11271" xr:uid="{A7A2CD8E-3A80-489E-86D6-0987A21817D6}"/>
    <cellStyle name="20% - Accent1 3 7" xfId="2269" xr:uid="{00000000-0005-0000-0000-000077000000}"/>
    <cellStyle name="20% - Accent1 3 7 2" xfId="6575" xr:uid="{00000000-0005-0000-0000-000078000000}"/>
    <cellStyle name="20% - Accent1 3 7 2 2" xfId="15901" xr:uid="{0476D30F-CCE0-4A2C-B038-0BBB582DC523}"/>
    <cellStyle name="20% - Accent1 3 7 3" xfId="11684" xr:uid="{25D5C707-A542-4CC3-970D-0DFD18425D2E}"/>
    <cellStyle name="20% - Accent1 3 8" xfId="4509" xr:uid="{00000000-0005-0000-0000-000079000000}"/>
    <cellStyle name="20% - Accent1 3 8 2" xfId="13835" xr:uid="{41A7F23F-1C69-460C-B48B-6540D089EA10}"/>
    <cellStyle name="20% - Accent1 3 9" xfId="8861" xr:uid="{C1B75176-75E3-4E31-86A7-851E7FD67A9E}"/>
    <cellStyle name="20% - Accent1 3 9 2" xfId="18185" xr:uid="{75E2BE37-72BD-4DFB-98CF-BCDBE745CCE1}"/>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C0F11097-FD53-416B-A076-76364436FE92}"/>
    <cellStyle name="20% - Accent1 4 2 2 3" xfId="12179" xr:uid="{C0B2961E-C5E2-4395-8B37-96EF390B7745}"/>
    <cellStyle name="20% - Accent1 4 2 3" xfId="4925" xr:uid="{00000000-0005-0000-0000-00007E000000}"/>
    <cellStyle name="20% - Accent1 4 2 3 2" xfId="14251" xr:uid="{DDA88578-413F-441E-9412-24B7F47EF814}"/>
    <cellStyle name="20% - Accent1 4 2 4" xfId="9372" xr:uid="{E6B08341-6F7D-4580-9BCF-4BFC252FAE31}"/>
    <cellStyle name="20% - Accent1 4 2 4 2" xfId="18687" xr:uid="{6AC38558-B746-41A5-9B2B-E2D43488DAC3}"/>
    <cellStyle name="20% - Accent1 4 2 5" xfId="10034" xr:uid="{82F1A8C9-BD0D-41FA-9C00-0BF94BD04B0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4804B59D-6511-4C67-AC9B-38922A4C9EE8}"/>
    <cellStyle name="20% - Accent1 4 3 2 3" xfId="12592" xr:uid="{053982BD-9FAB-4BCF-8262-09ABD25B461B}"/>
    <cellStyle name="20% - Accent1 4 3 3" xfId="5338" xr:uid="{00000000-0005-0000-0000-000082000000}"/>
    <cellStyle name="20% - Accent1 4 3 3 2" xfId="14664" xr:uid="{7E2CDC5F-8A58-40BF-B7E1-FEF5CF239E9B}"/>
    <cellStyle name="20% - Accent1 4 3 4" xfId="10447" xr:uid="{BD78E00E-8E16-4C80-95A7-6792B414A04A}"/>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83A7F5F0-2385-4EC8-AF72-27EC4F156E37}"/>
    <cellStyle name="20% - Accent1 4 4 2 3" xfId="13005" xr:uid="{DBFD5698-7067-45F6-BA44-5900F1AD8060}"/>
    <cellStyle name="20% - Accent1 4 4 3" xfId="5751" xr:uid="{00000000-0005-0000-0000-000086000000}"/>
    <cellStyle name="20% - Accent1 4 4 3 2" xfId="15077" xr:uid="{E2B361DD-F959-477A-B8B7-2F8F02EB9664}"/>
    <cellStyle name="20% - Accent1 4 4 4" xfId="10860" xr:uid="{D43D74CE-2909-4AB9-B40F-B67202DE53EF}"/>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B3A848AC-9A07-4843-BE65-1F146FD6BAC9}"/>
    <cellStyle name="20% - Accent1 4 5 2 3" xfId="13418" xr:uid="{E62D9763-159B-4668-839F-D7AA23D55BBB}"/>
    <cellStyle name="20% - Accent1 4 5 3" xfId="6164" xr:uid="{00000000-0005-0000-0000-00008A000000}"/>
    <cellStyle name="20% - Accent1 4 5 3 2" xfId="15490" xr:uid="{857112E0-4BF1-4C44-8443-67C8E31D30FB}"/>
    <cellStyle name="20% - Accent1 4 5 4" xfId="11273" xr:uid="{AC0C8806-F749-4D5A-AA1C-0E610E9738EB}"/>
    <cellStyle name="20% - Accent1 4 6" xfId="2271" xr:uid="{00000000-0005-0000-0000-00008B000000}"/>
    <cellStyle name="20% - Accent1 4 6 2" xfId="6577" xr:uid="{00000000-0005-0000-0000-00008C000000}"/>
    <cellStyle name="20% - Accent1 4 6 2 2" xfId="15903" xr:uid="{EE96888C-DF0C-4AB0-B938-9C23AAB84949}"/>
    <cellStyle name="20% - Accent1 4 6 3" xfId="11686" xr:uid="{190B7D25-EC55-4959-9EB4-80BD2BB39F35}"/>
    <cellStyle name="20% - Accent1 4 7" xfId="4511" xr:uid="{00000000-0005-0000-0000-00008D000000}"/>
    <cellStyle name="20% - Accent1 4 7 2" xfId="13837" xr:uid="{58782336-0245-4A63-84CC-214B95DE61BF}"/>
    <cellStyle name="20% - Accent1 4 8" xfId="8947" xr:uid="{1FCDBFE2-CC86-42DD-AD9B-D3EAF476002E}"/>
    <cellStyle name="20% - Accent1 4 8 2" xfId="18271" xr:uid="{4965337C-ABFC-4D58-9BF2-20FB10D73381}"/>
    <cellStyle name="20% - Accent1 4 9" xfId="9620" xr:uid="{89F88011-2AB4-452F-BBCB-AA37B423CB7E}"/>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894B5B19-3844-426A-9944-66F8FC4973D3}"/>
    <cellStyle name="20% - Accent1 5 2 3" xfId="12172" xr:uid="{A115D8EB-C1AA-48E9-B514-CB7FCCFF9430}"/>
    <cellStyle name="20% - Accent1 5 3" xfId="4918" xr:uid="{00000000-0005-0000-0000-000091000000}"/>
    <cellStyle name="20% - Accent1 5 3 2" xfId="14244" xr:uid="{7F5AE34A-22B3-4883-8D7A-37A1355DE458}"/>
    <cellStyle name="20% - Accent1 5 4" xfId="9180" xr:uid="{D0AEF57E-25E3-47C5-B910-DC1A0019F498}"/>
    <cellStyle name="20% - Accent1 5 4 2" xfId="18498" xr:uid="{1B66E406-2E6D-43FC-807D-C9530CAC52C8}"/>
    <cellStyle name="20% - Accent1 5 5" xfId="10027" xr:uid="{89759D0C-04DC-41DA-BBFD-D880B9B114FD}"/>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1C9D7F3D-32CC-486E-82E7-5FBC25E10626}"/>
    <cellStyle name="20% - Accent1 6 2 3" xfId="12585" xr:uid="{79A301DC-C414-4C57-8F9D-280F6CC61280}"/>
    <cellStyle name="20% - Accent1 6 3" xfId="5331" xr:uid="{00000000-0005-0000-0000-000095000000}"/>
    <cellStyle name="20% - Accent1 6 3 2" xfId="14657" xr:uid="{E0412972-96DF-4545-BB5E-9CF3B71DA365}"/>
    <cellStyle name="20% - Accent1 6 4" xfId="10440" xr:uid="{FD98874D-033F-4526-9402-F2FAF58BBA40}"/>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C410DE43-93FC-434E-A08E-BDCC4A5B59F2}"/>
    <cellStyle name="20% - Accent1 7 2 3" xfId="12998" xr:uid="{B3753A54-05A5-44D9-9BD5-90962DB642F7}"/>
    <cellStyle name="20% - Accent1 7 3" xfId="5744" xr:uid="{00000000-0005-0000-0000-000099000000}"/>
    <cellStyle name="20% - Accent1 7 3 2" xfId="15070" xr:uid="{AC926348-C5F1-4357-A486-66CCA2F0D2EA}"/>
    <cellStyle name="20% - Accent1 7 4" xfId="10853" xr:uid="{F54F6327-B239-4324-9AAE-16F1064EC19C}"/>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67F06209-2865-42FD-844D-CA5BCDC98BB9}"/>
    <cellStyle name="20% - Accent1 8 2 3" xfId="13411" xr:uid="{5873C317-46DB-436A-A219-04E788B50F15}"/>
    <cellStyle name="20% - Accent1 8 3" xfId="6157" xr:uid="{00000000-0005-0000-0000-00009D000000}"/>
    <cellStyle name="20% - Accent1 8 3 2" xfId="15483" xr:uid="{D70B022A-5D10-48AF-B096-0CFA56F1EC2C}"/>
    <cellStyle name="20% - Accent1 8 4" xfId="11266" xr:uid="{8E799182-076D-4136-92D3-F1FBE50615F0}"/>
    <cellStyle name="20% - Accent1 9" xfId="2264" xr:uid="{00000000-0005-0000-0000-00009E000000}"/>
    <cellStyle name="20% - Accent1 9 2" xfId="6570" xr:uid="{00000000-0005-0000-0000-00009F000000}"/>
    <cellStyle name="20% - Accent1 9 2 2" xfId="15896" xr:uid="{A39F3CBB-F67A-4267-98CE-C6EB052B285E}"/>
    <cellStyle name="20% - Accent1 9 3" xfId="11679" xr:uid="{8AA529C6-9FF4-4F93-BB33-8ED27932678F}"/>
    <cellStyle name="20% - Accent2" xfId="9" builtinId="34" customBuiltin="1"/>
    <cellStyle name="20% - Accent2 10" xfId="4512" xr:uid="{00000000-0005-0000-0000-0000A1000000}"/>
    <cellStyle name="20% - Accent2 10 2" xfId="13838" xr:uid="{FC61CE72-7F6C-4663-B5C2-FA7CB29DE16E}"/>
    <cellStyle name="20% - Accent2 11" xfId="8760" xr:uid="{2F9D8AF1-C115-467C-ADFB-3BF13039D076}"/>
    <cellStyle name="20% - Accent2 11 2" xfId="18084" xr:uid="{0D119921-0F67-466B-BA1F-E97CDE10BD0A}"/>
    <cellStyle name="20% - Accent2 12" xfId="9621" xr:uid="{6BD02A1C-BA15-486A-9868-FB4B3817492D}"/>
    <cellStyle name="20% - Accent2 2" xfId="10" xr:uid="{00000000-0005-0000-0000-0000A2000000}"/>
    <cellStyle name="20% - Accent2 2 10" xfId="8793" xr:uid="{AA7C3473-3A75-4F75-9E25-D7658C57F3A0}"/>
    <cellStyle name="20% - Accent2 2 10 2" xfId="18117" xr:uid="{EA199CCD-7A41-40B9-8709-2A1D16E8FB71}"/>
    <cellStyle name="20% - Accent2 2 11" xfId="9622" xr:uid="{B43A8FCB-52FB-4133-8B82-9D120FA87C95}"/>
    <cellStyle name="20% - Accent2 2 2" xfId="11" xr:uid="{00000000-0005-0000-0000-0000A3000000}"/>
    <cellStyle name="20% - Accent2 2 2 10" xfId="9623" xr:uid="{C05B9A14-3840-43FD-A1CA-D07528ADF20F}"/>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4D08C557-1CDD-43F9-BE8B-2AACA825726D}"/>
    <cellStyle name="20% - Accent2 2 2 2 2 2 3" xfId="12183" xr:uid="{B4A26DA7-4D89-4A19-9361-C22B1E71CB0E}"/>
    <cellStyle name="20% - Accent2 2 2 2 2 3" xfId="4929" xr:uid="{00000000-0005-0000-0000-0000A8000000}"/>
    <cellStyle name="20% - Accent2 2 2 2 2 3 2" xfId="14255" xr:uid="{1DBBF4D8-97D7-46B5-A2BB-7F5145197A04}"/>
    <cellStyle name="20% - Accent2 2 2 2 2 4" xfId="9528" xr:uid="{C8BEA541-FD8B-4449-95AA-43E1904F35BB}"/>
    <cellStyle name="20% - Accent2 2 2 2 2 4 2" xfId="18843" xr:uid="{0BBE754A-1CB9-4332-94EC-D8B80F82AFAF}"/>
    <cellStyle name="20% - Accent2 2 2 2 2 5" xfId="10038" xr:uid="{FD02213D-3D21-4E08-9517-AE1CC705B92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53E7E797-F568-4B28-8A77-D556CFA0DE4D}"/>
    <cellStyle name="20% - Accent2 2 2 2 3 2 3" xfId="12596" xr:uid="{B995C5A2-CFF6-4214-89D9-88CFE2B28F25}"/>
    <cellStyle name="20% - Accent2 2 2 2 3 3" xfId="5342" xr:uid="{00000000-0005-0000-0000-0000AC000000}"/>
    <cellStyle name="20% - Accent2 2 2 2 3 3 2" xfId="14668" xr:uid="{CBB1F1C4-1AD4-415B-A50E-9E658FA7FC9C}"/>
    <cellStyle name="20% - Accent2 2 2 2 3 4" xfId="10451" xr:uid="{B245EDA5-D333-4821-9F9B-7DC0F562345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E92EBBB7-B1B0-4EAD-9A45-CA8D27CD89A0}"/>
    <cellStyle name="20% - Accent2 2 2 2 4 2 3" xfId="13009" xr:uid="{6D17F366-B5CF-4318-AFD1-0E41FF6942E2}"/>
    <cellStyle name="20% - Accent2 2 2 2 4 3" xfId="5755" xr:uid="{00000000-0005-0000-0000-0000B0000000}"/>
    <cellStyle name="20% - Accent2 2 2 2 4 3 2" xfId="15081" xr:uid="{750BEAA1-9A0C-41A6-B14D-4DBA2DCA5AD0}"/>
    <cellStyle name="20% - Accent2 2 2 2 4 4" xfId="10864" xr:uid="{F898C5BF-035E-4E6A-A095-D286BB5B7421}"/>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B85106C1-F64B-4242-8BAF-A2B4BAC40111}"/>
    <cellStyle name="20% - Accent2 2 2 2 5 2 3" xfId="13422" xr:uid="{44DB0C7F-19E6-4CCF-8000-1C9FDA8800AB}"/>
    <cellStyle name="20% - Accent2 2 2 2 5 3" xfId="6168" xr:uid="{00000000-0005-0000-0000-0000B4000000}"/>
    <cellStyle name="20% - Accent2 2 2 2 5 3 2" xfId="15494" xr:uid="{3C587195-7578-4458-8E14-02B50487FCD9}"/>
    <cellStyle name="20% - Accent2 2 2 2 5 4" xfId="11277" xr:uid="{7E1FE2A8-7C08-4A78-A5E0-542764B161A8}"/>
    <cellStyle name="20% - Accent2 2 2 2 6" xfId="2275" xr:uid="{00000000-0005-0000-0000-0000B5000000}"/>
    <cellStyle name="20% - Accent2 2 2 2 6 2" xfId="6581" xr:uid="{00000000-0005-0000-0000-0000B6000000}"/>
    <cellStyle name="20% - Accent2 2 2 2 6 2 2" xfId="15907" xr:uid="{0F66350D-DB39-4DF1-90CB-5B5E5FDFD079}"/>
    <cellStyle name="20% - Accent2 2 2 2 6 3" xfId="11690" xr:uid="{E8CB4F84-17C6-460A-9EDF-1E71A7FDA880}"/>
    <cellStyle name="20% - Accent2 2 2 2 7" xfId="4515" xr:uid="{00000000-0005-0000-0000-0000B7000000}"/>
    <cellStyle name="20% - Accent2 2 2 2 7 2" xfId="13841" xr:uid="{5394AEEB-61B0-40D7-87DB-70755D73B43D}"/>
    <cellStyle name="20% - Accent2 2 2 2 8" xfId="9103" xr:uid="{91DB80A1-3464-4086-B948-71B6A26537C4}"/>
    <cellStyle name="20% - Accent2 2 2 2 8 2" xfId="18427" xr:uid="{B0D8B4D3-4DC2-4510-8AED-CBB16D961975}"/>
    <cellStyle name="20% - Accent2 2 2 2 9" xfId="9624" xr:uid="{B0B08531-5750-478F-9234-D768E60285A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803D4366-CB21-4544-851A-B07540C8CD5A}"/>
    <cellStyle name="20% - Accent2 2 2 3 2 3" xfId="12182" xr:uid="{285F6430-7B41-4308-A65C-C1609BF6A325}"/>
    <cellStyle name="20% - Accent2 2 2 3 3" xfId="4928" xr:uid="{00000000-0005-0000-0000-0000BB000000}"/>
    <cellStyle name="20% - Accent2 2 2 3 3 2" xfId="14254" xr:uid="{FBD63B77-3680-4F29-B9BB-8379442A224B}"/>
    <cellStyle name="20% - Accent2 2 2 3 4" xfId="9321" xr:uid="{32B21C3A-E360-4F19-B469-1116F045A0F3}"/>
    <cellStyle name="20% - Accent2 2 2 3 4 2" xfId="18636" xr:uid="{AA72F50B-3534-490F-96FE-74B78A6BA589}"/>
    <cellStyle name="20% - Accent2 2 2 3 5" xfId="10037" xr:uid="{B268810E-4BF2-4CED-BBF4-64FC323C38BB}"/>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2F59BBAB-0705-449D-A71E-38456A79A691}"/>
    <cellStyle name="20% - Accent2 2 2 4 2 3" xfId="12595" xr:uid="{EBF7119D-7239-473C-9F95-D60C5BD05353}"/>
    <cellStyle name="20% - Accent2 2 2 4 3" xfId="5341" xr:uid="{00000000-0005-0000-0000-0000BF000000}"/>
    <cellStyle name="20% - Accent2 2 2 4 3 2" xfId="14667" xr:uid="{C3C7DB6C-D8E1-4F60-8A11-31D3176A64D5}"/>
    <cellStyle name="20% - Accent2 2 2 4 4" xfId="10450" xr:uid="{894358D3-C31E-4544-880A-6DED20309861}"/>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DBFB15B9-FCCA-4B75-AA32-F912FE963E3E}"/>
    <cellStyle name="20% - Accent2 2 2 5 2 3" xfId="13008" xr:uid="{6BE32699-447E-49FF-9CF5-D97B01A5242A}"/>
    <cellStyle name="20% - Accent2 2 2 5 3" xfId="5754" xr:uid="{00000000-0005-0000-0000-0000C3000000}"/>
    <cellStyle name="20% - Accent2 2 2 5 3 2" xfId="15080" xr:uid="{0EC01656-273B-4F8F-B85E-EC2FAA1CA8AB}"/>
    <cellStyle name="20% - Accent2 2 2 5 4" xfId="10863" xr:uid="{57D48539-B7E8-43E4-8F64-8E6E64EC3DD6}"/>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2984C5ED-F3D3-4207-B39F-37CDBA5DA759}"/>
    <cellStyle name="20% - Accent2 2 2 6 2 3" xfId="13421" xr:uid="{9C72D8AE-6A8B-455C-9B1C-ABA44295C3B0}"/>
    <cellStyle name="20% - Accent2 2 2 6 3" xfId="6167" xr:uid="{00000000-0005-0000-0000-0000C7000000}"/>
    <cellStyle name="20% - Accent2 2 2 6 3 2" xfId="15493" xr:uid="{64B5B41A-3EB2-4727-A724-BC05C9EC0E92}"/>
    <cellStyle name="20% - Accent2 2 2 6 4" xfId="11276" xr:uid="{31B820EC-ED1A-4412-A6C7-5C4E99B23470}"/>
    <cellStyle name="20% - Accent2 2 2 7" xfId="2274" xr:uid="{00000000-0005-0000-0000-0000C8000000}"/>
    <cellStyle name="20% - Accent2 2 2 7 2" xfId="6580" xr:uid="{00000000-0005-0000-0000-0000C9000000}"/>
    <cellStyle name="20% - Accent2 2 2 7 2 2" xfId="15906" xr:uid="{4B0AE2BB-26CB-4010-A1A7-A3A3AF54389C}"/>
    <cellStyle name="20% - Accent2 2 2 7 3" xfId="11689" xr:uid="{4CAD1E2B-B2CE-4CF3-833C-626E1746DCA9}"/>
    <cellStyle name="20% - Accent2 2 2 8" xfId="4514" xr:uid="{00000000-0005-0000-0000-0000CA000000}"/>
    <cellStyle name="20% - Accent2 2 2 8 2" xfId="13840" xr:uid="{15190936-510C-4909-9CCC-D2889030E1D8}"/>
    <cellStyle name="20% - Accent2 2 2 9" xfId="8896" xr:uid="{7CDAA0F1-5BE6-4749-AD4D-5424E0EA26D8}"/>
    <cellStyle name="20% - Accent2 2 2 9 2" xfId="18220" xr:uid="{F152AC02-F916-4524-B299-FC01A8EFEF4B}"/>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3D4634C1-E32E-4C6F-BB93-8F58A5352E66}"/>
    <cellStyle name="20% - Accent2 2 3 2 2 3" xfId="12184" xr:uid="{F8C1BE52-7277-47A4-84F7-D647DF222AE0}"/>
    <cellStyle name="20% - Accent2 2 3 2 3" xfId="4930" xr:uid="{00000000-0005-0000-0000-0000CF000000}"/>
    <cellStyle name="20% - Accent2 2 3 2 3 2" xfId="14256" xr:uid="{0A150723-49B0-4E7B-8765-6F2880DFDB8B}"/>
    <cellStyle name="20% - Accent2 2 3 2 4" xfId="9425" xr:uid="{35BECFF4-0F5A-4F6E-AE6E-354891135B4F}"/>
    <cellStyle name="20% - Accent2 2 3 2 4 2" xfId="18740" xr:uid="{ED0A858B-9F90-412E-9304-3F75ACB22BC9}"/>
    <cellStyle name="20% - Accent2 2 3 2 5" xfId="10039" xr:uid="{712BC9D3-A55D-444B-B974-026F566BAE5C}"/>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1EDD9D46-AF39-41A8-8EFA-4402D7845A59}"/>
    <cellStyle name="20% - Accent2 2 3 3 2 3" xfId="12597" xr:uid="{F10C55AE-A1F6-43CC-A6CF-D4A1185A82D5}"/>
    <cellStyle name="20% - Accent2 2 3 3 3" xfId="5343" xr:uid="{00000000-0005-0000-0000-0000D3000000}"/>
    <cellStyle name="20% - Accent2 2 3 3 3 2" xfId="14669" xr:uid="{2A5A43D9-2AD7-4DB5-B593-2C5DFF2C14F8}"/>
    <cellStyle name="20% - Accent2 2 3 3 4" xfId="10452" xr:uid="{648FF7BC-0246-4B3D-9E41-9A62C39AA28A}"/>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98B702C4-6457-4537-A68B-3CC788EF1FBD}"/>
    <cellStyle name="20% - Accent2 2 3 4 2 3" xfId="13010" xr:uid="{2076C80D-92C1-4665-9DF1-AEC3BC416B1C}"/>
    <cellStyle name="20% - Accent2 2 3 4 3" xfId="5756" xr:uid="{00000000-0005-0000-0000-0000D7000000}"/>
    <cellStyle name="20% - Accent2 2 3 4 3 2" xfId="15082" xr:uid="{5773854E-6334-4F8A-9FE0-F3608EAA60B2}"/>
    <cellStyle name="20% - Accent2 2 3 4 4" xfId="10865" xr:uid="{58783E59-79DB-4D75-86C5-B7A5B8261EB9}"/>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FFB9354A-1C2D-42C6-A06B-CC926D22B0A5}"/>
    <cellStyle name="20% - Accent2 2 3 5 2 3" xfId="13423" xr:uid="{E1AE013A-BD63-4A09-9BDD-2394688074E8}"/>
    <cellStyle name="20% - Accent2 2 3 5 3" xfId="6169" xr:uid="{00000000-0005-0000-0000-0000DB000000}"/>
    <cellStyle name="20% - Accent2 2 3 5 3 2" xfId="15495" xr:uid="{BACD8AF9-3301-49A5-9714-6BC85FC5F06C}"/>
    <cellStyle name="20% - Accent2 2 3 5 4" xfId="11278" xr:uid="{60B9842B-683D-4D04-819E-0E1A00843B21}"/>
    <cellStyle name="20% - Accent2 2 3 6" xfId="2276" xr:uid="{00000000-0005-0000-0000-0000DC000000}"/>
    <cellStyle name="20% - Accent2 2 3 6 2" xfId="6582" xr:uid="{00000000-0005-0000-0000-0000DD000000}"/>
    <cellStyle name="20% - Accent2 2 3 6 2 2" xfId="15908" xr:uid="{28EE79FD-842C-4428-8C55-3D74C25D2405}"/>
    <cellStyle name="20% - Accent2 2 3 6 3" xfId="11691" xr:uid="{470E1C41-ECFA-4CD1-B2B4-D0905DF74EB8}"/>
    <cellStyle name="20% - Accent2 2 3 7" xfId="4516" xr:uid="{00000000-0005-0000-0000-0000DE000000}"/>
    <cellStyle name="20% - Accent2 2 3 7 2" xfId="13842" xr:uid="{F033E360-5939-4C7F-BEC3-285DD9EA64FA}"/>
    <cellStyle name="20% - Accent2 2 3 8" xfId="9000" xr:uid="{133DFC5C-F2FF-49E9-82EE-ABAA9C815393}"/>
    <cellStyle name="20% - Accent2 2 3 8 2" xfId="18324" xr:uid="{8DF3892C-6A74-499C-A0E3-6D475CA673AA}"/>
    <cellStyle name="20% - Accent2 2 3 9" xfId="9625" xr:uid="{EC51F278-E238-4BCE-9858-4A60A7B6F462}"/>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ADF255A7-F974-4482-B7AA-1C94ACEBE409}"/>
    <cellStyle name="20% - Accent2 2 4 2 3" xfId="12181" xr:uid="{BFED120F-958B-40C7-8886-D94DFD8F3784}"/>
    <cellStyle name="20% - Accent2 2 4 3" xfId="4927" xr:uid="{00000000-0005-0000-0000-0000E2000000}"/>
    <cellStyle name="20% - Accent2 2 4 3 2" xfId="14253" xr:uid="{C2D49BBC-9C80-4272-B37E-59AB33A81C7C}"/>
    <cellStyle name="20% - Accent2 2 4 4" xfId="9217" xr:uid="{28DDC3F5-BA57-40F8-8D06-6CFF141CF9A1}"/>
    <cellStyle name="20% - Accent2 2 4 4 2" xfId="18533" xr:uid="{B9069564-7E04-4B87-A3C2-387123D98947}"/>
    <cellStyle name="20% - Accent2 2 4 5" xfId="10036" xr:uid="{80960337-55A9-4336-A7FE-E0B6EF647D94}"/>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14E7C45E-B002-4058-AC4D-F691CE991B25}"/>
    <cellStyle name="20% - Accent2 2 5 2 3" xfId="12594" xr:uid="{B6B63295-0938-4141-80CF-0375E2DC0916}"/>
    <cellStyle name="20% - Accent2 2 5 3" xfId="5340" xr:uid="{00000000-0005-0000-0000-0000E6000000}"/>
    <cellStyle name="20% - Accent2 2 5 3 2" xfId="14666" xr:uid="{925EA9BE-8E23-4255-8369-434B589EF10A}"/>
    <cellStyle name="20% - Accent2 2 5 4" xfId="10449" xr:uid="{BA15EA80-F851-49B6-A5C5-5138536565DA}"/>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B42552EE-5AA6-48E9-B0D7-3C85BCBDD6C8}"/>
    <cellStyle name="20% - Accent2 2 6 2 3" xfId="13007" xr:uid="{5CEBBD48-7829-4EA7-933A-CFCEA6C8CBA9}"/>
    <cellStyle name="20% - Accent2 2 6 3" xfId="5753" xr:uid="{00000000-0005-0000-0000-0000EA000000}"/>
    <cellStyle name="20% - Accent2 2 6 3 2" xfId="15079" xr:uid="{0B909663-E113-4713-B157-00DE374B8973}"/>
    <cellStyle name="20% - Accent2 2 6 4" xfId="10862" xr:uid="{D51E58AB-5EFF-4BF9-9BCD-082B75552E1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969CFA5A-F8E7-4BC5-B6FC-E319004C4C64}"/>
    <cellStyle name="20% - Accent2 2 7 2 3" xfId="13420" xr:uid="{5F91EAAB-D804-4DA2-A25E-C996116195E0}"/>
    <cellStyle name="20% - Accent2 2 7 3" xfId="6166" xr:uid="{00000000-0005-0000-0000-0000EE000000}"/>
    <cellStyle name="20% - Accent2 2 7 3 2" xfId="15492" xr:uid="{BE1E0346-F070-416B-A634-61E27933530A}"/>
    <cellStyle name="20% - Accent2 2 7 4" xfId="11275" xr:uid="{678C9D49-A39D-422F-BFEB-5FD6D07CDE65}"/>
    <cellStyle name="20% - Accent2 2 8" xfId="2273" xr:uid="{00000000-0005-0000-0000-0000EF000000}"/>
    <cellStyle name="20% - Accent2 2 8 2" xfId="6579" xr:uid="{00000000-0005-0000-0000-0000F0000000}"/>
    <cellStyle name="20% - Accent2 2 8 2 2" xfId="15905" xr:uid="{D08AB528-BB06-4517-AA44-0CEF789D6C1B}"/>
    <cellStyle name="20% - Accent2 2 8 3" xfId="11688" xr:uid="{32EB99D3-6D9B-472B-9292-69E807BFA032}"/>
    <cellStyle name="20% - Accent2 2 9" xfId="4513" xr:uid="{00000000-0005-0000-0000-0000F1000000}"/>
    <cellStyle name="20% - Accent2 2 9 2" xfId="13839" xr:uid="{A35734D6-F223-435C-B242-D2379B5F8DFE}"/>
    <cellStyle name="20% - Accent2 3" xfId="14" xr:uid="{00000000-0005-0000-0000-0000F2000000}"/>
    <cellStyle name="20% - Accent2 3 10" xfId="9626" xr:uid="{F9A9221B-775F-4DD3-B9A7-A2D7DC60F0BD}"/>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9C63AE06-E6D7-479A-B958-80F20750D013}"/>
    <cellStyle name="20% - Accent2 3 2 2 2 3" xfId="12186" xr:uid="{7A53D740-ACF7-415E-8E19-5F486B26D802}"/>
    <cellStyle name="20% - Accent2 3 2 2 3" xfId="4932" xr:uid="{00000000-0005-0000-0000-0000F7000000}"/>
    <cellStyle name="20% - Accent2 3 2 2 3 2" xfId="14258" xr:uid="{DAA7C08E-1F12-4E91-858C-C3005E63473B}"/>
    <cellStyle name="20% - Accent2 3 2 2 4" xfId="9495" xr:uid="{9F5A6FE7-BBC9-4787-8EC4-2112F4D5A0EA}"/>
    <cellStyle name="20% - Accent2 3 2 2 4 2" xfId="18810" xr:uid="{AF3B312D-9D80-44FE-A73E-AC53B79EDE8A}"/>
    <cellStyle name="20% - Accent2 3 2 2 5" xfId="10041" xr:uid="{56963B60-5B3C-4919-AB0E-3CF7667BB8A8}"/>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7D43F995-11C4-4151-B33F-AFED9F0716AA}"/>
    <cellStyle name="20% - Accent2 3 2 3 2 3" xfId="12599" xr:uid="{DAC5C687-50CA-4CC6-B2F4-8BCA0CEDED4A}"/>
    <cellStyle name="20% - Accent2 3 2 3 3" xfId="5345" xr:uid="{00000000-0005-0000-0000-0000FB000000}"/>
    <cellStyle name="20% - Accent2 3 2 3 3 2" xfId="14671" xr:uid="{3B48FE0A-E92B-4DB9-AF36-7439DA454CE8}"/>
    <cellStyle name="20% - Accent2 3 2 3 4" xfId="10454" xr:uid="{5DD892D1-80CE-47C5-9982-1D2CA3A1AB8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969FFDEA-DF30-48F2-B3AC-5815AC448848}"/>
    <cellStyle name="20% - Accent2 3 2 4 2 3" xfId="13012" xr:uid="{BA243425-14E2-44D0-A452-E6CC93F05B51}"/>
    <cellStyle name="20% - Accent2 3 2 4 3" xfId="5758" xr:uid="{00000000-0005-0000-0000-0000FF000000}"/>
    <cellStyle name="20% - Accent2 3 2 4 3 2" xfId="15084" xr:uid="{C10EA33C-F881-4469-B5F5-B4C3A4556FA2}"/>
    <cellStyle name="20% - Accent2 3 2 4 4" xfId="10867" xr:uid="{4F2855CE-5DBD-4067-A16B-2CA23368DE6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416540EA-4817-4057-8A4B-D4910B58A36F}"/>
    <cellStyle name="20% - Accent2 3 2 5 2 3" xfId="13425" xr:uid="{1734AABF-00F1-4B40-A17C-7327388A7DDB}"/>
    <cellStyle name="20% - Accent2 3 2 5 3" xfId="6171" xr:uid="{00000000-0005-0000-0000-000003010000}"/>
    <cellStyle name="20% - Accent2 3 2 5 3 2" xfId="15497" xr:uid="{713793BC-0219-49E6-A933-4084AE34ABDD}"/>
    <cellStyle name="20% - Accent2 3 2 5 4" xfId="11280" xr:uid="{E1D95698-D66F-455A-AA23-51FD48A6A3BE}"/>
    <cellStyle name="20% - Accent2 3 2 6" xfId="2278" xr:uid="{00000000-0005-0000-0000-000004010000}"/>
    <cellStyle name="20% - Accent2 3 2 6 2" xfId="6584" xr:uid="{00000000-0005-0000-0000-000005010000}"/>
    <cellStyle name="20% - Accent2 3 2 6 2 2" xfId="15910" xr:uid="{23B9477C-D8A4-407A-9F57-BFC533E08BBD}"/>
    <cellStyle name="20% - Accent2 3 2 6 3" xfId="11693" xr:uid="{F33E7A29-287A-4C6E-9241-6FE7B0D009EB}"/>
    <cellStyle name="20% - Accent2 3 2 7" xfId="4518" xr:uid="{00000000-0005-0000-0000-000006010000}"/>
    <cellStyle name="20% - Accent2 3 2 7 2" xfId="13844" xr:uid="{AB709C5B-4692-43DC-A596-8063E62C6AA8}"/>
    <cellStyle name="20% - Accent2 3 2 8" xfId="9070" xr:uid="{8A9168BA-490F-4E57-83EA-22187D24153F}"/>
    <cellStyle name="20% - Accent2 3 2 8 2" xfId="18394" xr:uid="{73EC54FF-CF4F-49FB-82F2-CCBA945C1363}"/>
    <cellStyle name="20% - Accent2 3 2 9" xfId="9627" xr:uid="{32C840E7-8C5F-4C32-855F-FACEDCF178E3}"/>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7D3C2AD5-961B-4817-91B4-155315885D44}"/>
    <cellStyle name="20% - Accent2 3 3 2 3" xfId="12185" xr:uid="{5264AF9A-672D-4004-AA7F-98C014993B57}"/>
    <cellStyle name="20% - Accent2 3 3 3" xfId="4931" xr:uid="{00000000-0005-0000-0000-00000A010000}"/>
    <cellStyle name="20% - Accent2 3 3 3 2" xfId="14257" xr:uid="{F123694A-D780-466C-878C-BAF7632886E6}"/>
    <cellStyle name="20% - Accent2 3 3 4" xfId="9288" xr:uid="{FCD70616-ECAD-4A0B-889F-4698E1AD889E}"/>
    <cellStyle name="20% - Accent2 3 3 4 2" xfId="18603" xr:uid="{8219403A-8EF9-4761-BF46-67AC7399ACBA}"/>
    <cellStyle name="20% - Accent2 3 3 5" xfId="10040" xr:uid="{2743273B-A382-4C27-9EF0-9BC7E60AF4E9}"/>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65D5C4A7-FAEC-4506-AAF0-A4233DB4B09D}"/>
    <cellStyle name="20% - Accent2 3 4 2 3" xfId="12598" xr:uid="{30571265-1E4F-4393-8C69-D4A910488534}"/>
    <cellStyle name="20% - Accent2 3 4 3" xfId="5344" xr:uid="{00000000-0005-0000-0000-00000E010000}"/>
    <cellStyle name="20% - Accent2 3 4 3 2" xfId="14670" xr:uid="{3B338A41-6694-482A-8235-5672099BA12F}"/>
    <cellStyle name="20% - Accent2 3 4 4" xfId="10453" xr:uid="{DBEDA1D6-8C62-48EB-BE35-A7BF9BCB1EB6}"/>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F8DF1BB8-EB45-45D4-8C5E-6C3C9C519F6E}"/>
    <cellStyle name="20% - Accent2 3 5 2 3" xfId="13011" xr:uid="{4F402CFD-61F5-4F98-937E-ED5C38658B79}"/>
    <cellStyle name="20% - Accent2 3 5 3" xfId="5757" xr:uid="{00000000-0005-0000-0000-000012010000}"/>
    <cellStyle name="20% - Accent2 3 5 3 2" xfId="15083" xr:uid="{67941062-55D9-4891-BD92-918DAF0C67B4}"/>
    <cellStyle name="20% - Accent2 3 5 4" xfId="10866" xr:uid="{0DDA241B-2651-40B3-9164-12A495505B66}"/>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4D0FB428-2D05-483C-89C4-1D87EDB95CD4}"/>
    <cellStyle name="20% - Accent2 3 6 2 3" xfId="13424" xr:uid="{F81E9A8B-A48C-476B-8299-3607AAAA35EE}"/>
    <cellStyle name="20% - Accent2 3 6 3" xfId="6170" xr:uid="{00000000-0005-0000-0000-000016010000}"/>
    <cellStyle name="20% - Accent2 3 6 3 2" xfId="15496" xr:uid="{55AE1FAB-2B10-4B16-AB93-1F1CA31FAF28}"/>
    <cellStyle name="20% - Accent2 3 6 4" xfId="11279" xr:uid="{4EC1E4A1-C4C3-4D09-AAD8-3C6ED0B779E6}"/>
    <cellStyle name="20% - Accent2 3 7" xfId="2277" xr:uid="{00000000-0005-0000-0000-000017010000}"/>
    <cellStyle name="20% - Accent2 3 7 2" xfId="6583" xr:uid="{00000000-0005-0000-0000-000018010000}"/>
    <cellStyle name="20% - Accent2 3 7 2 2" xfId="15909" xr:uid="{F1D617C4-BD0E-4499-9E02-F38DFCD75E84}"/>
    <cellStyle name="20% - Accent2 3 7 3" xfId="11692" xr:uid="{5C24C1C2-B85D-4DDD-A35F-38EDE6B92CD4}"/>
    <cellStyle name="20% - Accent2 3 8" xfId="4517" xr:uid="{00000000-0005-0000-0000-000019010000}"/>
    <cellStyle name="20% - Accent2 3 8 2" xfId="13843" xr:uid="{9D5EE9ED-E3C4-497F-AABA-0238F4FDC38D}"/>
    <cellStyle name="20% - Accent2 3 9" xfId="8863" xr:uid="{C6A258FB-33DC-4171-B9DD-C29513CA80FD}"/>
    <cellStyle name="20% - Accent2 3 9 2" xfId="18187" xr:uid="{F4AC3231-3B90-4587-A64D-7B6A4C667E7B}"/>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6D656F8D-0BA1-4DE0-8C04-9FE9F95C97FF}"/>
    <cellStyle name="20% - Accent2 4 2 2 3" xfId="12187" xr:uid="{3D28C4A5-E4C9-42F4-A980-EFA3185B8D0B}"/>
    <cellStyle name="20% - Accent2 4 2 3" xfId="4933" xr:uid="{00000000-0005-0000-0000-00001E010000}"/>
    <cellStyle name="20% - Accent2 4 2 3 2" xfId="14259" xr:uid="{7BE4EE3A-0620-4C04-A49B-F99DE95A8BDD}"/>
    <cellStyle name="20% - Accent2 4 2 4" xfId="9374" xr:uid="{26FD7A0E-8D04-4AF7-B092-2B22A78F0A97}"/>
    <cellStyle name="20% - Accent2 4 2 4 2" xfId="18689" xr:uid="{606BB58C-487B-4AF5-9B13-4B989BC52348}"/>
    <cellStyle name="20% - Accent2 4 2 5" xfId="10042" xr:uid="{793CA649-1DB1-4EA1-9209-12217168E0F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DF6265CF-15B4-4A8A-BD4E-2E75B93B1272}"/>
    <cellStyle name="20% - Accent2 4 3 2 3" xfId="12600" xr:uid="{F672A93C-3D0C-40F0-8A15-3B83B3B87412}"/>
    <cellStyle name="20% - Accent2 4 3 3" xfId="5346" xr:uid="{00000000-0005-0000-0000-000022010000}"/>
    <cellStyle name="20% - Accent2 4 3 3 2" xfId="14672" xr:uid="{6C4C39B4-F4D6-48B5-92AC-94FDE14D797B}"/>
    <cellStyle name="20% - Accent2 4 3 4" xfId="10455" xr:uid="{689390E9-485B-4635-9AE6-C76ED710486B}"/>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A5D7097E-9A5E-426B-B183-391981F1EE5C}"/>
    <cellStyle name="20% - Accent2 4 4 2 3" xfId="13013" xr:uid="{D07A2FB5-77A3-4670-89E7-9F71D42A431B}"/>
    <cellStyle name="20% - Accent2 4 4 3" xfId="5759" xr:uid="{00000000-0005-0000-0000-000026010000}"/>
    <cellStyle name="20% - Accent2 4 4 3 2" xfId="15085" xr:uid="{0B9640FC-7E70-4E05-812F-A4AD582909BF}"/>
    <cellStyle name="20% - Accent2 4 4 4" xfId="10868" xr:uid="{5512EB3A-AF36-4DB3-B100-CCBA53F022C7}"/>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6383409F-7892-4FE6-8180-98DB9667C18D}"/>
    <cellStyle name="20% - Accent2 4 5 2 3" xfId="13426" xr:uid="{E43534B2-A906-47AD-AB85-9A061849BFDA}"/>
    <cellStyle name="20% - Accent2 4 5 3" xfId="6172" xr:uid="{00000000-0005-0000-0000-00002A010000}"/>
    <cellStyle name="20% - Accent2 4 5 3 2" xfId="15498" xr:uid="{A1842A0F-10A4-46FB-BEE7-07FDEAA48B9E}"/>
    <cellStyle name="20% - Accent2 4 5 4" xfId="11281" xr:uid="{FC2AC2DD-882B-4C81-959C-704F8FECDEA2}"/>
    <cellStyle name="20% - Accent2 4 6" xfId="2279" xr:uid="{00000000-0005-0000-0000-00002B010000}"/>
    <cellStyle name="20% - Accent2 4 6 2" xfId="6585" xr:uid="{00000000-0005-0000-0000-00002C010000}"/>
    <cellStyle name="20% - Accent2 4 6 2 2" xfId="15911" xr:uid="{A8A58018-2894-434F-8D26-1EB3F24F1A6A}"/>
    <cellStyle name="20% - Accent2 4 6 3" xfId="11694" xr:uid="{10A7C05A-D23F-47C0-AD05-82FF24396B2B}"/>
    <cellStyle name="20% - Accent2 4 7" xfId="4519" xr:uid="{00000000-0005-0000-0000-00002D010000}"/>
    <cellStyle name="20% - Accent2 4 7 2" xfId="13845" xr:uid="{E8382C99-528F-4F34-851E-E3759707A076}"/>
    <cellStyle name="20% - Accent2 4 8" xfId="8949" xr:uid="{084C22A9-B904-4AFE-A752-AC1DC2CA76B8}"/>
    <cellStyle name="20% - Accent2 4 8 2" xfId="18273" xr:uid="{B7ABF8F9-51FD-4807-921B-3E20117223C4}"/>
    <cellStyle name="20% - Accent2 4 9" xfId="9628" xr:uid="{FF981BEE-44D1-49E2-BD8F-0AD728C300FA}"/>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D3765D2A-AE41-4482-9E28-A86130E3F69A}"/>
    <cellStyle name="20% - Accent2 5 2 3" xfId="12180" xr:uid="{1D66F6BD-6527-4B1E-8D31-3C9144902742}"/>
    <cellStyle name="20% - Accent2 5 3" xfId="4926" xr:uid="{00000000-0005-0000-0000-000031010000}"/>
    <cellStyle name="20% - Accent2 5 3 2" xfId="14252" xr:uid="{69DECE64-119C-4C54-A537-D7C3DFF742FA}"/>
    <cellStyle name="20% - Accent2 5 4" xfId="9182" xr:uid="{F822E263-B2A4-41B5-BBF9-FCE1A7A30601}"/>
    <cellStyle name="20% - Accent2 5 4 2" xfId="18500" xr:uid="{0ECA29FC-04F5-4E7C-BBF2-6DCB6AD82801}"/>
    <cellStyle name="20% - Accent2 5 5" xfId="10035" xr:uid="{6F0338B9-7757-4CB9-B818-ED320155C1D9}"/>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9AFF3455-13CA-4DF8-9B8F-B0E2AF9A9A26}"/>
    <cellStyle name="20% - Accent2 6 2 3" xfId="12593" xr:uid="{8BEDFA97-44E8-4558-8B8F-0866011E15D9}"/>
    <cellStyle name="20% - Accent2 6 3" xfId="5339" xr:uid="{00000000-0005-0000-0000-000035010000}"/>
    <cellStyle name="20% - Accent2 6 3 2" xfId="14665" xr:uid="{8DE2F078-9F95-4971-9F8F-836AEBC37D8F}"/>
    <cellStyle name="20% - Accent2 6 4" xfId="10448" xr:uid="{F31773D5-E32F-4526-88CA-6B8D59BB9860}"/>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1DAA7C86-1AB8-4F59-8408-1631C14BA943}"/>
    <cellStyle name="20% - Accent2 7 2 3" xfId="13006" xr:uid="{2BF5D3E6-7F2A-421C-B93F-87592AA1BF39}"/>
    <cellStyle name="20% - Accent2 7 3" xfId="5752" xr:uid="{00000000-0005-0000-0000-000039010000}"/>
    <cellStyle name="20% - Accent2 7 3 2" xfId="15078" xr:uid="{D0DA7623-2B5B-4209-A2DC-1C911FC064C2}"/>
    <cellStyle name="20% - Accent2 7 4" xfId="10861" xr:uid="{C47CCC1F-F81D-449E-A8F8-C445A07E0483}"/>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2E432FBF-0299-476B-A8BC-19B9DF9678A2}"/>
    <cellStyle name="20% - Accent2 8 2 3" xfId="13419" xr:uid="{9C7CAE03-3030-4E7A-8D8B-BFBD0AB5E73E}"/>
    <cellStyle name="20% - Accent2 8 3" xfId="6165" xr:uid="{00000000-0005-0000-0000-00003D010000}"/>
    <cellStyle name="20% - Accent2 8 3 2" xfId="15491" xr:uid="{0E9629B5-CD7E-4030-808B-7D8ABD1AD8F1}"/>
    <cellStyle name="20% - Accent2 8 4" xfId="11274" xr:uid="{D0B9D435-A923-4C8B-B020-6D624211F871}"/>
    <cellStyle name="20% - Accent2 9" xfId="2272" xr:uid="{00000000-0005-0000-0000-00003E010000}"/>
    <cellStyle name="20% - Accent2 9 2" xfId="6578" xr:uid="{00000000-0005-0000-0000-00003F010000}"/>
    <cellStyle name="20% - Accent2 9 2 2" xfId="15904" xr:uid="{362DFF3F-4388-4B7A-AC8B-C5CFE7364CD6}"/>
    <cellStyle name="20% - Accent2 9 3" xfId="11687" xr:uid="{5D3A0692-27E1-4489-9CAD-A50DDE98DBE1}"/>
    <cellStyle name="20% - Accent3" xfId="17" builtinId="38" customBuiltin="1"/>
    <cellStyle name="20% - Accent3 10" xfId="4520" xr:uid="{00000000-0005-0000-0000-000041010000}"/>
    <cellStyle name="20% - Accent3 10 2" xfId="13846" xr:uid="{3AE774CB-D4D6-40A0-BBA7-EE788847124A}"/>
    <cellStyle name="20% - Accent3 11" xfId="8762" xr:uid="{49ACF776-43E7-4BB5-82F5-A8A4FEBC45F8}"/>
    <cellStyle name="20% - Accent3 11 2" xfId="18086" xr:uid="{2BD65A18-213A-4D21-8661-E9889A40E737}"/>
    <cellStyle name="20% - Accent3 12" xfId="9629" xr:uid="{9C5B977D-FCA4-4B18-9ADB-3BF641089711}"/>
    <cellStyle name="20% - Accent3 2" xfId="18" xr:uid="{00000000-0005-0000-0000-000042010000}"/>
    <cellStyle name="20% - Accent3 2 10" xfId="8792" xr:uid="{65E5762F-047C-4860-B47E-71363924E2A5}"/>
    <cellStyle name="20% - Accent3 2 10 2" xfId="18116" xr:uid="{D1564EDA-8264-4814-B99C-044FDBCA938F}"/>
    <cellStyle name="20% - Accent3 2 11" xfId="9630" xr:uid="{2498A71C-B330-4B69-A1AA-E7FDABE8EDB2}"/>
    <cellStyle name="20% - Accent3 2 2" xfId="19" xr:uid="{00000000-0005-0000-0000-000043010000}"/>
    <cellStyle name="20% - Accent3 2 2 10" xfId="9631" xr:uid="{4904E4E0-0EE9-4208-ACDC-0B7856D4AAF5}"/>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5812578B-5F4D-4D65-9D20-08BE7C5604E5}"/>
    <cellStyle name="20% - Accent3 2 2 2 2 2 3" xfId="12191" xr:uid="{0D85B45D-A2B9-4A40-B005-C86C185D3E43}"/>
    <cellStyle name="20% - Accent3 2 2 2 2 3" xfId="4937" xr:uid="{00000000-0005-0000-0000-000048010000}"/>
    <cellStyle name="20% - Accent3 2 2 2 2 3 2" xfId="14263" xr:uid="{54E7FC16-259E-4B76-9F96-4BEBF4C5F258}"/>
    <cellStyle name="20% - Accent3 2 2 2 2 4" xfId="9527" xr:uid="{B82F9F3C-4714-4F10-BEB2-F90FC0563F53}"/>
    <cellStyle name="20% - Accent3 2 2 2 2 4 2" xfId="18842" xr:uid="{1249AC90-37D4-43B3-920B-1DC662CB5EC4}"/>
    <cellStyle name="20% - Accent3 2 2 2 2 5" xfId="10046" xr:uid="{62233AE3-651E-4394-A54B-6B9BE331740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4D354689-4844-4DA9-9AC1-62454B7CDCC9}"/>
    <cellStyle name="20% - Accent3 2 2 2 3 2 3" xfId="12604" xr:uid="{0DC4E9C7-0249-4A5E-8D2B-33931519552C}"/>
    <cellStyle name="20% - Accent3 2 2 2 3 3" xfId="5350" xr:uid="{00000000-0005-0000-0000-00004C010000}"/>
    <cellStyle name="20% - Accent3 2 2 2 3 3 2" xfId="14676" xr:uid="{A860E976-8955-41A0-901E-A335955BB022}"/>
    <cellStyle name="20% - Accent3 2 2 2 3 4" xfId="10459" xr:uid="{012B598C-0CFE-45B0-A954-43D857412358}"/>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89068432-FCE4-451D-8043-CA2854746DA3}"/>
    <cellStyle name="20% - Accent3 2 2 2 4 2 3" xfId="13017" xr:uid="{3394E25B-7BF7-473A-B0B5-16463ECB2075}"/>
    <cellStyle name="20% - Accent3 2 2 2 4 3" xfId="5763" xr:uid="{00000000-0005-0000-0000-000050010000}"/>
    <cellStyle name="20% - Accent3 2 2 2 4 3 2" xfId="15089" xr:uid="{CF6EEF0A-095B-43EA-8441-89035618FA74}"/>
    <cellStyle name="20% - Accent3 2 2 2 4 4" xfId="10872" xr:uid="{9CF2CA85-D269-4573-909D-E71CF7B6742F}"/>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AC1C2E4D-D89E-4AB5-B44C-658ADEDC9F26}"/>
    <cellStyle name="20% - Accent3 2 2 2 5 2 3" xfId="13430" xr:uid="{7CDB15CB-3271-4C5B-9E6A-BDE706121813}"/>
    <cellStyle name="20% - Accent3 2 2 2 5 3" xfId="6176" xr:uid="{00000000-0005-0000-0000-000054010000}"/>
    <cellStyle name="20% - Accent3 2 2 2 5 3 2" xfId="15502" xr:uid="{4B6641BA-1EFB-4BE4-9055-FB7F3BDBB9C4}"/>
    <cellStyle name="20% - Accent3 2 2 2 5 4" xfId="11285" xr:uid="{8A21F358-48F9-465B-9649-C11F49A7686F}"/>
    <cellStyle name="20% - Accent3 2 2 2 6" xfId="2283" xr:uid="{00000000-0005-0000-0000-000055010000}"/>
    <cellStyle name="20% - Accent3 2 2 2 6 2" xfId="6589" xr:uid="{00000000-0005-0000-0000-000056010000}"/>
    <cellStyle name="20% - Accent3 2 2 2 6 2 2" xfId="15915" xr:uid="{8422EA98-FFF0-4EFC-A1E0-7D848A65D43B}"/>
    <cellStyle name="20% - Accent3 2 2 2 6 3" xfId="11698" xr:uid="{18F13F37-EB60-4704-A272-25EBBC2AE59D}"/>
    <cellStyle name="20% - Accent3 2 2 2 7" xfId="4523" xr:uid="{00000000-0005-0000-0000-000057010000}"/>
    <cellStyle name="20% - Accent3 2 2 2 7 2" xfId="13849" xr:uid="{A04CA004-E8F2-4FD0-972A-4B7F7BC559BF}"/>
    <cellStyle name="20% - Accent3 2 2 2 8" xfId="9102" xr:uid="{77698EAD-FDE4-4105-BE80-980B5219F464}"/>
    <cellStyle name="20% - Accent3 2 2 2 8 2" xfId="18426" xr:uid="{6E5F242E-3A70-4F53-A973-F7FF95C71BE3}"/>
    <cellStyle name="20% - Accent3 2 2 2 9" xfId="9632" xr:uid="{80D442E2-79BD-43D8-BD5B-15312E9536BC}"/>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870BD634-5958-479D-B4C6-02C327CE35D3}"/>
    <cellStyle name="20% - Accent3 2 2 3 2 3" xfId="12190" xr:uid="{B4BBC86D-C8F0-4E7C-9C6C-EF375BB5846D}"/>
    <cellStyle name="20% - Accent3 2 2 3 3" xfId="4936" xr:uid="{00000000-0005-0000-0000-00005B010000}"/>
    <cellStyle name="20% - Accent3 2 2 3 3 2" xfId="14262" xr:uid="{B9994799-92CB-44C9-92E1-9BC3C68C5CC2}"/>
    <cellStyle name="20% - Accent3 2 2 3 4" xfId="9320" xr:uid="{BF070B19-D289-4211-B080-DBB621CAE7BA}"/>
    <cellStyle name="20% - Accent3 2 2 3 4 2" xfId="18635" xr:uid="{A15C843E-1B05-4C9D-BDFF-7BBEC8318A76}"/>
    <cellStyle name="20% - Accent3 2 2 3 5" xfId="10045" xr:uid="{3ADBA349-E0A9-4B76-8756-E68EB42B4CE8}"/>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67829193-3EE8-44D9-867D-666BD1E38279}"/>
    <cellStyle name="20% - Accent3 2 2 4 2 3" xfId="12603" xr:uid="{83FDB45C-CEE6-4C76-94AC-2602C0D49A69}"/>
    <cellStyle name="20% - Accent3 2 2 4 3" xfId="5349" xr:uid="{00000000-0005-0000-0000-00005F010000}"/>
    <cellStyle name="20% - Accent3 2 2 4 3 2" xfId="14675" xr:uid="{D7408663-56EF-4883-84CD-C6DB168DBF0E}"/>
    <cellStyle name="20% - Accent3 2 2 4 4" xfId="10458" xr:uid="{8C597D0A-5E3C-4776-B334-C5F185D97A2F}"/>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C2EE54C3-728C-4A79-9336-5F3E2D1DC2F9}"/>
    <cellStyle name="20% - Accent3 2 2 5 2 3" xfId="13016" xr:uid="{3EFE3EA5-3A43-4CDC-9187-508ABB2DC79D}"/>
    <cellStyle name="20% - Accent3 2 2 5 3" xfId="5762" xr:uid="{00000000-0005-0000-0000-000063010000}"/>
    <cellStyle name="20% - Accent3 2 2 5 3 2" xfId="15088" xr:uid="{AE80B761-908F-4868-99C3-60651331D810}"/>
    <cellStyle name="20% - Accent3 2 2 5 4" xfId="10871" xr:uid="{4DC0C7D2-84BC-4E1D-859B-EBEA27E9B152}"/>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D9DBB05E-3B5E-4090-83AE-55A218951F4F}"/>
    <cellStyle name="20% - Accent3 2 2 6 2 3" xfId="13429" xr:uid="{D72E0C5A-62EC-43A4-9769-3768C78795B1}"/>
    <cellStyle name="20% - Accent3 2 2 6 3" xfId="6175" xr:uid="{00000000-0005-0000-0000-000067010000}"/>
    <cellStyle name="20% - Accent3 2 2 6 3 2" xfId="15501" xr:uid="{D25CCAA9-B2C2-47FC-9683-27E909E7BF09}"/>
    <cellStyle name="20% - Accent3 2 2 6 4" xfId="11284" xr:uid="{2C22FA19-DA19-424E-87C9-8C0469DECF5C}"/>
    <cellStyle name="20% - Accent3 2 2 7" xfId="2282" xr:uid="{00000000-0005-0000-0000-000068010000}"/>
    <cellStyle name="20% - Accent3 2 2 7 2" xfId="6588" xr:uid="{00000000-0005-0000-0000-000069010000}"/>
    <cellStyle name="20% - Accent3 2 2 7 2 2" xfId="15914" xr:uid="{0C61FEDE-F277-4D77-9241-94BF4B366BF0}"/>
    <cellStyle name="20% - Accent3 2 2 7 3" xfId="11697" xr:uid="{ABAD4454-20CA-4241-B5F2-7F198298F839}"/>
    <cellStyle name="20% - Accent3 2 2 8" xfId="4522" xr:uid="{00000000-0005-0000-0000-00006A010000}"/>
    <cellStyle name="20% - Accent3 2 2 8 2" xfId="13848" xr:uid="{EDEA532C-7F3F-40FC-80C3-180DA11EC795}"/>
    <cellStyle name="20% - Accent3 2 2 9" xfId="8895" xr:uid="{0ADDC6BA-FD9D-420D-8F5A-13E0A04BBC7C}"/>
    <cellStyle name="20% - Accent3 2 2 9 2" xfId="18219" xr:uid="{0D803FA5-32F5-4F44-8C17-EFEC0146B3B8}"/>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68E0C54-34EB-433E-8370-CBAADE5D3D9B}"/>
    <cellStyle name="20% - Accent3 2 3 2 2 3" xfId="12192" xr:uid="{64CB31F7-C711-4992-B4E8-8935E4F8A9E5}"/>
    <cellStyle name="20% - Accent3 2 3 2 3" xfId="4938" xr:uid="{00000000-0005-0000-0000-00006F010000}"/>
    <cellStyle name="20% - Accent3 2 3 2 3 2" xfId="14264" xr:uid="{AFDAEE1B-D6FC-44DC-80C6-ED93AAF683E2}"/>
    <cellStyle name="20% - Accent3 2 3 2 4" xfId="9424" xr:uid="{C3588D98-6F24-4F2C-9F96-F34501405613}"/>
    <cellStyle name="20% - Accent3 2 3 2 4 2" xfId="18739" xr:uid="{028048D6-526B-4ED1-A161-89C87AADB6E9}"/>
    <cellStyle name="20% - Accent3 2 3 2 5" xfId="10047" xr:uid="{E6D1D27A-E512-4333-B0B6-F2035442AF4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97B2C42A-271B-4416-B05B-0B83231E72FE}"/>
    <cellStyle name="20% - Accent3 2 3 3 2 3" xfId="12605" xr:uid="{B82F9AF1-056E-437A-8CB7-C7A732479799}"/>
    <cellStyle name="20% - Accent3 2 3 3 3" xfId="5351" xr:uid="{00000000-0005-0000-0000-000073010000}"/>
    <cellStyle name="20% - Accent3 2 3 3 3 2" xfId="14677" xr:uid="{A6952A7A-B99E-49C4-8DB9-A23158862722}"/>
    <cellStyle name="20% - Accent3 2 3 3 4" xfId="10460" xr:uid="{5B1181D9-6B74-49BD-8A82-DC7205D7FF3B}"/>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0EDD00EA-6574-48E0-9A89-4561EB4381C1}"/>
    <cellStyle name="20% - Accent3 2 3 4 2 3" xfId="13018" xr:uid="{FF90B66D-6327-42CD-84DA-FC9E229CAFBF}"/>
    <cellStyle name="20% - Accent3 2 3 4 3" xfId="5764" xr:uid="{00000000-0005-0000-0000-000077010000}"/>
    <cellStyle name="20% - Accent3 2 3 4 3 2" xfId="15090" xr:uid="{D28CE068-697B-4195-98FD-D1538ECCF560}"/>
    <cellStyle name="20% - Accent3 2 3 4 4" xfId="10873" xr:uid="{558E3466-FD0F-49A1-8F3B-21D927EA003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08DF0FA5-AFDC-49DD-8518-A60142EE0399}"/>
    <cellStyle name="20% - Accent3 2 3 5 2 3" xfId="13431" xr:uid="{EB019A70-A761-440A-9817-A6FB347D53A5}"/>
    <cellStyle name="20% - Accent3 2 3 5 3" xfId="6177" xr:uid="{00000000-0005-0000-0000-00007B010000}"/>
    <cellStyle name="20% - Accent3 2 3 5 3 2" xfId="15503" xr:uid="{C1221283-56D7-48B7-ABA3-823B3B9766F5}"/>
    <cellStyle name="20% - Accent3 2 3 5 4" xfId="11286" xr:uid="{5949B234-3E06-4E8E-858E-475688D6A023}"/>
    <cellStyle name="20% - Accent3 2 3 6" xfId="2284" xr:uid="{00000000-0005-0000-0000-00007C010000}"/>
    <cellStyle name="20% - Accent3 2 3 6 2" xfId="6590" xr:uid="{00000000-0005-0000-0000-00007D010000}"/>
    <cellStyle name="20% - Accent3 2 3 6 2 2" xfId="15916" xr:uid="{2CFB58D4-2077-4E42-B4EE-E3B6E96961E5}"/>
    <cellStyle name="20% - Accent3 2 3 6 3" xfId="11699" xr:uid="{8DA0234D-5A9E-49DB-A1BD-ABE89B9516EB}"/>
    <cellStyle name="20% - Accent3 2 3 7" xfId="4524" xr:uid="{00000000-0005-0000-0000-00007E010000}"/>
    <cellStyle name="20% - Accent3 2 3 7 2" xfId="13850" xr:uid="{B3EE78DB-E09C-4A0F-8FAA-42A2B7CD0404}"/>
    <cellStyle name="20% - Accent3 2 3 8" xfId="8999" xr:uid="{2B5D0148-B6EA-4DEA-92B1-644886C27051}"/>
    <cellStyle name="20% - Accent3 2 3 8 2" xfId="18323" xr:uid="{A88A267C-0202-43CD-BBC5-5E282708A05B}"/>
    <cellStyle name="20% - Accent3 2 3 9" xfId="9633" xr:uid="{CA1CA689-ACBF-4665-B6DF-4C3B28DB4D39}"/>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300B5808-A93B-4EBB-AC0E-976CB0E94E55}"/>
    <cellStyle name="20% - Accent3 2 4 2 3" xfId="12189" xr:uid="{49AD3F88-B1F4-4AA6-AAA7-33BC5982C3CE}"/>
    <cellStyle name="20% - Accent3 2 4 3" xfId="4935" xr:uid="{00000000-0005-0000-0000-000082010000}"/>
    <cellStyle name="20% - Accent3 2 4 3 2" xfId="14261" xr:uid="{FCA12F25-CF01-4ABB-BD80-21E22CF196A4}"/>
    <cellStyle name="20% - Accent3 2 4 4" xfId="9216" xr:uid="{A12C3877-5492-4CD3-AD22-81B3F0AB1EDD}"/>
    <cellStyle name="20% - Accent3 2 4 4 2" xfId="18532" xr:uid="{7F6693DF-9936-4E7B-81FA-52342A07971A}"/>
    <cellStyle name="20% - Accent3 2 4 5" xfId="10044" xr:uid="{09488C04-269F-4F3C-8824-A14B6FD8D86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7478B3CA-DEE0-44A2-A30F-9195FE221B96}"/>
    <cellStyle name="20% - Accent3 2 5 2 3" xfId="12602" xr:uid="{B0ACF31A-E2FD-43A3-ABC9-691557D713F8}"/>
    <cellStyle name="20% - Accent3 2 5 3" xfId="5348" xr:uid="{00000000-0005-0000-0000-000086010000}"/>
    <cellStyle name="20% - Accent3 2 5 3 2" xfId="14674" xr:uid="{F49A08D4-E790-49DC-B390-574AE00BE48D}"/>
    <cellStyle name="20% - Accent3 2 5 4" xfId="10457" xr:uid="{6A71DA00-BF0E-43F4-A18C-9077C6DE24A0}"/>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8A1E437E-B7C2-4A83-B89B-BD51AAE912C7}"/>
    <cellStyle name="20% - Accent3 2 6 2 3" xfId="13015" xr:uid="{66498983-1565-4092-B294-486DB474059C}"/>
    <cellStyle name="20% - Accent3 2 6 3" xfId="5761" xr:uid="{00000000-0005-0000-0000-00008A010000}"/>
    <cellStyle name="20% - Accent3 2 6 3 2" xfId="15087" xr:uid="{C69FB1B3-0546-4438-B3D5-44AF01A36D72}"/>
    <cellStyle name="20% - Accent3 2 6 4" xfId="10870" xr:uid="{D9A64B19-AE22-4FF4-B196-4F3095C7DEE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4F8871AE-478F-4206-BE11-49D0D1E63CB7}"/>
    <cellStyle name="20% - Accent3 2 7 2 3" xfId="13428" xr:uid="{FAE52BA9-DFC9-4EDC-8C92-FF5670BD6E1F}"/>
    <cellStyle name="20% - Accent3 2 7 3" xfId="6174" xr:uid="{00000000-0005-0000-0000-00008E010000}"/>
    <cellStyle name="20% - Accent3 2 7 3 2" xfId="15500" xr:uid="{964B0E2F-B74D-4972-95A8-F42C31268B4D}"/>
    <cellStyle name="20% - Accent3 2 7 4" xfId="11283" xr:uid="{529F1094-7AE8-4425-877D-C418A34081F6}"/>
    <cellStyle name="20% - Accent3 2 8" xfId="2281" xr:uid="{00000000-0005-0000-0000-00008F010000}"/>
    <cellStyle name="20% - Accent3 2 8 2" xfId="6587" xr:uid="{00000000-0005-0000-0000-000090010000}"/>
    <cellStyle name="20% - Accent3 2 8 2 2" xfId="15913" xr:uid="{3E5246E3-E679-4FA6-AB3D-8148A8FFD1EC}"/>
    <cellStyle name="20% - Accent3 2 8 3" xfId="11696" xr:uid="{727DD210-2FE7-4A3F-ACBA-491C8C872388}"/>
    <cellStyle name="20% - Accent3 2 9" xfId="4521" xr:uid="{00000000-0005-0000-0000-000091010000}"/>
    <cellStyle name="20% - Accent3 2 9 2" xfId="13847" xr:uid="{8A7C8C99-2F54-40F4-81B5-C52D64F83793}"/>
    <cellStyle name="20% - Accent3 3" xfId="22" xr:uid="{00000000-0005-0000-0000-000092010000}"/>
    <cellStyle name="20% - Accent3 3 10" xfId="9634" xr:uid="{F64329C9-597B-4BBC-B076-5DD6099E5DB9}"/>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A369FF1C-5833-454D-A4AA-2BAFD89DD756}"/>
    <cellStyle name="20% - Accent3 3 2 2 2 3" xfId="12194" xr:uid="{8FFA2664-4012-410A-AB66-B31E87900597}"/>
    <cellStyle name="20% - Accent3 3 2 2 3" xfId="4940" xr:uid="{00000000-0005-0000-0000-000097010000}"/>
    <cellStyle name="20% - Accent3 3 2 2 3 2" xfId="14266" xr:uid="{D29BF4F1-0DEC-4F9B-A445-8A978A98192C}"/>
    <cellStyle name="20% - Accent3 3 2 2 4" xfId="9497" xr:uid="{43A0E151-F418-49A1-AF18-121DEB02B6D4}"/>
    <cellStyle name="20% - Accent3 3 2 2 4 2" xfId="18812" xr:uid="{C6FCB260-C160-4FAC-818D-DBC37292AA31}"/>
    <cellStyle name="20% - Accent3 3 2 2 5" xfId="10049" xr:uid="{56DEB2D6-33B1-4E39-A1C4-EF3EE93E678E}"/>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AF8F6C43-6061-47E7-AC67-850FCA452BE6}"/>
    <cellStyle name="20% - Accent3 3 2 3 2 3" xfId="12607" xr:uid="{3FE7C6CE-6EE9-45BF-953F-D19E206FB7AA}"/>
    <cellStyle name="20% - Accent3 3 2 3 3" xfId="5353" xr:uid="{00000000-0005-0000-0000-00009B010000}"/>
    <cellStyle name="20% - Accent3 3 2 3 3 2" xfId="14679" xr:uid="{E1F9138A-6326-4B92-BE07-50281151ACAF}"/>
    <cellStyle name="20% - Accent3 3 2 3 4" xfId="10462" xr:uid="{048F6E87-562A-4F74-AC48-A713A438448A}"/>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9F9D1138-7379-432E-9FBA-BF1957DA7A13}"/>
    <cellStyle name="20% - Accent3 3 2 4 2 3" xfId="13020" xr:uid="{E57B0360-03A2-46FA-A7EA-C983BE009798}"/>
    <cellStyle name="20% - Accent3 3 2 4 3" xfId="5766" xr:uid="{00000000-0005-0000-0000-00009F010000}"/>
    <cellStyle name="20% - Accent3 3 2 4 3 2" xfId="15092" xr:uid="{96C51E12-AA81-4B50-BBF3-8C2904488941}"/>
    <cellStyle name="20% - Accent3 3 2 4 4" xfId="10875" xr:uid="{E580AF3E-F9F7-449B-B4F3-7A5756F3308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90391368-554F-4B3D-BD53-AC29CC18126B}"/>
    <cellStyle name="20% - Accent3 3 2 5 2 3" xfId="13433" xr:uid="{64CE13E6-6338-4F7A-B653-4B9D3C8EECBC}"/>
    <cellStyle name="20% - Accent3 3 2 5 3" xfId="6179" xr:uid="{00000000-0005-0000-0000-0000A3010000}"/>
    <cellStyle name="20% - Accent3 3 2 5 3 2" xfId="15505" xr:uid="{C3826505-A353-4BB6-9790-EB97D49664C6}"/>
    <cellStyle name="20% - Accent3 3 2 5 4" xfId="11288" xr:uid="{FE8B99E6-E0F8-442D-B41A-67EACD414EDE}"/>
    <cellStyle name="20% - Accent3 3 2 6" xfId="2286" xr:uid="{00000000-0005-0000-0000-0000A4010000}"/>
    <cellStyle name="20% - Accent3 3 2 6 2" xfId="6592" xr:uid="{00000000-0005-0000-0000-0000A5010000}"/>
    <cellStyle name="20% - Accent3 3 2 6 2 2" xfId="15918" xr:uid="{66C2E6D4-7B43-4B5E-9F0B-C225FA5DA0EE}"/>
    <cellStyle name="20% - Accent3 3 2 6 3" xfId="11701" xr:uid="{E9CDB51B-E52B-48CD-81E4-A9B4DC1D2BE7}"/>
    <cellStyle name="20% - Accent3 3 2 7" xfId="4526" xr:uid="{00000000-0005-0000-0000-0000A6010000}"/>
    <cellStyle name="20% - Accent3 3 2 7 2" xfId="13852" xr:uid="{A11B7B9A-9D4F-4D23-920E-3593B5D18E36}"/>
    <cellStyle name="20% - Accent3 3 2 8" xfId="9072" xr:uid="{422EC144-F6F8-460E-8B93-316BBF9707FB}"/>
    <cellStyle name="20% - Accent3 3 2 8 2" xfId="18396" xr:uid="{5388BD3A-7012-4948-A264-AA87FA301414}"/>
    <cellStyle name="20% - Accent3 3 2 9" xfId="9635" xr:uid="{B2D59F29-0F23-4C89-9806-5E51F618C5F1}"/>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40178C55-3BEF-425E-A23B-76DF90148B8A}"/>
    <cellStyle name="20% - Accent3 3 3 2 3" xfId="12193" xr:uid="{E8B67D6E-6DCE-451A-9124-3001216F5A98}"/>
    <cellStyle name="20% - Accent3 3 3 3" xfId="4939" xr:uid="{00000000-0005-0000-0000-0000AA010000}"/>
    <cellStyle name="20% - Accent3 3 3 3 2" xfId="14265" xr:uid="{D8CCA4D8-ED27-489D-BF14-9724B8C33997}"/>
    <cellStyle name="20% - Accent3 3 3 4" xfId="9290" xr:uid="{8511D0A3-BAF4-4D49-BFEA-2ED828678819}"/>
    <cellStyle name="20% - Accent3 3 3 4 2" xfId="18605" xr:uid="{4673BA9A-02FE-45D2-B737-FF8910B8F5BC}"/>
    <cellStyle name="20% - Accent3 3 3 5" xfId="10048" xr:uid="{B1CA16E8-80C7-4B8E-8CA6-1FD4B58053D1}"/>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2C9CE355-9FB7-45AD-8AE5-1B260E2E7B34}"/>
    <cellStyle name="20% - Accent3 3 4 2 3" xfId="12606" xr:uid="{CFC1FE29-BB4D-40CB-B1FE-D431CC66597D}"/>
    <cellStyle name="20% - Accent3 3 4 3" xfId="5352" xr:uid="{00000000-0005-0000-0000-0000AE010000}"/>
    <cellStyle name="20% - Accent3 3 4 3 2" xfId="14678" xr:uid="{BBB2635B-0DD9-4348-AD8A-73CB790B7C6C}"/>
    <cellStyle name="20% - Accent3 3 4 4" xfId="10461" xr:uid="{159BF1A6-10D3-42A1-99A7-9643E7E859E0}"/>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490DEC3C-AA06-4E88-8F2D-F44B38C2D6A5}"/>
    <cellStyle name="20% - Accent3 3 5 2 3" xfId="13019" xr:uid="{3EFB655D-A8EE-4707-8C28-1B0BB2DA3EFC}"/>
    <cellStyle name="20% - Accent3 3 5 3" xfId="5765" xr:uid="{00000000-0005-0000-0000-0000B2010000}"/>
    <cellStyle name="20% - Accent3 3 5 3 2" xfId="15091" xr:uid="{7B57F115-E6AD-47DB-A610-D667DC226823}"/>
    <cellStyle name="20% - Accent3 3 5 4" xfId="10874" xr:uid="{D0B34D08-1856-478F-A893-1319B4386F3E}"/>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7CD8FCAD-A590-467D-A749-324C5451889F}"/>
    <cellStyle name="20% - Accent3 3 6 2 3" xfId="13432" xr:uid="{4F1E8AC3-8936-4D8C-8C98-A73E9EDBB7AB}"/>
    <cellStyle name="20% - Accent3 3 6 3" xfId="6178" xr:uid="{00000000-0005-0000-0000-0000B6010000}"/>
    <cellStyle name="20% - Accent3 3 6 3 2" xfId="15504" xr:uid="{92E01CDC-C8C0-44A8-BBDB-6E438E9E4FFB}"/>
    <cellStyle name="20% - Accent3 3 6 4" xfId="11287" xr:uid="{F016916F-61E5-410D-BD0C-1A2086D172E1}"/>
    <cellStyle name="20% - Accent3 3 7" xfId="2285" xr:uid="{00000000-0005-0000-0000-0000B7010000}"/>
    <cellStyle name="20% - Accent3 3 7 2" xfId="6591" xr:uid="{00000000-0005-0000-0000-0000B8010000}"/>
    <cellStyle name="20% - Accent3 3 7 2 2" xfId="15917" xr:uid="{C2C448C7-FD12-444A-A0F8-7FDF1AFFFE87}"/>
    <cellStyle name="20% - Accent3 3 7 3" xfId="11700" xr:uid="{4300E15F-126F-4DE9-9DC8-B1515945A4A9}"/>
    <cellStyle name="20% - Accent3 3 8" xfId="4525" xr:uid="{00000000-0005-0000-0000-0000B9010000}"/>
    <cellStyle name="20% - Accent3 3 8 2" xfId="13851" xr:uid="{E69F5AA3-085C-4D1A-9B60-7F69A21F13A3}"/>
    <cellStyle name="20% - Accent3 3 9" xfId="8865" xr:uid="{FFA3EBA3-F40D-47A2-8AA1-A3A9E7BB9A8E}"/>
    <cellStyle name="20% - Accent3 3 9 2" xfId="18189" xr:uid="{64308C47-378A-43D0-8506-B984D5444A51}"/>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28BA6C12-343A-44F9-81FA-1EC43365127E}"/>
    <cellStyle name="20% - Accent3 4 2 2 3" xfId="12195" xr:uid="{A5D98114-FC38-43EC-8B2A-342AC1B9B3CF}"/>
    <cellStyle name="20% - Accent3 4 2 3" xfId="4941" xr:uid="{00000000-0005-0000-0000-0000BE010000}"/>
    <cellStyle name="20% - Accent3 4 2 3 2" xfId="14267" xr:uid="{355C1EF6-0CFB-4D27-A647-89A8D11AAB96}"/>
    <cellStyle name="20% - Accent3 4 2 4" xfId="9376" xr:uid="{92AC27CA-0B0B-4AFE-8457-D3F19BE2837F}"/>
    <cellStyle name="20% - Accent3 4 2 4 2" xfId="18691" xr:uid="{5E26F13F-A521-4AB7-9AB3-3F670B4B1AD8}"/>
    <cellStyle name="20% - Accent3 4 2 5" xfId="10050" xr:uid="{DE15CFEF-F893-436C-8CA1-EC7180687317}"/>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51D789B8-DA78-4D99-A2B4-10F60C387757}"/>
    <cellStyle name="20% - Accent3 4 3 2 3" xfId="12608" xr:uid="{F001AA16-D4ED-43F8-9282-F8973BCAC359}"/>
    <cellStyle name="20% - Accent3 4 3 3" xfId="5354" xr:uid="{00000000-0005-0000-0000-0000C2010000}"/>
    <cellStyle name="20% - Accent3 4 3 3 2" xfId="14680" xr:uid="{ED4AB3E2-27C6-40F6-B4FD-C81254CD8DB8}"/>
    <cellStyle name="20% - Accent3 4 3 4" xfId="10463" xr:uid="{6A66ECDE-0758-41BC-BD30-796AAEA3CEDC}"/>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178974C8-D29A-4A7D-A1CF-A45606C2EAFD}"/>
    <cellStyle name="20% - Accent3 4 4 2 3" xfId="13021" xr:uid="{F798656E-6D84-4C8B-94DD-675DCDA6F945}"/>
    <cellStyle name="20% - Accent3 4 4 3" xfId="5767" xr:uid="{00000000-0005-0000-0000-0000C6010000}"/>
    <cellStyle name="20% - Accent3 4 4 3 2" xfId="15093" xr:uid="{E6DF2B47-E5E0-45C3-9602-B29683BE1535}"/>
    <cellStyle name="20% - Accent3 4 4 4" xfId="10876" xr:uid="{0D160E53-6A69-4E6E-A4A9-390B348ECC0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EC39C157-85E6-48B9-BBA5-84860B603E06}"/>
    <cellStyle name="20% - Accent3 4 5 2 3" xfId="13434" xr:uid="{E27F58A4-EF68-4790-B057-8D35231DE3B5}"/>
    <cellStyle name="20% - Accent3 4 5 3" xfId="6180" xr:uid="{00000000-0005-0000-0000-0000CA010000}"/>
    <cellStyle name="20% - Accent3 4 5 3 2" xfId="15506" xr:uid="{1E8AAB15-E106-4F4C-8859-C1935EEFCE15}"/>
    <cellStyle name="20% - Accent3 4 5 4" xfId="11289" xr:uid="{74FF2C61-7D03-492E-8854-0977033EE9D6}"/>
    <cellStyle name="20% - Accent3 4 6" xfId="2287" xr:uid="{00000000-0005-0000-0000-0000CB010000}"/>
    <cellStyle name="20% - Accent3 4 6 2" xfId="6593" xr:uid="{00000000-0005-0000-0000-0000CC010000}"/>
    <cellStyle name="20% - Accent3 4 6 2 2" xfId="15919" xr:uid="{32DE39FD-641C-4248-B7F1-7DED51EB92D0}"/>
    <cellStyle name="20% - Accent3 4 6 3" xfId="11702" xr:uid="{1A1C4264-047A-42BA-9EA6-9EE5E51C43CE}"/>
    <cellStyle name="20% - Accent3 4 7" xfId="4527" xr:uid="{00000000-0005-0000-0000-0000CD010000}"/>
    <cellStyle name="20% - Accent3 4 7 2" xfId="13853" xr:uid="{6FC14220-2049-463D-A59B-52398B93ADE0}"/>
    <cellStyle name="20% - Accent3 4 8" xfId="8951" xr:uid="{3CB7770B-4F12-4C44-B65D-06C641FEE851}"/>
    <cellStyle name="20% - Accent3 4 8 2" xfId="18275" xr:uid="{5BDBF45D-C71E-4272-AB8A-7AE27612FB0D}"/>
    <cellStyle name="20% - Accent3 4 9" xfId="9636" xr:uid="{014FC132-0FC5-4E29-87D7-EB6A8C56348D}"/>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5767489C-3752-4B4A-84AB-4E0B2ADEBA54}"/>
    <cellStyle name="20% - Accent3 5 2 3" xfId="12188" xr:uid="{D8C79AB5-94E5-45E2-A555-C1CB8B287481}"/>
    <cellStyle name="20% - Accent3 5 3" xfId="4934" xr:uid="{00000000-0005-0000-0000-0000D1010000}"/>
    <cellStyle name="20% - Accent3 5 3 2" xfId="14260" xr:uid="{F939608F-1739-4E83-914F-BF941F2138FA}"/>
    <cellStyle name="20% - Accent3 5 4" xfId="9184" xr:uid="{F51B2D95-9593-4370-A6D2-AFEF087D7920}"/>
    <cellStyle name="20% - Accent3 5 4 2" xfId="18502" xr:uid="{BE182A6A-ED8D-4C85-A329-7F0AE9659BCD}"/>
    <cellStyle name="20% - Accent3 5 5" xfId="10043" xr:uid="{695AE253-F9AE-481E-BF38-0CEFE0F4AA70}"/>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A76CE5F4-73F3-449F-BC8E-999ECA366C46}"/>
    <cellStyle name="20% - Accent3 6 2 3" xfId="12601" xr:uid="{63BD3E87-2157-4C3F-959C-186009DF70B6}"/>
    <cellStyle name="20% - Accent3 6 3" xfId="5347" xr:uid="{00000000-0005-0000-0000-0000D5010000}"/>
    <cellStyle name="20% - Accent3 6 3 2" xfId="14673" xr:uid="{FBDC2B98-6AC4-4A09-A963-151B403BD928}"/>
    <cellStyle name="20% - Accent3 6 4" xfId="10456" xr:uid="{57C9CA8D-A95B-47BA-8CF4-E6572BA7EC6D}"/>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FD40A1CA-87DD-4A82-99A4-1C1188271126}"/>
    <cellStyle name="20% - Accent3 7 2 3" xfId="13014" xr:uid="{BC0B2D24-6A61-4661-8BE5-EFB765A756F3}"/>
    <cellStyle name="20% - Accent3 7 3" xfId="5760" xr:uid="{00000000-0005-0000-0000-0000D9010000}"/>
    <cellStyle name="20% - Accent3 7 3 2" xfId="15086" xr:uid="{A8E7B12D-64BE-4C1F-9A43-6A2DFC21CE09}"/>
    <cellStyle name="20% - Accent3 7 4" xfId="10869" xr:uid="{F0A672DE-71FA-4480-88D1-A3FAC6EC3CAB}"/>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D71829D8-AA63-4894-BE7F-F0B0B7F74193}"/>
    <cellStyle name="20% - Accent3 8 2 3" xfId="13427" xr:uid="{820782E5-F431-4CB9-AE73-E545278843BB}"/>
    <cellStyle name="20% - Accent3 8 3" xfId="6173" xr:uid="{00000000-0005-0000-0000-0000DD010000}"/>
    <cellStyle name="20% - Accent3 8 3 2" xfId="15499" xr:uid="{75F923FF-D89D-4F2F-BA6F-8963936DF88E}"/>
    <cellStyle name="20% - Accent3 8 4" xfId="11282" xr:uid="{986F4026-DAC1-4D2C-8BAD-03F98AC5D6C1}"/>
    <cellStyle name="20% - Accent3 9" xfId="2280" xr:uid="{00000000-0005-0000-0000-0000DE010000}"/>
    <cellStyle name="20% - Accent3 9 2" xfId="6586" xr:uid="{00000000-0005-0000-0000-0000DF010000}"/>
    <cellStyle name="20% - Accent3 9 2 2" xfId="15912" xr:uid="{6DF14B45-CB01-49E6-8209-722672406E64}"/>
    <cellStyle name="20% - Accent3 9 3" xfId="11695" xr:uid="{6C02274B-C815-4C3E-9C14-4D81FADCCDBF}"/>
    <cellStyle name="20% - Accent4" xfId="25" builtinId="42" customBuiltin="1"/>
    <cellStyle name="20% - Accent4 10" xfId="4528" xr:uid="{00000000-0005-0000-0000-0000E1010000}"/>
    <cellStyle name="20% - Accent4 10 2" xfId="13854" xr:uid="{74647B11-D1F3-49AC-A0DF-CEAC4FD80C5B}"/>
    <cellStyle name="20% - Accent4 11" xfId="8764" xr:uid="{4A9BF508-806C-496D-AEC5-5842E4A62892}"/>
    <cellStyle name="20% - Accent4 11 2" xfId="18088" xr:uid="{1423FD59-4CAF-4BB3-A3EB-36E47975109F}"/>
    <cellStyle name="20% - Accent4 12" xfId="9637" xr:uid="{79757CD2-2F31-40F5-A4E0-2EEB467272F6}"/>
    <cellStyle name="20% - Accent4 2" xfId="26" xr:uid="{00000000-0005-0000-0000-0000E2010000}"/>
    <cellStyle name="20% - Accent4 2 10" xfId="8794" xr:uid="{31A2F477-5237-45C2-B43F-25AC049A95FF}"/>
    <cellStyle name="20% - Accent4 2 10 2" xfId="18118" xr:uid="{3BF7A7F6-8F33-4E74-A73D-79AC915DB4B7}"/>
    <cellStyle name="20% - Accent4 2 11" xfId="9638" xr:uid="{9F29A355-7CC9-4374-A1E6-ED5C31E425AD}"/>
    <cellStyle name="20% - Accent4 2 2" xfId="27" xr:uid="{00000000-0005-0000-0000-0000E3010000}"/>
    <cellStyle name="20% - Accent4 2 2 10" xfId="9639" xr:uid="{9E8708DF-E029-4102-8E68-775F366D276E}"/>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312AA8CB-9987-403D-9DEA-EBAE1B9DBF22}"/>
    <cellStyle name="20% - Accent4 2 2 2 2 2 3" xfId="12199" xr:uid="{F302AB7E-4389-48BF-84C9-724E78CC8AC7}"/>
    <cellStyle name="20% - Accent4 2 2 2 2 3" xfId="4945" xr:uid="{00000000-0005-0000-0000-0000E8010000}"/>
    <cellStyle name="20% - Accent4 2 2 2 2 3 2" xfId="14271" xr:uid="{17E982A5-667D-49BC-AA4C-12C4550F0072}"/>
    <cellStyle name="20% - Accent4 2 2 2 2 4" xfId="9529" xr:uid="{0C40CE19-1873-4316-818D-CC943AAFBB7B}"/>
    <cellStyle name="20% - Accent4 2 2 2 2 4 2" xfId="18844" xr:uid="{A02C74D6-18C2-42F6-B33B-1277722D09E9}"/>
    <cellStyle name="20% - Accent4 2 2 2 2 5" xfId="10054" xr:uid="{E16CC266-2C46-49C2-8020-5C50F3535D24}"/>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BE7D82CE-080A-466E-AADA-5DF5085A1F8A}"/>
    <cellStyle name="20% - Accent4 2 2 2 3 2 3" xfId="12612" xr:uid="{24022018-484F-4C06-BCFF-9806508BADC2}"/>
    <cellStyle name="20% - Accent4 2 2 2 3 3" xfId="5358" xr:uid="{00000000-0005-0000-0000-0000EC010000}"/>
    <cellStyle name="20% - Accent4 2 2 2 3 3 2" xfId="14684" xr:uid="{8EB9DF4C-AD97-46E5-BF9E-97F64D48FFC0}"/>
    <cellStyle name="20% - Accent4 2 2 2 3 4" xfId="10467" xr:uid="{0C6D41CB-41BA-44AE-ADBD-72ED1B549128}"/>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091AB760-45FF-4277-BC41-24FA25324C63}"/>
    <cellStyle name="20% - Accent4 2 2 2 4 2 3" xfId="13025" xr:uid="{9A78ABBD-17AD-4F85-A666-42E78F9D5347}"/>
    <cellStyle name="20% - Accent4 2 2 2 4 3" xfId="5771" xr:uid="{00000000-0005-0000-0000-0000F0010000}"/>
    <cellStyle name="20% - Accent4 2 2 2 4 3 2" xfId="15097" xr:uid="{00E1451C-B85A-44DA-A418-3972FCDBFDEF}"/>
    <cellStyle name="20% - Accent4 2 2 2 4 4" xfId="10880" xr:uid="{5BB16D96-D8E7-48AE-A761-FEBA4F2E46AF}"/>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5DB312EA-AD32-42B0-B95C-AF31F133473C}"/>
    <cellStyle name="20% - Accent4 2 2 2 5 2 3" xfId="13438" xr:uid="{F4ED94A7-3ED4-4B3B-941D-AB0A1D99A577}"/>
    <cellStyle name="20% - Accent4 2 2 2 5 3" xfId="6184" xr:uid="{00000000-0005-0000-0000-0000F4010000}"/>
    <cellStyle name="20% - Accent4 2 2 2 5 3 2" xfId="15510" xr:uid="{EB0A9B13-55B4-40F5-B0BA-3A3E04CE1632}"/>
    <cellStyle name="20% - Accent4 2 2 2 5 4" xfId="11293" xr:uid="{05D9FD6A-2036-4CFF-A920-EC87336946F7}"/>
    <cellStyle name="20% - Accent4 2 2 2 6" xfId="2291" xr:uid="{00000000-0005-0000-0000-0000F5010000}"/>
    <cellStyle name="20% - Accent4 2 2 2 6 2" xfId="6597" xr:uid="{00000000-0005-0000-0000-0000F6010000}"/>
    <cellStyle name="20% - Accent4 2 2 2 6 2 2" xfId="15923" xr:uid="{3B3C0ED0-1E21-49CE-9EE2-5DC78B82FC0A}"/>
    <cellStyle name="20% - Accent4 2 2 2 6 3" xfId="11706" xr:uid="{226568F7-1399-4AEC-8C08-D1CE644150EA}"/>
    <cellStyle name="20% - Accent4 2 2 2 7" xfId="4531" xr:uid="{00000000-0005-0000-0000-0000F7010000}"/>
    <cellStyle name="20% - Accent4 2 2 2 7 2" xfId="13857" xr:uid="{F697C4CD-0E61-4F8B-9E32-9A588B0FB73D}"/>
    <cellStyle name="20% - Accent4 2 2 2 8" xfId="9104" xr:uid="{526BE306-22BA-4A85-81B2-34AEB56F0D90}"/>
    <cellStyle name="20% - Accent4 2 2 2 8 2" xfId="18428" xr:uid="{2AE442CA-14A0-48D1-8CEB-79A37DF81428}"/>
    <cellStyle name="20% - Accent4 2 2 2 9" xfId="9640" xr:uid="{3EE03C67-001F-4CC3-B7E7-8E5C31A138DE}"/>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A81C8F9A-F6CA-40AA-8DC0-3DE845A01F94}"/>
    <cellStyle name="20% - Accent4 2 2 3 2 3" xfId="12198" xr:uid="{44D2B557-90D2-47F1-8EE2-16DDF86280A2}"/>
    <cellStyle name="20% - Accent4 2 2 3 3" xfId="4944" xr:uid="{00000000-0005-0000-0000-0000FB010000}"/>
    <cellStyle name="20% - Accent4 2 2 3 3 2" xfId="14270" xr:uid="{81BC3C31-693E-45B4-8A74-F28374BAE555}"/>
    <cellStyle name="20% - Accent4 2 2 3 4" xfId="9322" xr:uid="{003BBE99-27AA-4036-A373-4475953A88F4}"/>
    <cellStyle name="20% - Accent4 2 2 3 4 2" xfId="18637" xr:uid="{47DA7F8E-AAF3-4A26-B058-F2667CE80032}"/>
    <cellStyle name="20% - Accent4 2 2 3 5" xfId="10053" xr:uid="{C8D889D8-632C-46A9-A4E7-AC45818228B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5F4E1783-9520-4B2A-96ED-DC6354CF498F}"/>
    <cellStyle name="20% - Accent4 2 2 4 2 3" xfId="12611" xr:uid="{E67E953D-8E24-4AB4-9E4C-CBB43FF78C8D}"/>
    <cellStyle name="20% - Accent4 2 2 4 3" xfId="5357" xr:uid="{00000000-0005-0000-0000-0000FF010000}"/>
    <cellStyle name="20% - Accent4 2 2 4 3 2" xfId="14683" xr:uid="{F1D1DCED-7A9F-49B2-BC04-D030D454319E}"/>
    <cellStyle name="20% - Accent4 2 2 4 4" xfId="10466" xr:uid="{7F4B1A2B-C11E-49FE-8C58-58D60CBF0AF5}"/>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341322B6-61C9-4CA1-AF3C-D209C6A964CC}"/>
    <cellStyle name="20% - Accent4 2 2 5 2 3" xfId="13024" xr:uid="{4E559D75-295F-4968-9B6A-A89EEC0C3533}"/>
    <cellStyle name="20% - Accent4 2 2 5 3" xfId="5770" xr:uid="{00000000-0005-0000-0000-000003020000}"/>
    <cellStyle name="20% - Accent4 2 2 5 3 2" xfId="15096" xr:uid="{6C8BA25D-CA34-4593-8B31-CEE5F23A0A1B}"/>
    <cellStyle name="20% - Accent4 2 2 5 4" xfId="10879" xr:uid="{74F51D43-21BE-471A-B4EC-00FBF8401605}"/>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C4EFA673-C419-496F-BD73-425C9BE29B14}"/>
    <cellStyle name="20% - Accent4 2 2 6 2 3" xfId="13437" xr:uid="{2F046929-078A-4654-95FD-AF9D9A073FEF}"/>
    <cellStyle name="20% - Accent4 2 2 6 3" xfId="6183" xr:uid="{00000000-0005-0000-0000-000007020000}"/>
    <cellStyle name="20% - Accent4 2 2 6 3 2" xfId="15509" xr:uid="{6440ED5D-5885-4084-89D6-1DB4E59B242D}"/>
    <cellStyle name="20% - Accent4 2 2 6 4" xfId="11292" xr:uid="{E3536AD7-47E5-4C19-8119-40DC8155F8C3}"/>
    <cellStyle name="20% - Accent4 2 2 7" xfId="2290" xr:uid="{00000000-0005-0000-0000-000008020000}"/>
    <cellStyle name="20% - Accent4 2 2 7 2" xfId="6596" xr:uid="{00000000-0005-0000-0000-000009020000}"/>
    <cellStyle name="20% - Accent4 2 2 7 2 2" xfId="15922" xr:uid="{6DBED6AB-36F1-4CD8-8808-6BA547CAC20F}"/>
    <cellStyle name="20% - Accent4 2 2 7 3" xfId="11705" xr:uid="{E5F12DEA-ED2B-4B4C-9EB0-F80E6A15B88E}"/>
    <cellStyle name="20% - Accent4 2 2 8" xfId="4530" xr:uid="{00000000-0005-0000-0000-00000A020000}"/>
    <cellStyle name="20% - Accent4 2 2 8 2" xfId="13856" xr:uid="{EE3D49BD-889C-475C-9F82-130C5FA7667B}"/>
    <cellStyle name="20% - Accent4 2 2 9" xfId="8897" xr:uid="{3A58A73C-0193-4EAC-8E12-5BF8743CE9BA}"/>
    <cellStyle name="20% - Accent4 2 2 9 2" xfId="18221" xr:uid="{10963757-A427-491E-888B-F5F7BA2D3AC3}"/>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61CEA104-2AF3-4266-AC6D-B77A9AD967EA}"/>
    <cellStyle name="20% - Accent4 2 3 2 2 3" xfId="12200" xr:uid="{07AF68B4-2B65-4DF0-8522-1F34CC8006C6}"/>
    <cellStyle name="20% - Accent4 2 3 2 3" xfId="4946" xr:uid="{00000000-0005-0000-0000-00000F020000}"/>
    <cellStyle name="20% - Accent4 2 3 2 3 2" xfId="14272" xr:uid="{F99249E3-6100-4C38-87AE-2FE3801C69B9}"/>
    <cellStyle name="20% - Accent4 2 3 2 4" xfId="9426" xr:uid="{5B247D51-FBFD-4799-8395-E3F1C04297B8}"/>
    <cellStyle name="20% - Accent4 2 3 2 4 2" xfId="18741" xr:uid="{333D4159-921E-455B-85E6-7B30186956C3}"/>
    <cellStyle name="20% - Accent4 2 3 2 5" xfId="10055" xr:uid="{06D2BD83-5B1B-4343-8B36-A087972AB31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DA70E5C0-AF70-4B6B-A3B5-0D60067E5BD2}"/>
    <cellStyle name="20% - Accent4 2 3 3 2 3" xfId="12613" xr:uid="{D14E4271-95BE-471E-B2E6-35E012248713}"/>
    <cellStyle name="20% - Accent4 2 3 3 3" xfId="5359" xr:uid="{00000000-0005-0000-0000-000013020000}"/>
    <cellStyle name="20% - Accent4 2 3 3 3 2" xfId="14685" xr:uid="{8E18722D-FAB8-4182-A283-C719F28B3FE5}"/>
    <cellStyle name="20% - Accent4 2 3 3 4" xfId="10468" xr:uid="{96661E39-9D89-45E3-AC2C-6239C2CDBDD0}"/>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659AF13B-2F14-422A-B592-8B85EDD98132}"/>
    <cellStyle name="20% - Accent4 2 3 4 2 3" xfId="13026" xr:uid="{5F6A9555-F87A-4AC4-8D94-8838D90D5A8D}"/>
    <cellStyle name="20% - Accent4 2 3 4 3" xfId="5772" xr:uid="{00000000-0005-0000-0000-000017020000}"/>
    <cellStyle name="20% - Accent4 2 3 4 3 2" xfId="15098" xr:uid="{E8C71235-923A-4449-B712-26A29F510F15}"/>
    <cellStyle name="20% - Accent4 2 3 4 4" xfId="10881" xr:uid="{B474A10B-0070-47DD-A8EB-DE27790AF7D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48540C46-8700-4391-BBF7-8BB31571E8AA}"/>
    <cellStyle name="20% - Accent4 2 3 5 2 3" xfId="13439" xr:uid="{9C6EF0C7-042E-45A8-8275-F0688C6FFDF6}"/>
    <cellStyle name="20% - Accent4 2 3 5 3" xfId="6185" xr:uid="{00000000-0005-0000-0000-00001B020000}"/>
    <cellStyle name="20% - Accent4 2 3 5 3 2" xfId="15511" xr:uid="{BE394E8A-28B5-4942-94AD-B63CB633ADE5}"/>
    <cellStyle name="20% - Accent4 2 3 5 4" xfId="11294" xr:uid="{D55DA417-0234-448D-8916-4294D8F15C58}"/>
    <cellStyle name="20% - Accent4 2 3 6" xfId="2292" xr:uid="{00000000-0005-0000-0000-00001C020000}"/>
    <cellStyle name="20% - Accent4 2 3 6 2" xfId="6598" xr:uid="{00000000-0005-0000-0000-00001D020000}"/>
    <cellStyle name="20% - Accent4 2 3 6 2 2" xfId="15924" xr:uid="{FC5B617F-5D16-44B4-914C-2B82AC1BD1A2}"/>
    <cellStyle name="20% - Accent4 2 3 6 3" xfId="11707" xr:uid="{0192CBA7-BADA-4FFA-98C8-3C7537E34A0F}"/>
    <cellStyle name="20% - Accent4 2 3 7" xfId="4532" xr:uid="{00000000-0005-0000-0000-00001E020000}"/>
    <cellStyle name="20% - Accent4 2 3 7 2" xfId="13858" xr:uid="{FB147D67-AB05-43C0-A84A-29163D6D7C00}"/>
    <cellStyle name="20% - Accent4 2 3 8" xfId="9001" xr:uid="{B9DE6BBA-06E2-4FC8-B645-F20E60244072}"/>
    <cellStyle name="20% - Accent4 2 3 8 2" xfId="18325" xr:uid="{68AACC42-B7AB-463F-A8F9-36B68D807500}"/>
    <cellStyle name="20% - Accent4 2 3 9" xfId="9641" xr:uid="{6D968938-682E-4702-8A97-BB4EC738089F}"/>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45CD7682-A3D8-4A98-B6E1-21FCE4E862A9}"/>
    <cellStyle name="20% - Accent4 2 4 2 3" xfId="12197" xr:uid="{AF230F38-D055-4644-B10D-E19413132964}"/>
    <cellStyle name="20% - Accent4 2 4 3" xfId="4943" xr:uid="{00000000-0005-0000-0000-000022020000}"/>
    <cellStyle name="20% - Accent4 2 4 3 2" xfId="14269" xr:uid="{BD29D19E-06C5-4798-AF54-A5CEF2BE5DDD}"/>
    <cellStyle name="20% - Accent4 2 4 4" xfId="9218" xr:uid="{EEA9CEE5-7B27-41EB-B571-13D0ADC44445}"/>
    <cellStyle name="20% - Accent4 2 4 4 2" xfId="18534" xr:uid="{36DCA733-B566-4F38-B41A-1B6234401B2E}"/>
    <cellStyle name="20% - Accent4 2 4 5" xfId="10052" xr:uid="{9EA06DE5-3E95-4ADA-8610-39E43117CE94}"/>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C55B6C87-BBC2-41E8-B3F5-CB75304CD524}"/>
    <cellStyle name="20% - Accent4 2 5 2 3" xfId="12610" xr:uid="{D3F46C01-52A7-438C-A69C-6AD3265C2D9B}"/>
    <cellStyle name="20% - Accent4 2 5 3" xfId="5356" xr:uid="{00000000-0005-0000-0000-000026020000}"/>
    <cellStyle name="20% - Accent4 2 5 3 2" xfId="14682" xr:uid="{2F2E9964-4534-44E1-811D-C7DB24EF6468}"/>
    <cellStyle name="20% - Accent4 2 5 4" xfId="10465" xr:uid="{AD413198-E82D-43C3-B524-72CC488A6A75}"/>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3FA7BBB5-D8BA-4097-974F-4058B4D2F8D5}"/>
    <cellStyle name="20% - Accent4 2 6 2 3" xfId="13023" xr:uid="{B1BA6E9A-D52F-4A63-A460-18F197759E52}"/>
    <cellStyle name="20% - Accent4 2 6 3" xfId="5769" xr:uid="{00000000-0005-0000-0000-00002A020000}"/>
    <cellStyle name="20% - Accent4 2 6 3 2" xfId="15095" xr:uid="{5DAB85E0-EF4E-4C00-8A82-C20BFE962F6C}"/>
    <cellStyle name="20% - Accent4 2 6 4" xfId="10878" xr:uid="{D18AAF87-94B0-4F33-905E-D3AC70BD5CB0}"/>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90C3F998-037E-4E2A-BED7-2870E826654A}"/>
    <cellStyle name="20% - Accent4 2 7 2 3" xfId="13436" xr:uid="{8076C718-B11B-40B7-90E1-3DB7A03691B9}"/>
    <cellStyle name="20% - Accent4 2 7 3" xfId="6182" xr:uid="{00000000-0005-0000-0000-00002E020000}"/>
    <cellStyle name="20% - Accent4 2 7 3 2" xfId="15508" xr:uid="{64874B58-3752-4FF6-B59C-0022943046AB}"/>
    <cellStyle name="20% - Accent4 2 7 4" xfId="11291" xr:uid="{5D9A7EEC-04AD-4170-99B9-525F4CA2BD8A}"/>
    <cellStyle name="20% - Accent4 2 8" xfId="2289" xr:uid="{00000000-0005-0000-0000-00002F020000}"/>
    <cellStyle name="20% - Accent4 2 8 2" xfId="6595" xr:uid="{00000000-0005-0000-0000-000030020000}"/>
    <cellStyle name="20% - Accent4 2 8 2 2" xfId="15921" xr:uid="{B42BF716-C06E-41EE-BE42-E0E5C71BA543}"/>
    <cellStyle name="20% - Accent4 2 8 3" xfId="11704" xr:uid="{8B09B285-8C09-456B-9D5F-3F465E2D06D4}"/>
    <cellStyle name="20% - Accent4 2 9" xfId="4529" xr:uid="{00000000-0005-0000-0000-000031020000}"/>
    <cellStyle name="20% - Accent4 2 9 2" xfId="13855" xr:uid="{35810314-4C63-41A5-AF36-59B7F5663605}"/>
    <cellStyle name="20% - Accent4 3" xfId="30" xr:uid="{00000000-0005-0000-0000-000032020000}"/>
    <cellStyle name="20% - Accent4 3 10" xfId="9642" xr:uid="{F5605B68-7CAC-457F-9B1E-E91BEAE4767C}"/>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425386B0-CB37-498B-B802-416FF6D28B2B}"/>
    <cellStyle name="20% - Accent4 3 2 2 2 3" xfId="12202" xr:uid="{5D78D59E-D308-4FF1-99B8-8AE36A059020}"/>
    <cellStyle name="20% - Accent4 3 2 2 3" xfId="4948" xr:uid="{00000000-0005-0000-0000-000037020000}"/>
    <cellStyle name="20% - Accent4 3 2 2 3 2" xfId="14274" xr:uid="{63A3E8C0-8BA5-48BB-95BF-81FDE2852E56}"/>
    <cellStyle name="20% - Accent4 3 2 2 4" xfId="9499" xr:uid="{019308F4-938B-408B-A627-483AF94276A0}"/>
    <cellStyle name="20% - Accent4 3 2 2 4 2" xfId="18814" xr:uid="{1FD137C2-9772-4A9D-BE99-9F7F48F001B4}"/>
    <cellStyle name="20% - Accent4 3 2 2 5" xfId="10057" xr:uid="{FE256064-2FD9-4528-A38C-13EB890DB21F}"/>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ABE5E490-0E33-4162-AE05-4133E59283D6}"/>
    <cellStyle name="20% - Accent4 3 2 3 2 3" xfId="12615" xr:uid="{B1AD2E44-2682-421A-924B-B6732EDF3602}"/>
    <cellStyle name="20% - Accent4 3 2 3 3" xfId="5361" xr:uid="{00000000-0005-0000-0000-00003B020000}"/>
    <cellStyle name="20% - Accent4 3 2 3 3 2" xfId="14687" xr:uid="{5E878B96-937E-49CB-8B19-62FB82DA6CAF}"/>
    <cellStyle name="20% - Accent4 3 2 3 4" xfId="10470" xr:uid="{E8DFA5F2-3959-4269-8855-FF7FE8D508C1}"/>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6E461A89-3BD0-4167-B16C-21474B3131A4}"/>
    <cellStyle name="20% - Accent4 3 2 4 2 3" xfId="13028" xr:uid="{7B064409-6EE9-476B-A422-37AD1E6D299A}"/>
    <cellStyle name="20% - Accent4 3 2 4 3" xfId="5774" xr:uid="{00000000-0005-0000-0000-00003F020000}"/>
    <cellStyle name="20% - Accent4 3 2 4 3 2" xfId="15100" xr:uid="{26668E5A-5322-4A6B-8418-4AE8F50DEE4C}"/>
    <cellStyle name="20% - Accent4 3 2 4 4" xfId="10883" xr:uid="{86E31910-BF34-4DEE-8966-02392B1DEDAB}"/>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F7B2479A-7289-475D-A3DD-7E4578A00891}"/>
    <cellStyle name="20% - Accent4 3 2 5 2 3" xfId="13441" xr:uid="{A491603A-835B-40CA-9233-547941629782}"/>
    <cellStyle name="20% - Accent4 3 2 5 3" xfId="6187" xr:uid="{00000000-0005-0000-0000-000043020000}"/>
    <cellStyle name="20% - Accent4 3 2 5 3 2" xfId="15513" xr:uid="{8AB0D659-7F4E-4C01-B9A7-B4DCA418AF04}"/>
    <cellStyle name="20% - Accent4 3 2 5 4" xfId="11296" xr:uid="{BE2AA5C8-C719-4BE9-80A9-450121C82FEC}"/>
    <cellStyle name="20% - Accent4 3 2 6" xfId="2294" xr:uid="{00000000-0005-0000-0000-000044020000}"/>
    <cellStyle name="20% - Accent4 3 2 6 2" xfId="6600" xr:uid="{00000000-0005-0000-0000-000045020000}"/>
    <cellStyle name="20% - Accent4 3 2 6 2 2" xfId="15926" xr:uid="{B700B0BE-7B67-4B0A-B0CD-D1F4A312B3AC}"/>
    <cellStyle name="20% - Accent4 3 2 6 3" xfId="11709" xr:uid="{0EBB2962-AD9B-4113-8B61-22B7B75082F6}"/>
    <cellStyle name="20% - Accent4 3 2 7" xfId="4534" xr:uid="{00000000-0005-0000-0000-000046020000}"/>
    <cellStyle name="20% - Accent4 3 2 7 2" xfId="13860" xr:uid="{EF4AC7F0-CE62-460C-A9F7-1B23CC059DFC}"/>
    <cellStyle name="20% - Accent4 3 2 8" xfId="9074" xr:uid="{BA25EAA8-2B5F-4309-91A3-FC61FCEF209C}"/>
    <cellStyle name="20% - Accent4 3 2 8 2" xfId="18398" xr:uid="{748BEE04-4A5A-4040-B9C1-125AAD19A126}"/>
    <cellStyle name="20% - Accent4 3 2 9" xfId="9643" xr:uid="{038D0A8C-F490-41B8-BDF6-34BAE5F98BED}"/>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A5849306-07A8-4FDA-82DB-41B6F3985D3A}"/>
    <cellStyle name="20% - Accent4 3 3 2 3" xfId="12201" xr:uid="{75909D8D-16AD-4186-AD97-DC044A116A32}"/>
    <cellStyle name="20% - Accent4 3 3 3" xfId="4947" xr:uid="{00000000-0005-0000-0000-00004A020000}"/>
    <cellStyle name="20% - Accent4 3 3 3 2" xfId="14273" xr:uid="{F6516CCF-8A97-4E95-B8D8-A620FF1AA8F5}"/>
    <cellStyle name="20% - Accent4 3 3 4" xfId="9292" xr:uid="{E33AB5E9-A8F9-45CB-AD95-0E461E901C30}"/>
    <cellStyle name="20% - Accent4 3 3 4 2" xfId="18607" xr:uid="{AF934DF1-9281-4C1A-825D-D1703B409A07}"/>
    <cellStyle name="20% - Accent4 3 3 5" xfId="10056" xr:uid="{31BDA0FB-8C9B-445E-B588-67A8846CE49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812947F6-176E-48C8-9461-448058263FF1}"/>
    <cellStyle name="20% - Accent4 3 4 2 3" xfId="12614" xr:uid="{CE0F372D-B76E-4E02-B015-80AAC43E6E53}"/>
    <cellStyle name="20% - Accent4 3 4 3" xfId="5360" xr:uid="{00000000-0005-0000-0000-00004E020000}"/>
    <cellStyle name="20% - Accent4 3 4 3 2" xfId="14686" xr:uid="{0D63BD61-7B52-4B95-8443-ACE070445B43}"/>
    <cellStyle name="20% - Accent4 3 4 4" xfId="10469" xr:uid="{71CAFE10-BE61-48C7-9901-8561A0C94682}"/>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FB0DA691-C9BD-4F5E-A17E-D771B70A33A6}"/>
    <cellStyle name="20% - Accent4 3 5 2 3" xfId="13027" xr:uid="{2BCE4F86-0E3E-430C-99E6-48B87663963B}"/>
    <cellStyle name="20% - Accent4 3 5 3" xfId="5773" xr:uid="{00000000-0005-0000-0000-000052020000}"/>
    <cellStyle name="20% - Accent4 3 5 3 2" xfId="15099" xr:uid="{7426C3DC-4FCA-4BC0-995A-6247FA549CA7}"/>
    <cellStyle name="20% - Accent4 3 5 4" xfId="10882" xr:uid="{3A488160-89B1-407B-B3E8-B7FDA1B79511}"/>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6F0097A6-9705-475C-B610-078B89727352}"/>
    <cellStyle name="20% - Accent4 3 6 2 3" xfId="13440" xr:uid="{103A89F6-1208-4360-AEBB-BE0CFFE10475}"/>
    <cellStyle name="20% - Accent4 3 6 3" xfId="6186" xr:uid="{00000000-0005-0000-0000-000056020000}"/>
    <cellStyle name="20% - Accent4 3 6 3 2" xfId="15512" xr:uid="{E626683A-A8AC-432D-8A60-11F95C8F4A4D}"/>
    <cellStyle name="20% - Accent4 3 6 4" xfId="11295" xr:uid="{F8926207-E95B-4D76-B1A4-D38294E118FA}"/>
    <cellStyle name="20% - Accent4 3 7" xfId="2293" xr:uid="{00000000-0005-0000-0000-000057020000}"/>
    <cellStyle name="20% - Accent4 3 7 2" xfId="6599" xr:uid="{00000000-0005-0000-0000-000058020000}"/>
    <cellStyle name="20% - Accent4 3 7 2 2" xfId="15925" xr:uid="{69FB650F-1338-4965-BD63-8773035B45D6}"/>
    <cellStyle name="20% - Accent4 3 7 3" xfId="11708" xr:uid="{8ED15E77-A2CA-4B3E-9525-289575665BFA}"/>
    <cellStyle name="20% - Accent4 3 8" xfId="4533" xr:uid="{00000000-0005-0000-0000-000059020000}"/>
    <cellStyle name="20% - Accent4 3 8 2" xfId="13859" xr:uid="{54105ACF-B445-4DFE-A6E3-886B05762F43}"/>
    <cellStyle name="20% - Accent4 3 9" xfId="8867" xr:uid="{27FB4CEF-7F56-4AEC-B5AC-6B6A1477FBD8}"/>
    <cellStyle name="20% - Accent4 3 9 2" xfId="18191" xr:uid="{C340B966-FCC1-4150-B54D-41ECF1A034BD}"/>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B847E81C-0C33-4D4D-A9C5-C0DEA9D93325}"/>
    <cellStyle name="20% - Accent4 4 2 2 3" xfId="12203" xr:uid="{7C515C50-1B82-4DDA-BFFA-3FE2FFAE9F97}"/>
    <cellStyle name="20% - Accent4 4 2 3" xfId="4949" xr:uid="{00000000-0005-0000-0000-00005E020000}"/>
    <cellStyle name="20% - Accent4 4 2 3 2" xfId="14275" xr:uid="{FF993C3B-63B6-4DFA-B590-20FA877144F2}"/>
    <cellStyle name="20% - Accent4 4 2 4" xfId="9378" xr:uid="{761B3D4A-2751-4646-8A50-05A0DD408525}"/>
    <cellStyle name="20% - Accent4 4 2 4 2" xfId="18693" xr:uid="{308B2CD8-F828-40F7-B502-811884EB1ADC}"/>
    <cellStyle name="20% - Accent4 4 2 5" xfId="10058" xr:uid="{7B039751-035C-48AC-8F6B-E12E4E46FF44}"/>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0A5201A6-4B52-48A9-A1CF-14AAC37C19D4}"/>
    <cellStyle name="20% - Accent4 4 3 2 3" xfId="12616" xr:uid="{BCAF09F7-8564-4DCF-BD64-425CFD2BB47E}"/>
    <cellStyle name="20% - Accent4 4 3 3" xfId="5362" xr:uid="{00000000-0005-0000-0000-000062020000}"/>
    <cellStyle name="20% - Accent4 4 3 3 2" xfId="14688" xr:uid="{FE6A0468-4B17-4B9E-82D1-170DBD30E414}"/>
    <cellStyle name="20% - Accent4 4 3 4" xfId="10471" xr:uid="{2CAFECA4-0CB5-4A6C-965C-4E316137A9F0}"/>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12B6F5B2-649C-4145-BE6B-BA2DCA1D4F75}"/>
    <cellStyle name="20% - Accent4 4 4 2 3" xfId="13029" xr:uid="{EA4774C3-8FFF-4E6B-9E45-E1DC0F470078}"/>
    <cellStyle name="20% - Accent4 4 4 3" xfId="5775" xr:uid="{00000000-0005-0000-0000-000066020000}"/>
    <cellStyle name="20% - Accent4 4 4 3 2" xfId="15101" xr:uid="{16942364-9CE5-49FF-9FEE-6FAF0955A68C}"/>
    <cellStyle name="20% - Accent4 4 4 4" xfId="10884" xr:uid="{848E9F00-FF1E-423E-BC95-CEA37976E8D4}"/>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9066796A-4B73-45B4-8236-2FAC961C6B10}"/>
    <cellStyle name="20% - Accent4 4 5 2 3" xfId="13442" xr:uid="{935F6CF7-CA36-45B5-8C57-6A5AE8077C77}"/>
    <cellStyle name="20% - Accent4 4 5 3" xfId="6188" xr:uid="{00000000-0005-0000-0000-00006A020000}"/>
    <cellStyle name="20% - Accent4 4 5 3 2" xfId="15514" xr:uid="{354AE6BF-CC29-4159-9BB4-6E68FCFB4884}"/>
    <cellStyle name="20% - Accent4 4 5 4" xfId="11297" xr:uid="{6E95F8B5-6558-4013-8618-8B35B3A73EB0}"/>
    <cellStyle name="20% - Accent4 4 6" xfId="2295" xr:uid="{00000000-0005-0000-0000-00006B020000}"/>
    <cellStyle name="20% - Accent4 4 6 2" xfId="6601" xr:uid="{00000000-0005-0000-0000-00006C020000}"/>
    <cellStyle name="20% - Accent4 4 6 2 2" xfId="15927" xr:uid="{461BF7C1-1114-43CF-8C61-7AE845A5BE44}"/>
    <cellStyle name="20% - Accent4 4 6 3" xfId="11710" xr:uid="{949718C1-38FE-4516-9707-128FAFAE57E3}"/>
    <cellStyle name="20% - Accent4 4 7" xfId="4535" xr:uid="{00000000-0005-0000-0000-00006D020000}"/>
    <cellStyle name="20% - Accent4 4 7 2" xfId="13861" xr:uid="{EC4C2EBF-A8D8-422C-B4F2-8982A2E2E4EA}"/>
    <cellStyle name="20% - Accent4 4 8" xfId="8953" xr:uid="{66D1590A-BB3A-4B79-BA94-169F97E79370}"/>
    <cellStyle name="20% - Accent4 4 8 2" xfId="18277" xr:uid="{0CD000CD-B410-46CA-9171-19843A291103}"/>
    <cellStyle name="20% - Accent4 4 9" xfId="9644" xr:uid="{3C115753-85AC-4EBE-91B2-89850854F70C}"/>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2EDE0C93-BE98-4027-8E9E-49410988D944}"/>
    <cellStyle name="20% - Accent4 5 2 3" xfId="12196" xr:uid="{4464B9E2-EA76-4A0A-A310-677FB66B2D88}"/>
    <cellStyle name="20% - Accent4 5 3" xfId="4942" xr:uid="{00000000-0005-0000-0000-000071020000}"/>
    <cellStyle name="20% - Accent4 5 3 2" xfId="14268" xr:uid="{6218BE7F-36FC-4301-B084-CBDA84BA1CC4}"/>
    <cellStyle name="20% - Accent4 5 4" xfId="9186" xr:uid="{E62ED282-F767-404B-ADA1-4F8E5B4D01EB}"/>
    <cellStyle name="20% - Accent4 5 4 2" xfId="18504" xr:uid="{4812F02C-C616-4E86-96F3-41C9BA2487DB}"/>
    <cellStyle name="20% - Accent4 5 5" xfId="10051" xr:uid="{F373632E-A7DD-4487-94A0-4D29240E6CA1}"/>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C678056D-5C45-487F-B554-C5B87772AA80}"/>
    <cellStyle name="20% - Accent4 6 2 3" xfId="12609" xr:uid="{98626094-64BF-43FA-A6A5-933E093D8DE9}"/>
    <cellStyle name="20% - Accent4 6 3" xfId="5355" xr:uid="{00000000-0005-0000-0000-000075020000}"/>
    <cellStyle name="20% - Accent4 6 3 2" xfId="14681" xr:uid="{171F6E7E-1B99-45B3-9F4C-B6CCB146480C}"/>
    <cellStyle name="20% - Accent4 6 4" xfId="10464" xr:uid="{C3170AD8-0A86-4858-B0C2-DA852D5D84EF}"/>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63F2E17C-7B97-4ECC-AAA4-21632390C8D1}"/>
    <cellStyle name="20% - Accent4 7 2 3" xfId="13022" xr:uid="{D60A32D5-8386-42A4-BC33-4AC474D89F05}"/>
    <cellStyle name="20% - Accent4 7 3" xfId="5768" xr:uid="{00000000-0005-0000-0000-000079020000}"/>
    <cellStyle name="20% - Accent4 7 3 2" xfId="15094" xr:uid="{F9DFFFB1-7FE7-4E6F-8377-6CF7ACB6A80F}"/>
    <cellStyle name="20% - Accent4 7 4" xfId="10877" xr:uid="{9288D308-5928-4E45-A6CB-594D1276C123}"/>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21F36084-069C-46DD-B77A-8200E8D5BE8F}"/>
    <cellStyle name="20% - Accent4 8 2 3" xfId="13435" xr:uid="{487923B2-68C8-4E2F-945C-10EE4EF52D98}"/>
    <cellStyle name="20% - Accent4 8 3" xfId="6181" xr:uid="{00000000-0005-0000-0000-00007D020000}"/>
    <cellStyle name="20% - Accent4 8 3 2" xfId="15507" xr:uid="{C42A6F8A-4B49-4B42-9057-D1F2AEAB8E99}"/>
    <cellStyle name="20% - Accent4 8 4" xfId="11290" xr:uid="{D39ED672-6007-4C1D-B0EA-B1E704241071}"/>
    <cellStyle name="20% - Accent4 9" xfId="2288" xr:uid="{00000000-0005-0000-0000-00007E020000}"/>
    <cellStyle name="20% - Accent4 9 2" xfId="6594" xr:uid="{00000000-0005-0000-0000-00007F020000}"/>
    <cellStyle name="20% - Accent4 9 2 2" xfId="15920" xr:uid="{FAF419C8-50C7-498F-A0FC-EEE4B2E1A406}"/>
    <cellStyle name="20% - Accent4 9 3" xfId="11703" xr:uid="{652CB0B9-C4EE-4F4D-AD63-F8E652336687}"/>
    <cellStyle name="20% - Accent5" xfId="33" builtinId="46" customBuiltin="1"/>
    <cellStyle name="20% - Accent5 10" xfId="4536" xr:uid="{00000000-0005-0000-0000-000081020000}"/>
    <cellStyle name="20% - Accent5 10 2" xfId="13862" xr:uid="{28DAAFF5-7527-47A0-911E-C42EF25BB1F6}"/>
    <cellStyle name="20% - Accent5 11" xfId="8766" xr:uid="{A87C980D-48BC-4AA3-98F7-53B2F02F228C}"/>
    <cellStyle name="20% - Accent5 11 2" xfId="18090" xr:uid="{2309EE43-4CE9-4889-B88A-F291B6E7EE3C}"/>
    <cellStyle name="20% - Accent5 12" xfId="9645" xr:uid="{8E4415E9-D594-488D-AD22-E09205DD5E51}"/>
    <cellStyle name="20% - Accent5 2" xfId="34" xr:uid="{00000000-0005-0000-0000-000082020000}"/>
    <cellStyle name="20% - Accent5 2 10" xfId="8796" xr:uid="{5BBF4372-A7B1-47A0-AC3D-4A60EDC1A5F8}"/>
    <cellStyle name="20% - Accent5 2 10 2" xfId="18120" xr:uid="{F430F95C-C6A7-4F2A-9194-7741620403F9}"/>
    <cellStyle name="20% - Accent5 2 11" xfId="9646" xr:uid="{D49DF56F-2B2F-4253-9A97-AE21E3FB7D99}"/>
    <cellStyle name="20% - Accent5 2 2" xfId="35" xr:uid="{00000000-0005-0000-0000-000083020000}"/>
    <cellStyle name="20% - Accent5 2 2 10" xfId="9647" xr:uid="{F99AF233-153A-45DB-B7BF-7819141FADBA}"/>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AA6240AC-29E6-4D80-83FA-226799932BD1}"/>
    <cellStyle name="20% - Accent5 2 2 2 2 2 3" xfId="12207" xr:uid="{38A9EF51-8718-41F8-B438-B657965A1500}"/>
    <cellStyle name="20% - Accent5 2 2 2 2 3" xfId="4953" xr:uid="{00000000-0005-0000-0000-000088020000}"/>
    <cellStyle name="20% - Accent5 2 2 2 2 3 2" xfId="14279" xr:uid="{0E7D6CC5-8E95-46C2-BD11-BBCB3B9412DE}"/>
    <cellStyle name="20% - Accent5 2 2 2 2 4" xfId="9531" xr:uid="{5DC5F027-F767-49FB-B9DE-2ACABCF8AC5A}"/>
    <cellStyle name="20% - Accent5 2 2 2 2 4 2" xfId="18846" xr:uid="{AFBD41BC-637A-4B5B-8A20-327561919A23}"/>
    <cellStyle name="20% - Accent5 2 2 2 2 5" xfId="10062" xr:uid="{559C9719-E879-42FE-9EAD-AFCDCF0CA8FC}"/>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5C7D5573-E3DE-40BB-B68C-3017323E6E84}"/>
    <cellStyle name="20% - Accent5 2 2 2 3 2 3" xfId="12620" xr:uid="{1CA4FCE5-4BE4-4885-9BF8-506D0D4547A7}"/>
    <cellStyle name="20% - Accent5 2 2 2 3 3" xfId="5366" xr:uid="{00000000-0005-0000-0000-00008C020000}"/>
    <cellStyle name="20% - Accent5 2 2 2 3 3 2" xfId="14692" xr:uid="{9D6BB79C-1371-4D7A-81F3-EDF4199F2173}"/>
    <cellStyle name="20% - Accent5 2 2 2 3 4" xfId="10475" xr:uid="{102F5376-C3E7-41F1-8FA3-7ADBE0CF64B6}"/>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62347EA9-94E0-471A-9BF3-F2E642802636}"/>
    <cellStyle name="20% - Accent5 2 2 2 4 2 3" xfId="13033" xr:uid="{0FA5D004-C1DC-49D5-A313-B53494481B0A}"/>
    <cellStyle name="20% - Accent5 2 2 2 4 3" xfId="5779" xr:uid="{00000000-0005-0000-0000-000090020000}"/>
    <cellStyle name="20% - Accent5 2 2 2 4 3 2" xfId="15105" xr:uid="{C3FF37E3-6406-42CC-96C2-CA49BA6F6D24}"/>
    <cellStyle name="20% - Accent5 2 2 2 4 4" xfId="10888" xr:uid="{492347A9-286C-4CA8-B0B6-CB15EFAF5403}"/>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8B991261-7857-4F5F-85B3-431039FEA350}"/>
    <cellStyle name="20% - Accent5 2 2 2 5 2 3" xfId="13446" xr:uid="{B96A8618-8016-4797-9B90-9CD5326AAC7D}"/>
    <cellStyle name="20% - Accent5 2 2 2 5 3" xfId="6192" xr:uid="{00000000-0005-0000-0000-000094020000}"/>
    <cellStyle name="20% - Accent5 2 2 2 5 3 2" xfId="15518" xr:uid="{EE3D4973-440C-4D88-BE77-D8F12A716CC8}"/>
    <cellStyle name="20% - Accent5 2 2 2 5 4" xfId="11301" xr:uid="{6AA3C11B-594C-4D35-B07C-724A4F25A3E6}"/>
    <cellStyle name="20% - Accent5 2 2 2 6" xfId="2299" xr:uid="{00000000-0005-0000-0000-000095020000}"/>
    <cellStyle name="20% - Accent5 2 2 2 6 2" xfId="6605" xr:uid="{00000000-0005-0000-0000-000096020000}"/>
    <cellStyle name="20% - Accent5 2 2 2 6 2 2" xfId="15931" xr:uid="{588B9D20-75D7-4EAE-BECB-5BAC18A84E52}"/>
    <cellStyle name="20% - Accent5 2 2 2 6 3" xfId="11714" xr:uid="{EE720FDE-608E-4EF6-A8CD-82D12542CEA7}"/>
    <cellStyle name="20% - Accent5 2 2 2 7" xfId="4539" xr:uid="{00000000-0005-0000-0000-000097020000}"/>
    <cellStyle name="20% - Accent5 2 2 2 7 2" xfId="13865" xr:uid="{33C2661A-0C4A-4B74-A1CA-C4E91972C50D}"/>
    <cellStyle name="20% - Accent5 2 2 2 8" xfId="9106" xr:uid="{E7B219CB-83A9-494A-83ED-783719A0F1D9}"/>
    <cellStyle name="20% - Accent5 2 2 2 8 2" xfId="18430" xr:uid="{98D29355-50A0-4363-AA11-A156DEAF2041}"/>
    <cellStyle name="20% - Accent5 2 2 2 9" xfId="9648" xr:uid="{F05B5340-4BDB-4FE1-8880-BA7D1D0F2225}"/>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001B78F0-DE14-4867-A260-61580A60DF00}"/>
    <cellStyle name="20% - Accent5 2 2 3 2 3" xfId="12206" xr:uid="{D4DA6357-24CC-4B3B-877C-D184DAE9B345}"/>
    <cellStyle name="20% - Accent5 2 2 3 3" xfId="4952" xr:uid="{00000000-0005-0000-0000-00009B020000}"/>
    <cellStyle name="20% - Accent5 2 2 3 3 2" xfId="14278" xr:uid="{99B85BE8-13BE-4E2B-81BA-0AF4378CE29F}"/>
    <cellStyle name="20% - Accent5 2 2 3 4" xfId="9324" xr:uid="{6094FEE1-8E2A-466F-9CDF-43EB9EE581FF}"/>
    <cellStyle name="20% - Accent5 2 2 3 4 2" xfId="18639" xr:uid="{AF5BEA3F-E769-4EC9-9D1F-94D277A9E5C3}"/>
    <cellStyle name="20% - Accent5 2 2 3 5" xfId="10061" xr:uid="{FD1BFEE3-988A-4B9E-93E0-D9711B62942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DE0C7C03-BBFE-4AFB-BEC8-B70D201AC619}"/>
    <cellStyle name="20% - Accent5 2 2 4 2 3" xfId="12619" xr:uid="{9C994525-D05E-4A74-8647-8320B6348025}"/>
    <cellStyle name="20% - Accent5 2 2 4 3" xfId="5365" xr:uid="{00000000-0005-0000-0000-00009F020000}"/>
    <cellStyle name="20% - Accent5 2 2 4 3 2" xfId="14691" xr:uid="{C3BDFF96-8006-4A6A-86CC-30355426776D}"/>
    <cellStyle name="20% - Accent5 2 2 4 4" xfId="10474" xr:uid="{9C0B1710-B3B1-44C4-89F6-306DA55FA9E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3C8F7643-5D1E-4E3C-AC1E-076CBB1E0E9C}"/>
    <cellStyle name="20% - Accent5 2 2 5 2 3" xfId="13032" xr:uid="{671B257C-4E22-4CFD-A590-9424AEA18210}"/>
    <cellStyle name="20% - Accent5 2 2 5 3" xfId="5778" xr:uid="{00000000-0005-0000-0000-0000A3020000}"/>
    <cellStyle name="20% - Accent5 2 2 5 3 2" xfId="15104" xr:uid="{9F238F96-ABD0-435E-8360-7402BFF8F083}"/>
    <cellStyle name="20% - Accent5 2 2 5 4" xfId="10887" xr:uid="{7D6413A2-B4B1-4BF1-BE5B-DAF1C69015A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1FD79EA6-ACC6-44BB-9F34-A7B413F35369}"/>
    <cellStyle name="20% - Accent5 2 2 6 2 3" xfId="13445" xr:uid="{E86B4D93-D93B-4DF2-B63E-C6D36736BA02}"/>
    <cellStyle name="20% - Accent5 2 2 6 3" xfId="6191" xr:uid="{00000000-0005-0000-0000-0000A7020000}"/>
    <cellStyle name="20% - Accent5 2 2 6 3 2" xfId="15517" xr:uid="{587197B3-C257-4DAE-8665-A83886053591}"/>
    <cellStyle name="20% - Accent5 2 2 6 4" xfId="11300" xr:uid="{EF2370BB-C94D-4B37-9A9B-B2B53EDF213E}"/>
    <cellStyle name="20% - Accent5 2 2 7" xfId="2298" xr:uid="{00000000-0005-0000-0000-0000A8020000}"/>
    <cellStyle name="20% - Accent5 2 2 7 2" xfId="6604" xr:uid="{00000000-0005-0000-0000-0000A9020000}"/>
    <cellStyle name="20% - Accent5 2 2 7 2 2" xfId="15930" xr:uid="{8228E3DE-0E4A-4AEB-965C-C2EDDF61F0DC}"/>
    <cellStyle name="20% - Accent5 2 2 7 3" xfId="11713" xr:uid="{E6CC7C33-06D2-4DCD-9772-599EC3AE6F02}"/>
    <cellStyle name="20% - Accent5 2 2 8" xfId="4538" xr:uid="{00000000-0005-0000-0000-0000AA020000}"/>
    <cellStyle name="20% - Accent5 2 2 8 2" xfId="13864" xr:uid="{5AB9A6A9-395B-49F8-855E-9AD90B3D77A8}"/>
    <cellStyle name="20% - Accent5 2 2 9" xfId="8899" xr:uid="{0E8F9EC8-D565-41C9-B716-FF597FFF35B9}"/>
    <cellStyle name="20% - Accent5 2 2 9 2" xfId="18223" xr:uid="{3B217320-1049-48D9-AAFE-579C149B2326}"/>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DBED2490-BB4E-481A-B77B-1218E318CFE9}"/>
    <cellStyle name="20% - Accent5 2 3 2 2 3" xfId="12208" xr:uid="{05406E06-C1A9-4BFF-B4B4-0B7A761152F0}"/>
    <cellStyle name="20% - Accent5 2 3 2 3" xfId="4954" xr:uid="{00000000-0005-0000-0000-0000AF020000}"/>
    <cellStyle name="20% - Accent5 2 3 2 3 2" xfId="14280" xr:uid="{64B0BD69-16F0-43E8-BD6E-CDC88FCE169A}"/>
    <cellStyle name="20% - Accent5 2 3 2 4" xfId="9428" xr:uid="{B7820ACF-E1F3-4653-B5DD-FD829B169E84}"/>
    <cellStyle name="20% - Accent5 2 3 2 4 2" xfId="18743" xr:uid="{829BEEFB-0C6E-4B56-9D0C-3B075A1AB4A5}"/>
    <cellStyle name="20% - Accent5 2 3 2 5" xfId="10063" xr:uid="{BE862FA1-70D6-4F74-B1EC-30AC76065A95}"/>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AC54F448-3A18-4CC3-87F1-3D8898BA2C69}"/>
    <cellStyle name="20% - Accent5 2 3 3 2 3" xfId="12621" xr:uid="{FB966553-9B40-451A-A680-A1CFB9AF8081}"/>
    <cellStyle name="20% - Accent5 2 3 3 3" xfId="5367" xr:uid="{00000000-0005-0000-0000-0000B3020000}"/>
    <cellStyle name="20% - Accent5 2 3 3 3 2" xfId="14693" xr:uid="{637F6E46-903A-4806-8615-138230362D69}"/>
    <cellStyle name="20% - Accent5 2 3 3 4" xfId="10476" xr:uid="{EF525B2A-75DE-4C97-B8A7-9786BF6257BC}"/>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936169D3-CAC0-4A66-AB88-4139C4E8ADCB}"/>
    <cellStyle name="20% - Accent5 2 3 4 2 3" xfId="13034" xr:uid="{3179677D-C911-4DE9-B3CD-7C8652EF27C8}"/>
    <cellStyle name="20% - Accent5 2 3 4 3" xfId="5780" xr:uid="{00000000-0005-0000-0000-0000B7020000}"/>
    <cellStyle name="20% - Accent5 2 3 4 3 2" xfId="15106" xr:uid="{93407C0A-89B6-4633-9C32-17F3AD438651}"/>
    <cellStyle name="20% - Accent5 2 3 4 4" xfId="10889" xr:uid="{45BA7EA5-9C20-4C5A-84C2-B1CB06425D73}"/>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3C4E626C-BE34-4AC0-B286-A24E3C0B5112}"/>
    <cellStyle name="20% - Accent5 2 3 5 2 3" xfId="13447" xr:uid="{614E2AE9-B085-4B1C-A7CB-2695762BCE59}"/>
    <cellStyle name="20% - Accent5 2 3 5 3" xfId="6193" xr:uid="{00000000-0005-0000-0000-0000BB020000}"/>
    <cellStyle name="20% - Accent5 2 3 5 3 2" xfId="15519" xr:uid="{852CDE1B-FD0C-42E3-BAA0-1B1CC2F14D4C}"/>
    <cellStyle name="20% - Accent5 2 3 5 4" xfId="11302" xr:uid="{0BE72DD7-1020-417E-A135-02CAC60E9D52}"/>
    <cellStyle name="20% - Accent5 2 3 6" xfId="2300" xr:uid="{00000000-0005-0000-0000-0000BC020000}"/>
    <cellStyle name="20% - Accent5 2 3 6 2" xfId="6606" xr:uid="{00000000-0005-0000-0000-0000BD020000}"/>
    <cellStyle name="20% - Accent5 2 3 6 2 2" xfId="15932" xr:uid="{A4484D09-DB75-4429-B65A-D750D9BD015C}"/>
    <cellStyle name="20% - Accent5 2 3 6 3" xfId="11715" xr:uid="{5E3D26BC-C527-4965-B6FF-0D57FB4DC0E9}"/>
    <cellStyle name="20% - Accent5 2 3 7" xfId="4540" xr:uid="{00000000-0005-0000-0000-0000BE020000}"/>
    <cellStyle name="20% - Accent5 2 3 7 2" xfId="13866" xr:uid="{C19B7696-CBF2-4CD2-A920-0B7E3A5138AB}"/>
    <cellStyle name="20% - Accent5 2 3 8" xfId="9003" xr:uid="{9830E7D1-E361-4BA3-A986-3DCE647EEF8E}"/>
    <cellStyle name="20% - Accent5 2 3 8 2" xfId="18327" xr:uid="{C19D74FA-6091-4AC1-BE5F-F78CC42D129F}"/>
    <cellStyle name="20% - Accent5 2 3 9" xfId="9649" xr:uid="{5BEB3804-6A57-47B8-B5D7-29DD5812BBFE}"/>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E7D84333-BDEB-4DBC-9214-50E8E70B0D60}"/>
    <cellStyle name="20% - Accent5 2 4 2 3" xfId="12205" xr:uid="{7F9B4B4D-0228-41BD-AE3A-EF83AE416715}"/>
    <cellStyle name="20% - Accent5 2 4 3" xfId="4951" xr:uid="{00000000-0005-0000-0000-0000C2020000}"/>
    <cellStyle name="20% - Accent5 2 4 3 2" xfId="14277" xr:uid="{E3112161-A89C-4AD2-AEAD-F6E255930ADD}"/>
    <cellStyle name="20% - Accent5 2 4 4" xfId="9220" xr:uid="{A7B88928-FE72-4C1B-B74E-3CA76DBA84CC}"/>
    <cellStyle name="20% - Accent5 2 4 4 2" xfId="18536" xr:uid="{BC37B5E4-CF81-41C0-BAE3-AF3A47A96ACA}"/>
    <cellStyle name="20% - Accent5 2 4 5" xfId="10060" xr:uid="{E787947D-15C9-420B-889C-D32BE42D3A95}"/>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A0C2A93D-2C59-401D-B05D-D94944F9AB8E}"/>
    <cellStyle name="20% - Accent5 2 5 2 3" xfId="12618" xr:uid="{5D60A6E1-A57B-4EB6-A645-954508166959}"/>
    <cellStyle name="20% - Accent5 2 5 3" xfId="5364" xr:uid="{00000000-0005-0000-0000-0000C6020000}"/>
    <cellStyle name="20% - Accent5 2 5 3 2" xfId="14690" xr:uid="{DC838390-5384-47A1-ABB1-D20C2392E922}"/>
    <cellStyle name="20% - Accent5 2 5 4" xfId="10473" xr:uid="{0DE3C789-A0A8-4F74-8C7A-FF2CE81265D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719AAE0C-E938-4098-8903-0DB537EC6404}"/>
    <cellStyle name="20% - Accent5 2 6 2 3" xfId="13031" xr:uid="{C79B6F58-1EE2-4C42-8619-E4A414768A15}"/>
    <cellStyle name="20% - Accent5 2 6 3" xfId="5777" xr:uid="{00000000-0005-0000-0000-0000CA020000}"/>
    <cellStyle name="20% - Accent5 2 6 3 2" xfId="15103" xr:uid="{6E8381AF-2A97-4694-8D29-544CD647583C}"/>
    <cellStyle name="20% - Accent5 2 6 4" xfId="10886" xr:uid="{9588B226-2C58-4376-A846-3CE865A0E73D}"/>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86EA3AB9-F7DA-4666-883D-2BA5E00734C7}"/>
    <cellStyle name="20% - Accent5 2 7 2 3" xfId="13444" xr:uid="{5B3A1710-9218-48E4-AAF3-876CA33A66C7}"/>
    <cellStyle name="20% - Accent5 2 7 3" xfId="6190" xr:uid="{00000000-0005-0000-0000-0000CE020000}"/>
    <cellStyle name="20% - Accent5 2 7 3 2" xfId="15516" xr:uid="{E048DED2-4188-499E-B89E-AA22613A58B3}"/>
    <cellStyle name="20% - Accent5 2 7 4" xfId="11299" xr:uid="{B329B976-1744-4305-B79D-5C204C41C3AE}"/>
    <cellStyle name="20% - Accent5 2 8" xfId="2297" xr:uid="{00000000-0005-0000-0000-0000CF020000}"/>
    <cellStyle name="20% - Accent5 2 8 2" xfId="6603" xr:uid="{00000000-0005-0000-0000-0000D0020000}"/>
    <cellStyle name="20% - Accent5 2 8 2 2" xfId="15929" xr:uid="{0B20463A-D650-45F6-A6BA-634B98519100}"/>
    <cellStyle name="20% - Accent5 2 8 3" xfId="11712" xr:uid="{845CC36C-816E-4553-8327-74964841D509}"/>
    <cellStyle name="20% - Accent5 2 9" xfId="4537" xr:uid="{00000000-0005-0000-0000-0000D1020000}"/>
    <cellStyle name="20% - Accent5 2 9 2" xfId="13863" xr:uid="{55A2A720-D342-48DB-B727-2654B6D101E1}"/>
    <cellStyle name="20% - Accent5 3" xfId="38" xr:uid="{00000000-0005-0000-0000-0000D2020000}"/>
    <cellStyle name="20% - Accent5 3 10" xfId="9650" xr:uid="{963A4F59-D0D8-4FA9-B020-BB84741B0E55}"/>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14D4D058-0E27-4A17-B5D5-5FC547198876}"/>
    <cellStyle name="20% - Accent5 3 2 2 2 3" xfId="12210" xr:uid="{CA742A7F-B09F-4636-9966-92AF189122BD}"/>
    <cellStyle name="20% - Accent5 3 2 2 3" xfId="4956" xr:uid="{00000000-0005-0000-0000-0000D7020000}"/>
    <cellStyle name="20% - Accent5 3 2 2 3 2" xfId="14282" xr:uid="{B32932DA-70AE-486C-B161-CFB2241904C2}"/>
    <cellStyle name="20% - Accent5 3 2 2 4" xfId="9501" xr:uid="{82A590A5-96D4-476E-8E6F-D81EEE08C409}"/>
    <cellStyle name="20% - Accent5 3 2 2 4 2" xfId="18816" xr:uid="{C63F5FB1-B3EA-46B6-8070-4113C471EE07}"/>
    <cellStyle name="20% - Accent5 3 2 2 5" xfId="10065" xr:uid="{5372AAF5-5686-43C4-80DE-43A9AF47113E}"/>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D37365BE-824E-4AA8-9E6C-D3CB46E2ACA4}"/>
    <cellStyle name="20% - Accent5 3 2 3 2 3" xfId="12623" xr:uid="{C8FA012E-B49D-453F-B2A9-70868190F3F5}"/>
    <cellStyle name="20% - Accent5 3 2 3 3" xfId="5369" xr:uid="{00000000-0005-0000-0000-0000DB020000}"/>
    <cellStyle name="20% - Accent5 3 2 3 3 2" xfId="14695" xr:uid="{7F51A863-142A-40DA-8199-75ADCEBE7AB1}"/>
    <cellStyle name="20% - Accent5 3 2 3 4" xfId="10478" xr:uid="{33D3D202-73A0-473A-A0CA-B0826C663BAA}"/>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FD921CEF-149A-4D8C-890F-20BA9D8CB1C4}"/>
    <cellStyle name="20% - Accent5 3 2 4 2 3" xfId="13036" xr:uid="{1BC4E0ED-343F-451E-9FA1-FE9EFF246E80}"/>
    <cellStyle name="20% - Accent5 3 2 4 3" xfId="5782" xr:uid="{00000000-0005-0000-0000-0000DF020000}"/>
    <cellStyle name="20% - Accent5 3 2 4 3 2" xfId="15108" xr:uid="{AF5729E9-A423-4120-A150-2F61D97BBBA1}"/>
    <cellStyle name="20% - Accent5 3 2 4 4" xfId="10891" xr:uid="{F6688843-C63B-431B-82F0-7FC74206C6D7}"/>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94C65EBA-7551-4BAB-8595-266EE17415EF}"/>
    <cellStyle name="20% - Accent5 3 2 5 2 3" xfId="13449" xr:uid="{5F8574B8-473D-4A40-9AEF-637DAFF16DDC}"/>
    <cellStyle name="20% - Accent5 3 2 5 3" xfId="6195" xr:uid="{00000000-0005-0000-0000-0000E3020000}"/>
    <cellStyle name="20% - Accent5 3 2 5 3 2" xfId="15521" xr:uid="{9DD09D56-4F1F-4BF3-AB98-6B0D3F0ABD40}"/>
    <cellStyle name="20% - Accent5 3 2 5 4" xfId="11304" xr:uid="{DEAFE76C-C8B0-4A60-8459-C8A49C6A2D7E}"/>
    <cellStyle name="20% - Accent5 3 2 6" xfId="2302" xr:uid="{00000000-0005-0000-0000-0000E4020000}"/>
    <cellStyle name="20% - Accent5 3 2 6 2" xfId="6608" xr:uid="{00000000-0005-0000-0000-0000E5020000}"/>
    <cellStyle name="20% - Accent5 3 2 6 2 2" xfId="15934" xr:uid="{A3B37274-FF00-41AD-9AC1-9A85A725312D}"/>
    <cellStyle name="20% - Accent5 3 2 6 3" xfId="11717" xr:uid="{6FF169FA-44DF-40EA-BED6-F6E55AEFBB2C}"/>
    <cellStyle name="20% - Accent5 3 2 7" xfId="4542" xr:uid="{00000000-0005-0000-0000-0000E6020000}"/>
    <cellStyle name="20% - Accent5 3 2 7 2" xfId="13868" xr:uid="{671A114D-5EDE-4A56-9541-ACCDC24D8D09}"/>
    <cellStyle name="20% - Accent5 3 2 8" xfId="9076" xr:uid="{BEDF1D01-35A3-4513-9363-9C1AFC748168}"/>
    <cellStyle name="20% - Accent5 3 2 8 2" xfId="18400" xr:uid="{A11814AB-BA73-4422-9F3A-73DB8F1003DB}"/>
    <cellStyle name="20% - Accent5 3 2 9" xfId="9651" xr:uid="{75FE5E6E-CE34-4241-A075-C7BB797784DC}"/>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85CA5BF9-D87F-465C-8264-B0E4CA999628}"/>
    <cellStyle name="20% - Accent5 3 3 2 3" xfId="12209" xr:uid="{F77D0FD4-9055-41A4-A251-0430BC3FA98D}"/>
    <cellStyle name="20% - Accent5 3 3 3" xfId="4955" xr:uid="{00000000-0005-0000-0000-0000EA020000}"/>
    <cellStyle name="20% - Accent5 3 3 3 2" xfId="14281" xr:uid="{0F6A0088-44D0-4D40-B5C4-62B462963BA8}"/>
    <cellStyle name="20% - Accent5 3 3 4" xfId="9294" xr:uid="{124960EA-C7A4-4686-BF67-47D6C57F7EEB}"/>
    <cellStyle name="20% - Accent5 3 3 4 2" xfId="18609" xr:uid="{1FF5FE45-78E3-43FC-8D27-A9DCCD544135}"/>
    <cellStyle name="20% - Accent5 3 3 5" xfId="10064" xr:uid="{6A310A7E-122E-4B40-8C55-EC1B826D02D9}"/>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D4ACB00C-7B6A-4874-AA0B-A3D1144FD7DE}"/>
    <cellStyle name="20% - Accent5 3 4 2 3" xfId="12622" xr:uid="{A78E1F54-2451-4D27-B3B5-40FF03F6B48E}"/>
    <cellStyle name="20% - Accent5 3 4 3" xfId="5368" xr:uid="{00000000-0005-0000-0000-0000EE020000}"/>
    <cellStyle name="20% - Accent5 3 4 3 2" xfId="14694" xr:uid="{27E9D222-F41D-475E-88E8-609E322F82B7}"/>
    <cellStyle name="20% - Accent5 3 4 4" xfId="10477" xr:uid="{F0B8EE80-F300-4D7A-8D12-DA4A89EBDBE8}"/>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C8FA4A39-99A9-44B4-BBE2-9E5330101A60}"/>
    <cellStyle name="20% - Accent5 3 5 2 3" xfId="13035" xr:uid="{2A753334-4031-42B2-9FB7-AEFD2241C2F4}"/>
    <cellStyle name="20% - Accent5 3 5 3" xfId="5781" xr:uid="{00000000-0005-0000-0000-0000F2020000}"/>
    <cellStyle name="20% - Accent5 3 5 3 2" xfId="15107" xr:uid="{A7617D69-DE4A-45B6-B168-211F5B7A2709}"/>
    <cellStyle name="20% - Accent5 3 5 4" xfId="10890" xr:uid="{BBB4C939-06B6-48BF-80DC-14AAA200246D}"/>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1BBDD67F-2890-4031-A93D-9BA400FBA47E}"/>
    <cellStyle name="20% - Accent5 3 6 2 3" xfId="13448" xr:uid="{9E37D3E9-C8DB-4689-A1D9-E49A9F25A5B8}"/>
    <cellStyle name="20% - Accent5 3 6 3" xfId="6194" xr:uid="{00000000-0005-0000-0000-0000F6020000}"/>
    <cellStyle name="20% - Accent5 3 6 3 2" xfId="15520" xr:uid="{B11121E6-6520-4465-B620-32744665C814}"/>
    <cellStyle name="20% - Accent5 3 6 4" xfId="11303" xr:uid="{24BF6785-4F59-4510-A165-F7CF6F9C92AA}"/>
    <cellStyle name="20% - Accent5 3 7" xfId="2301" xr:uid="{00000000-0005-0000-0000-0000F7020000}"/>
    <cellStyle name="20% - Accent5 3 7 2" xfId="6607" xr:uid="{00000000-0005-0000-0000-0000F8020000}"/>
    <cellStyle name="20% - Accent5 3 7 2 2" xfId="15933" xr:uid="{6F7993C3-F138-462E-8F14-7784BA518C1C}"/>
    <cellStyle name="20% - Accent5 3 7 3" xfId="11716" xr:uid="{DFDFFF19-CC38-4A99-87E9-9B78F2C5F8CC}"/>
    <cellStyle name="20% - Accent5 3 8" xfId="4541" xr:uid="{00000000-0005-0000-0000-0000F9020000}"/>
    <cellStyle name="20% - Accent5 3 8 2" xfId="13867" xr:uid="{96D3B21B-D93D-4FA3-BB6D-2613171F3486}"/>
    <cellStyle name="20% - Accent5 3 9" xfId="8869" xr:uid="{43CC8A87-AEEB-4E51-98E7-F8AE8D86AD2B}"/>
    <cellStyle name="20% - Accent5 3 9 2" xfId="18193" xr:uid="{DDAE3AD8-46B3-4B80-AED7-00DDFE761DA1}"/>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1B780A9F-B071-43EB-9C83-2A2EFFF1484A}"/>
    <cellStyle name="20% - Accent5 4 2 2 3" xfId="12211" xr:uid="{AE3AE025-BFE4-4BCB-ADDD-5E03AB1D68F5}"/>
    <cellStyle name="20% - Accent5 4 2 3" xfId="4957" xr:uid="{00000000-0005-0000-0000-0000FE020000}"/>
    <cellStyle name="20% - Accent5 4 2 3 2" xfId="14283" xr:uid="{2E327C09-9255-4AF3-A719-9FA8FE80D409}"/>
    <cellStyle name="20% - Accent5 4 2 4" xfId="9380" xr:uid="{1C764D65-D71C-4646-AD86-15F83BDBF498}"/>
    <cellStyle name="20% - Accent5 4 2 4 2" xfId="18695" xr:uid="{62029ABA-AA90-4A61-BD6D-31E57E54CE14}"/>
    <cellStyle name="20% - Accent5 4 2 5" xfId="10066" xr:uid="{2A771FE9-1EE2-45A8-81EF-528BD5AF2A96}"/>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646EA336-B6A9-491C-B5C8-30F9E342CAF0}"/>
    <cellStyle name="20% - Accent5 4 3 2 3" xfId="12624" xr:uid="{1FE27E09-4053-4379-8AD6-DACD0EDA784A}"/>
    <cellStyle name="20% - Accent5 4 3 3" xfId="5370" xr:uid="{00000000-0005-0000-0000-000002030000}"/>
    <cellStyle name="20% - Accent5 4 3 3 2" xfId="14696" xr:uid="{227ACFCF-DBEC-43E3-BF68-2AD12C6DB10B}"/>
    <cellStyle name="20% - Accent5 4 3 4" xfId="10479" xr:uid="{26622AC2-88C7-43B5-92FA-4B0309724ED8}"/>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DC844DCC-A04E-4BF8-AB41-4F31AB50C8CC}"/>
    <cellStyle name="20% - Accent5 4 4 2 3" xfId="13037" xr:uid="{59FE35AA-AEDA-436E-8718-93E48468710D}"/>
    <cellStyle name="20% - Accent5 4 4 3" xfId="5783" xr:uid="{00000000-0005-0000-0000-000006030000}"/>
    <cellStyle name="20% - Accent5 4 4 3 2" xfId="15109" xr:uid="{53D318C1-8ECF-4DEA-BD77-3276B15B6F46}"/>
    <cellStyle name="20% - Accent5 4 4 4" xfId="10892" xr:uid="{65B50391-8A6F-4C50-9569-96B06887B897}"/>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C3BF95F6-3080-4CF9-BB8E-E8AD6D20A9F7}"/>
    <cellStyle name="20% - Accent5 4 5 2 3" xfId="13450" xr:uid="{5B9B3E05-3B3A-4DF2-BAC4-508A169F1ADA}"/>
    <cellStyle name="20% - Accent5 4 5 3" xfId="6196" xr:uid="{00000000-0005-0000-0000-00000A030000}"/>
    <cellStyle name="20% - Accent5 4 5 3 2" xfId="15522" xr:uid="{9A3469F5-C297-47EE-8E43-1E0AE84E490E}"/>
    <cellStyle name="20% - Accent5 4 5 4" xfId="11305" xr:uid="{83DFB710-0E2F-4D29-BC47-2A42FBDFE4FD}"/>
    <cellStyle name="20% - Accent5 4 6" xfId="2303" xr:uid="{00000000-0005-0000-0000-00000B030000}"/>
    <cellStyle name="20% - Accent5 4 6 2" xfId="6609" xr:uid="{00000000-0005-0000-0000-00000C030000}"/>
    <cellStyle name="20% - Accent5 4 6 2 2" xfId="15935" xr:uid="{EE0946DB-47C8-4B77-B87D-5BAAA87C14BE}"/>
    <cellStyle name="20% - Accent5 4 6 3" xfId="11718" xr:uid="{075B1BF8-E698-4CA6-95D2-10DBA4344C35}"/>
    <cellStyle name="20% - Accent5 4 7" xfId="4543" xr:uid="{00000000-0005-0000-0000-00000D030000}"/>
    <cellStyle name="20% - Accent5 4 7 2" xfId="13869" xr:uid="{1E0A62AB-0AEA-4172-804F-69A93C33D04B}"/>
    <cellStyle name="20% - Accent5 4 8" xfId="8955" xr:uid="{8AD43D76-8747-44EC-8D3B-2720ADF9D1B1}"/>
    <cellStyle name="20% - Accent5 4 8 2" xfId="18279" xr:uid="{E325920D-A5A6-4656-8C3A-95CFF9602203}"/>
    <cellStyle name="20% - Accent5 4 9" xfId="9652" xr:uid="{AD368704-5CEB-4DFF-9EC6-1553C54049FC}"/>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9A7C2ACD-9CA9-46F7-B140-1D17EA05C07B}"/>
    <cellStyle name="20% - Accent5 5 2 3" xfId="12204" xr:uid="{F24B918F-1DB9-4D0E-9376-882B7EC81B0F}"/>
    <cellStyle name="20% - Accent5 5 3" xfId="4950" xr:uid="{00000000-0005-0000-0000-000011030000}"/>
    <cellStyle name="20% - Accent5 5 3 2" xfId="14276" xr:uid="{98301769-7D1D-4216-AE35-9BEA379B6D2C}"/>
    <cellStyle name="20% - Accent5 5 4" xfId="9188" xr:uid="{164CF7CE-7706-426C-90AA-4867A06E28BD}"/>
    <cellStyle name="20% - Accent5 5 4 2" xfId="18506" xr:uid="{AD0D6E2F-030F-4107-8A2B-EC0F1B972A07}"/>
    <cellStyle name="20% - Accent5 5 5" xfId="10059" xr:uid="{FEC500A3-E119-4483-B8EA-113DFFF6EA5B}"/>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67E62680-FDC7-409A-9D86-03D7F5262E59}"/>
    <cellStyle name="20% - Accent5 6 2 3" xfId="12617" xr:uid="{B840E48F-2375-407B-BB56-B7BF9B0BF9D6}"/>
    <cellStyle name="20% - Accent5 6 3" xfId="5363" xr:uid="{00000000-0005-0000-0000-000015030000}"/>
    <cellStyle name="20% - Accent5 6 3 2" xfId="14689" xr:uid="{8AB565CA-75A1-4211-BAB9-46ED3B3CFC40}"/>
    <cellStyle name="20% - Accent5 6 4" xfId="10472" xr:uid="{C91A87CB-278B-4E21-ACC7-BE6839B3D264}"/>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5E4961B2-AED9-46C8-8116-CF22113DAFF3}"/>
    <cellStyle name="20% - Accent5 7 2 3" xfId="13030" xr:uid="{A0CDD818-CDA2-4E42-ACAE-C40879EA4ADE}"/>
    <cellStyle name="20% - Accent5 7 3" xfId="5776" xr:uid="{00000000-0005-0000-0000-000019030000}"/>
    <cellStyle name="20% - Accent5 7 3 2" xfId="15102" xr:uid="{D73236FD-7DEE-4390-AB58-594D027EB0CA}"/>
    <cellStyle name="20% - Accent5 7 4" xfId="10885" xr:uid="{D4FFCEF1-49F2-4DA2-9279-2DCBCAE0E610}"/>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26ED8C61-DD9E-46D0-BA68-A581E518551E}"/>
    <cellStyle name="20% - Accent5 8 2 3" xfId="13443" xr:uid="{98B6C410-3E73-4B50-8F9D-31478B0A04B9}"/>
    <cellStyle name="20% - Accent5 8 3" xfId="6189" xr:uid="{00000000-0005-0000-0000-00001D030000}"/>
    <cellStyle name="20% - Accent5 8 3 2" xfId="15515" xr:uid="{F5E29FC2-693B-4EDA-A29B-5FC8011A022A}"/>
    <cellStyle name="20% - Accent5 8 4" xfId="11298" xr:uid="{AA6D5B4C-B5E9-4916-9893-C039EE7406A4}"/>
    <cellStyle name="20% - Accent5 9" xfId="2296" xr:uid="{00000000-0005-0000-0000-00001E030000}"/>
    <cellStyle name="20% - Accent5 9 2" xfId="6602" xr:uid="{00000000-0005-0000-0000-00001F030000}"/>
    <cellStyle name="20% - Accent5 9 2 2" xfId="15928" xr:uid="{486B8D7E-77C0-4D97-8178-A99D409F75BB}"/>
    <cellStyle name="20% - Accent5 9 3" xfId="11711" xr:uid="{E95A07CA-E274-4910-81FB-F2AF48CE7533}"/>
    <cellStyle name="20% - Accent6" xfId="41" builtinId="50" customBuiltin="1"/>
    <cellStyle name="20% - Accent6 10" xfId="4544" xr:uid="{00000000-0005-0000-0000-000021030000}"/>
    <cellStyle name="20% - Accent6 10 2" xfId="13870" xr:uid="{01D3AA2B-9922-43D9-ABCA-EA970B7512B7}"/>
    <cellStyle name="20% - Accent6 11" xfId="8768" xr:uid="{5A1F1293-A19F-445F-908A-D9DBB6265CA0}"/>
    <cellStyle name="20% - Accent6 11 2" xfId="18092" xr:uid="{517074F7-FEBC-4523-938A-03F8538AC94D}"/>
    <cellStyle name="20% - Accent6 12" xfId="9653" xr:uid="{A0D8B4ED-A88F-4061-BD46-13BBF8306B37}"/>
    <cellStyle name="20% - Accent6 2" xfId="42" xr:uid="{00000000-0005-0000-0000-000022030000}"/>
    <cellStyle name="20% - Accent6 2 10" xfId="8795" xr:uid="{9A35B19E-8802-437A-ABDC-7B06A4E07F58}"/>
    <cellStyle name="20% - Accent6 2 10 2" xfId="18119" xr:uid="{AEF9ADD2-E99D-409F-B623-FC1449B4F8DA}"/>
    <cellStyle name="20% - Accent6 2 11" xfId="9654" xr:uid="{4E1D5261-CAB9-4BC8-B0A6-A0FE7E9C773D}"/>
    <cellStyle name="20% - Accent6 2 2" xfId="43" xr:uid="{00000000-0005-0000-0000-000023030000}"/>
    <cellStyle name="20% - Accent6 2 2 10" xfId="9655" xr:uid="{90EDB546-6D89-4DD9-8EE8-3D0AE8FA87B9}"/>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03851598-C7C2-4B19-9E20-A9755247E006}"/>
    <cellStyle name="20% - Accent6 2 2 2 2 2 3" xfId="12215" xr:uid="{D8129774-DE65-431A-9264-DA2EF484B66D}"/>
    <cellStyle name="20% - Accent6 2 2 2 2 3" xfId="4961" xr:uid="{00000000-0005-0000-0000-000028030000}"/>
    <cellStyle name="20% - Accent6 2 2 2 2 3 2" xfId="14287" xr:uid="{842469A3-0279-4BA8-8E41-C85BB20FD04F}"/>
    <cellStyle name="20% - Accent6 2 2 2 2 4" xfId="9530" xr:uid="{AFD3EE0E-70EF-4C1B-B994-7B8E7E8187BC}"/>
    <cellStyle name="20% - Accent6 2 2 2 2 4 2" xfId="18845" xr:uid="{C10FF95B-B914-48BB-84F9-B05139F6C223}"/>
    <cellStyle name="20% - Accent6 2 2 2 2 5" xfId="10070" xr:uid="{D8351DAB-4834-4C41-996E-93AFD76ECF5D}"/>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1A2349F2-A909-4CD2-B51D-E9091791C1F7}"/>
    <cellStyle name="20% - Accent6 2 2 2 3 2 3" xfId="12628" xr:uid="{9246FBFE-48ED-4EFA-A158-A8632E5FCFC4}"/>
    <cellStyle name="20% - Accent6 2 2 2 3 3" xfId="5374" xr:uid="{00000000-0005-0000-0000-00002C030000}"/>
    <cellStyle name="20% - Accent6 2 2 2 3 3 2" xfId="14700" xr:uid="{2AFAFBD3-9748-4D8E-97EB-60D101B944FC}"/>
    <cellStyle name="20% - Accent6 2 2 2 3 4" xfId="10483" xr:uid="{9B90C2DB-154D-4250-B38E-2044B8B18AE7}"/>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2B4F0A8A-E9A8-4AE5-BD0C-A0554D112353}"/>
    <cellStyle name="20% - Accent6 2 2 2 4 2 3" xfId="13041" xr:uid="{5FC9AE42-18C6-473B-8A7F-A113CF77F2B1}"/>
    <cellStyle name="20% - Accent6 2 2 2 4 3" xfId="5787" xr:uid="{00000000-0005-0000-0000-000030030000}"/>
    <cellStyle name="20% - Accent6 2 2 2 4 3 2" xfId="15113" xr:uid="{3BE47F19-9F40-449F-8809-72709718650F}"/>
    <cellStyle name="20% - Accent6 2 2 2 4 4" xfId="10896" xr:uid="{AD7E1391-9BE4-4DB9-8787-F1108A928A4B}"/>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93976A23-1A65-415A-AF11-F2170D41D7F7}"/>
    <cellStyle name="20% - Accent6 2 2 2 5 2 3" xfId="13454" xr:uid="{B86152C0-3E21-4375-9C73-6B734D32730C}"/>
    <cellStyle name="20% - Accent6 2 2 2 5 3" xfId="6200" xr:uid="{00000000-0005-0000-0000-000034030000}"/>
    <cellStyle name="20% - Accent6 2 2 2 5 3 2" xfId="15526" xr:uid="{556B0C13-C3FE-4A0D-96D2-0642732DFBEB}"/>
    <cellStyle name="20% - Accent6 2 2 2 5 4" xfId="11309" xr:uid="{2369D7CE-739D-45C0-85B4-2F6A13AD6299}"/>
    <cellStyle name="20% - Accent6 2 2 2 6" xfId="2307" xr:uid="{00000000-0005-0000-0000-000035030000}"/>
    <cellStyle name="20% - Accent6 2 2 2 6 2" xfId="6613" xr:uid="{00000000-0005-0000-0000-000036030000}"/>
    <cellStyle name="20% - Accent6 2 2 2 6 2 2" xfId="15939" xr:uid="{F18061F6-15EB-4A30-B29A-4E7131260F89}"/>
    <cellStyle name="20% - Accent6 2 2 2 6 3" xfId="11722" xr:uid="{B92DD431-4BB8-4856-A31F-236821EC9EFD}"/>
    <cellStyle name="20% - Accent6 2 2 2 7" xfId="4547" xr:uid="{00000000-0005-0000-0000-000037030000}"/>
    <cellStyle name="20% - Accent6 2 2 2 7 2" xfId="13873" xr:uid="{89F57AD8-C7B9-47EB-932E-D8C17BA18BDF}"/>
    <cellStyle name="20% - Accent6 2 2 2 8" xfId="9105" xr:uid="{2D3B6B01-F2FB-4D08-A7F9-9902961EFB46}"/>
    <cellStyle name="20% - Accent6 2 2 2 8 2" xfId="18429" xr:uid="{8D093C72-9331-4789-B3A2-2B515241DD70}"/>
    <cellStyle name="20% - Accent6 2 2 2 9" xfId="9656" xr:uid="{4BFD5702-B9AD-47CD-9E64-BDFE05E53E3D}"/>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695AC874-BB6F-42A3-B6B6-2CBEFD81483D}"/>
    <cellStyle name="20% - Accent6 2 2 3 2 3" xfId="12214" xr:uid="{8BEEB094-317D-4D62-8B17-CCF5334F67B2}"/>
    <cellStyle name="20% - Accent6 2 2 3 3" xfId="4960" xr:uid="{00000000-0005-0000-0000-00003B030000}"/>
    <cellStyle name="20% - Accent6 2 2 3 3 2" xfId="14286" xr:uid="{0927D5D3-5296-4018-8D96-D63C0EA84164}"/>
    <cellStyle name="20% - Accent6 2 2 3 4" xfId="9323" xr:uid="{93CC3C58-EC1C-4AC6-8D02-E00EFD80A494}"/>
    <cellStyle name="20% - Accent6 2 2 3 4 2" xfId="18638" xr:uid="{85DFF850-16C1-45CF-A010-D77739477B54}"/>
    <cellStyle name="20% - Accent6 2 2 3 5" xfId="10069" xr:uid="{C0F58945-77EE-4CBC-93FF-0E8F9BD88C3E}"/>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153B0F6A-C9A9-40E0-9C0F-EAFBDA8FF255}"/>
    <cellStyle name="20% - Accent6 2 2 4 2 3" xfId="12627" xr:uid="{3B04DA72-03F8-4D1A-BB26-D1EDF3ED5E08}"/>
    <cellStyle name="20% - Accent6 2 2 4 3" xfId="5373" xr:uid="{00000000-0005-0000-0000-00003F030000}"/>
    <cellStyle name="20% - Accent6 2 2 4 3 2" xfId="14699" xr:uid="{0E11309F-D1DA-4B6F-B548-B05878DB772B}"/>
    <cellStyle name="20% - Accent6 2 2 4 4" xfId="10482" xr:uid="{6BB7DEDC-3AF5-4053-87F1-EC201F33075C}"/>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D93CE232-8F02-4FA5-A0F1-F84CF1BA7D25}"/>
    <cellStyle name="20% - Accent6 2 2 5 2 3" xfId="13040" xr:uid="{4197220E-C8EB-4362-84F0-88AAF20A6EAA}"/>
    <cellStyle name="20% - Accent6 2 2 5 3" xfId="5786" xr:uid="{00000000-0005-0000-0000-000043030000}"/>
    <cellStyle name="20% - Accent6 2 2 5 3 2" xfId="15112" xr:uid="{4E91F664-D6F6-4453-83D3-4452A929A650}"/>
    <cellStyle name="20% - Accent6 2 2 5 4" xfId="10895" xr:uid="{35A89BB5-AB18-4D15-9F29-758D0B01052E}"/>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F62DFD50-DB82-4806-8657-A4A2C4C5AC91}"/>
    <cellStyle name="20% - Accent6 2 2 6 2 3" xfId="13453" xr:uid="{9BFA9461-38CE-47BE-87B8-BB20278D2E34}"/>
    <cellStyle name="20% - Accent6 2 2 6 3" xfId="6199" xr:uid="{00000000-0005-0000-0000-000047030000}"/>
    <cellStyle name="20% - Accent6 2 2 6 3 2" xfId="15525" xr:uid="{F24E7D57-4CD5-427A-B5F2-0399F9449869}"/>
    <cellStyle name="20% - Accent6 2 2 6 4" xfId="11308" xr:uid="{B25B4E51-3229-43A1-9237-483EA202C2E4}"/>
    <cellStyle name="20% - Accent6 2 2 7" xfId="2306" xr:uid="{00000000-0005-0000-0000-000048030000}"/>
    <cellStyle name="20% - Accent6 2 2 7 2" xfId="6612" xr:uid="{00000000-0005-0000-0000-000049030000}"/>
    <cellStyle name="20% - Accent6 2 2 7 2 2" xfId="15938" xr:uid="{C71C2E8C-0F60-4A38-8CA6-9739E4669FDD}"/>
    <cellStyle name="20% - Accent6 2 2 7 3" xfId="11721" xr:uid="{9348B591-903A-409F-B0F2-DA0BF55538BE}"/>
    <cellStyle name="20% - Accent6 2 2 8" xfId="4546" xr:uid="{00000000-0005-0000-0000-00004A030000}"/>
    <cellStyle name="20% - Accent6 2 2 8 2" xfId="13872" xr:uid="{4E5169D7-6466-448C-BA49-0A42E88BDCE8}"/>
    <cellStyle name="20% - Accent6 2 2 9" xfId="8898" xr:uid="{88686F75-037F-4072-9BDC-942546C51E8F}"/>
    <cellStyle name="20% - Accent6 2 2 9 2" xfId="18222" xr:uid="{A531B812-F07B-45E5-AA63-E0A20831A72D}"/>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D29EE609-7BDF-4EA7-BB46-AC48279FB20E}"/>
    <cellStyle name="20% - Accent6 2 3 2 2 3" xfId="12216" xr:uid="{9C4F19FF-5FAE-4224-B42E-305EFEDB9FB9}"/>
    <cellStyle name="20% - Accent6 2 3 2 3" xfId="4962" xr:uid="{00000000-0005-0000-0000-00004F030000}"/>
    <cellStyle name="20% - Accent6 2 3 2 3 2" xfId="14288" xr:uid="{53098320-821C-42F3-89A9-54CD40236EBF}"/>
    <cellStyle name="20% - Accent6 2 3 2 4" xfId="9427" xr:uid="{009378B6-C0A8-4C7C-A9A2-F91104842D93}"/>
    <cellStyle name="20% - Accent6 2 3 2 4 2" xfId="18742" xr:uid="{37711C48-C080-425E-82CB-11288B74B11B}"/>
    <cellStyle name="20% - Accent6 2 3 2 5" xfId="10071" xr:uid="{AC916D9F-A39A-4DBA-BC47-D57B0A10CAE4}"/>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60D6C34D-C52E-471B-AB5A-2C22C9B58A37}"/>
    <cellStyle name="20% - Accent6 2 3 3 2 3" xfId="12629" xr:uid="{FCECB23E-8F84-4CE5-B203-B1ECA14F48EA}"/>
    <cellStyle name="20% - Accent6 2 3 3 3" xfId="5375" xr:uid="{00000000-0005-0000-0000-000053030000}"/>
    <cellStyle name="20% - Accent6 2 3 3 3 2" xfId="14701" xr:uid="{236D1979-D31F-42AE-8AF4-01D03B72AF78}"/>
    <cellStyle name="20% - Accent6 2 3 3 4" xfId="10484" xr:uid="{F0B57B0E-2A17-44B5-A654-78A9FD764A35}"/>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3732949C-EED4-4FA5-B6DE-6ED3DF2828F2}"/>
    <cellStyle name="20% - Accent6 2 3 4 2 3" xfId="13042" xr:uid="{A8290F5B-03F4-4F67-ABC7-32D0FFBF30EC}"/>
    <cellStyle name="20% - Accent6 2 3 4 3" xfId="5788" xr:uid="{00000000-0005-0000-0000-000057030000}"/>
    <cellStyle name="20% - Accent6 2 3 4 3 2" xfId="15114" xr:uid="{1A91132E-35DC-4E4E-A955-7EA3C23FD4EA}"/>
    <cellStyle name="20% - Accent6 2 3 4 4" xfId="10897" xr:uid="{79D7A979-6474-4358-9EC1-6CDF6C82AA8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AF2D5F8C-36F2-418A-9271-7675ACDB3A80}"/>
    <cellStyle name="20% - Accent6 2 3 5 2 3" xfId="13455" xr:uid="{974B91C2-6986-4A02-A270-68331F8FFE39}"/>
    <cellStyle name="20% - Accent6 2 3 5 3" xfId="6201" xr:uid="{00000000-0005-0000-0000-00005B030000}"/>
    <cellStyle name="20% - Accent6 2 3 5 3 2" xfId="15527" xr:uid="{C70084D4-C5DA-451A-BE5C-1CBF9E7C2D2A}"/>
    <cellStyle name="20% - Accent6 2 3 5 4" xfId="11310" xr:uid="{D0AA3A0C-C7F2-4FD7-B667-91818BEDDB02}"/>
    <cellStyle name="20% - Accent6 2 3 6" xfId="2308" xr:uid="{00000000-0005-0000-0000-00005C030000}"/>
    <cellStyle name="20% - Accent6 2 3 6 2" xfId="6614" xr:uid="{00000000-0005-0000-0000-00005D030000}"/>
    <cellStyle name="20% - Accent6 2 3 6 2 2" xfId="15940" xr:uid="{19430A87-344A-43F1-B0FE-2ECABB0BEC2C}"/>
    <cellStyle name="20% - Accent6 2 3 6 3" xfId="11723" xr:uid="{5AD67D90-2940-4654-8117-04C151BC7DE3}"/>
    <cellStyle name="20% - Accent6 2 3 7" xfId="4548" xr:uid="{00000000-0005-0000-0000-00005E030000}"/>
    <cellStyle name="20% - Accent6 2 3 7 2" xfId="13874" xr:uid="{4DEB12B1-F6FD-436E-B36C-C5EEE529F4C9}"/>
    <cellStyle name="20% - Accent6 2 3 8" xfId="9002" xr:uid="{F69877AB-868C-474F-8F88-C5F2F1F2C041}"/>
    <cellStyle name="20% - Accent6 2 3 8 2" xfId="18326" xr:uid="{487A362B-4B0C-49DD-82F7-618FD8A3FCE8}"/>
    <cellStyle name="20% - Accent6 2 3 9" xfId="9657" xr:uid="{1090479F-DA83-4899-87B7-12CD68D60258}"/>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AE3CC816-4655-45F9-B4EC-B9959AB025C7}"/>
    <cellStyle name="20% - Accent6 2 4 2 3" xfId="12213" xr:uid="{7257B07A-1FAE-49CD-9732-A4ACA13C1747}"/>
    <cellStyle name="20% - Accent6 2 4 3" xfId="4959" xr:uid="{00000000-0005-0000-0000-000062030000}"/>
    <cellStyle name="20% - Accent6 2 4 3 2" xfId="14285" xr:uid="{75CF2E8D-5101-479D-8168-84D9F591923F}"/>
    <cellStyle name="20% - Accent6 2 4 4" xfId="9219" xr:uid="{C8AD75F8-261B-45C4-93F0-0E0A49EEEF79}"/>
    <cellStyle name="20% - Accent6 2 4 4 2" xfId="18535" xr:uid="{9C9D8121-3694-47AF-BB79-3B5E784B7CE2}"/>
    <cellStyle name="20% - Accent6 2 4 5" xfId="10068" xr:uid="{A1EE9CCC-5CF7-4E23-A507-C089798C516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33AAC9B2-0F6D-46DA-A87A-FC8D2B526AAB}"/>
    <cellStyle name="20% - Accent6 2 5 2 3" xfId="12626" xr:uid="{BA83B65D-91C6-4070-9DC6-653D83AFCE88}"/>
    <cellStyle name="20% - Accent6 2 5 3" xfId="5372" xr:uid="{00000000-0005-0000-0000-000066030000}"/>
    <cellStyle name="20% - Accent6 2 5 3 2" xfId="14698" xr:uid="{14F101AE-28D8-4875-824E-29B17CB702B6}"/>
    <cellStyle name="20% - Accent6 2 5 4" xfId="10481" xr:uid="{35BC1BA0-188C-43AD-A760-EC85A2FB297F}"/>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722D377D-1780-4D9C-B30E-9300752A2C34}"/>
    <cellStyle name="20% - Accent6 2 6 2 3" xfId="13039" xr:uid="{390F531C-F514-40E6-9B38-EC3FD82F2689}"/>
    <cellStyle name="20% - Accent6 2 6 3" xfId="5785" xr:uid="{00000000-0005-0000-0000-00006A030000}"/>
    <cellStyle name="20% - Accent6 2 6 3 2" xfId="15111" xr:uid="{ED0315D9-1854-4F64-8B19-D190553AEAA5}"/>
    <cellStyle name="20% - Accent6 2 6 4" xfId="10894" xr:uid="{AA6B244E-4D20-4468-834E-557686EFC2D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F2B26548-517A-479C-B0F6-7661F18D6DE4}"/>
    <cellStyle name="20% - Accent6 2 7 2 3" xfId="13452" xr:uid="{C02C6776-269B-4B81-AE60-317AB5CA0303}"/>
    <cellStyle name="20% - Accent6 2 7 3" xfId="6198" xr:uid="{00000000-0005-0000-0000-00006E030000}"/>
    <cellStyle name="20% - Accent6 2 7 3 2" xfId="15524" xr:uid="{41FB418A-9D37-435F-9301-3E87F856B4DD}"/>
    <cellStyle name="20% - Accent6 2 7 4" xfId="11307" xr:uid="{E367DCAB-9343-41AD-B8B2-B8D05C487D3C}"/>
    <cellStyle name="20% - Accent6 2 8" xfId="2305" xr:uid="{00000000-0005-0000-0000-00006F030000}"/>
    <cellStyle name="20% - Accent6 2 8 2" xfId="6611" xr:uid="{00000000-0005-0000-0000-000070030000}"/>
    <cellStyle name="20% - Accent6 2 8 2 2" xfId="15937" xr:uid="{296813EE-9435-4225-8F6E-9221E91907B7}"/>
    <cellStyle name="20% - Accent6 2 8 3" xfId="11720" xr:uid="{8FDAABD6-11D9-4776-9FEE-B65EAB06F7CC}"/>
    <cellStyle name="20% - Accent6 2 9" xfId="4545" xr:uid="{00000000-0005-0000-0000-000071030000}"/>
    <cellStyle name="20% - Accent6 2 9 2" xfId="13871" xr:uid="{0FF6CF93-FB03-49EE-969A-7A6E81381B97}"/>
    <cellStyle name="20% - Accent6 3" xfId="46" xr:uid="{00000000-0005-0000-0000-000072030000}"/>
    <cellStyle name="20% - Accent6 3 10" xfId="9658" xr:uid="{BED7DC60-EA15-48E3-B8DF-096C9DE9D4E3}"/>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D055D0B9-E790-4625-826D-CC0F192BEFFE}"/>
    <cellStyle name="20% - Accent6 3 2 2 2 3" xfId="12218" xr:uid="{A531BAAE-E954-4430-AD11-B15E1AAD207B}"/>
    <cellStyle name="20% - Accent6 3 2 2 3" xfId="4964" xr:uid="{00000000-0005-0000-0000-000077030000}"/>
    <cellStyle name="20% - Accent6 3 2 2 3 2" xfId="14290" xr:uid="{14003632-1149-4AA2-8BE4-E50DE966E2FC}"/>
    <cellStyle name="20% - Accent6 3 2 2 4" xfId="9503" xr:uid="{A5A3EDF8-16EA-4A86-8795-C3BA46FE244A}"/>
    <cellStyle name="20% - Accent6 3 2 2 4 2" xfId="18818" xr:uid="{98771C2C-ADD5-4734-8BD5-C95C1E18147B}"/>
    <cellStyle name="20% - Accent6 3 2 2 5" xfId="10073" xr:uid="{57806EF3-4E6B-4DF0-8932-D456C101E90C}"/>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8D6BDDAD-4913-4C6A-891D-13D5AF5DA2DD}"/>
    <cellStyle name="20% - Accent6 3 2 3 2 3" xfId="12631" xr:uid="{37E6325E-F8DC-4D35-9830-4AB7285ED1EE}"/>
    <cellStyle name="20% - Accent6 3 2 3 3" xfId="5377" xr:uid="{00000000-0005-0000-0000-00007B030000}"/>
    <cellStyle name="20% - Accent6 3 2 3 3 2" xfId="14703" xr:uid="{94AFFB72-32AD-490B-93FD-9D8C050809DD}"/>
    <cellStyle name="20% - Accent6 3 2 3 4" xfId="10486" xr:uid="{E9C534AB-7D04-479F-8BDB-7E4DDAE3C289}"/>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FA0E8388-2C14-48B0-8160-D2E18FF9BF16}"/>
    <cellStyle name="20% - Accent6 3 2 4 2 3" xfId="13044" xr:uid="{89C1450F-A84E-4DFB-B5C3-545E7B4141DB}"/>
    <cellStyle name="20% - Accent6 3 2 4 3" xfId="5790" xr:uid="{00000000-0005-0000-0000-00007F030000}"/>
    <cellStyle name="20% - Accent6 3 2 4 3 2" xfId="15116" xr:uid="{9FA692A6-077A-49A3-A65E-78B0AF1154E8}"/>
    <cellStyle name="20% - Accent6 3 2 4 4" xfId="10899" xr:uid="{400F2535-AC5B-40B2-A552-A75CFE07611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4A1E91C8-0CBA-4BEF-B2CD-8369018BE254}"/>
    <cellStyle name="20% - Accent6 3 2 5 2 3" xfId="13457" xr:uid="{412D3700-CA06-40BD-9C40-D12F5DA4FDF4}"/>
    <cellStyle name="20% - Accent6 3 2 5 3" xfId="6203" xr:uid="{00000000-0005-0000-0000-000083030000}"/>
    <cellStyle name="20% - Accent6 3 2 5 3 2" xfId="15529" xr:uid="{9FA8F6D8-3658-4B6A-9051-C9C845E478B4}"/>
    <cellStyle name="20% - Accent6 3 2 5 4" xfId="11312" xr:uid="{CD5E0F49-2083-4C6D-BF32-272DCAB0B3DA}"/>
    <cellStyle name="20% - Accent6 3 2 6" xfId="2310" xr:uid="{00000000-0005-0000-0000-000084030000}"/>
    <cellStyle name="20% - Accent6 3 2 6 2" xfId="6616" xr:uid="{00000000-0005-0000-0000-000085030000}"/>
    <cellStyle name="20% - Accent6 3 2 6 2 2" xfId="15942" xr:uid="{31E5E654-4E38-4DF2-B5C0-70F2A52FB428}"/>
    <cellStyle name="20% - Accent6 3 2 6 3" xfId="11725" xr:uid="{66BAC477-2E0E-4BC9-A276-25E6609AE047}"/>
    <cellStyle name="20% - Accent6 3 2 7" xfId="4550" xr:uid="{00000000-0005-0000-0000-000086030000}"/>
    <cellStyle name="20% - Accent6 3 2 7 2" xfId="13876" xr:uid="{B3B19513-BA47-489E-BAE9-DC822176E03C}"/>
    <cellStyle name="20% - Accent6 3 2 8" xfId="9078" xr:uid="{55C63253-C10A-44F0-A9A1-D3E9AD1B1E77}"/>
    <cellStyle name="20% - Accent6 3 2 8 2" xfId="18402" xr:uid="{AA2CBE37-449E-4A58-A2A1-0639D919D6C2}"/>
    <cellStyle name="20% - Accent6 3 2 9" xfId="9659" xr:uid="{803D6BBA-5649-421B-AD9F-C77C014C5766}"/>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2E8E94AE-E7B9-4538-B772-E319D1B3B955}"/>
    <cellStyle name="20% - Accent6 3 3 2 3" xfId="12217" xr:uid="{2197C611-FA90-42F4-8822-1E79FB0CE1F7}"/>
    <cellStyle name="20% - Accent6 3 3 3" xfId="4963" xr:uid="{00000000-0005-0000-0000-00008A030000}"/>
    <cellStyle name="20% - Accent6 3 3 3 2" xfId="14289" xr:uid="{97447A05-F616-4FDC-A0C9-565BD36E4C22}"/>
    <cellStyle name="20% - Accent6 3 3 4" xfId="9296" xr:uid="{68DBDAD1-945F-459A-93CE-56D312D1EDE4}"/>
    <cellStyle name="20% - Accent6 3 3 4 2" xfId="18611" xr:uid="{4564F26E-069C-49FC-BB2E-DD1CF7275183}"/>
    <cellStyle name="20% - Accent6 3 3 5" xfId="10072" xr:uid="{1B6F64AA-90AC-4900-85EC-55DEE7BF6486}"/>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D56F44C4-B2FB-47F1-B2B6-FFCBD94B4732}"/>
    <cellStyle name="20% - Accent6 3 4 2 3" xfId="12630" xr:uid="{EBE81DDC-0DDF-47CF-BFBB-629F51DE7C87}"/>
    <cellStyle name="20% - Accent6 3 4 3" xfId="5376" xr:uid="{00000000-0005-0000-0000-00008E030000}"/>
    <cellStyle name="20% - Accent6 3 4 3 2" xfId="14702" xr:uid="{25B6CC96-E706-4E15-A2E4-657F89364275}"/>
    <cellStyle name="20% - Accent6 3 4 4" xfId="10485" xr:uid="{2FA94DA9-A4E1-4EEF-A654-0105CC920AFE}"/>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3F1A2069-70F3-4B24-A126-DA662644E446}"/>
    <cellStyle name="20% - Accent6 3 5 2 3" xfId="13043" xr:uid="{613726FC-9D4A-418F-BF4A-2C16369BD712}"/>
    <cellStyle name="20% - Accent6 3 5 3" xfId="5789" xr:uid="{00000000-0005-0000-0000-000092030000}"/>
    <cellStyle name="20% - Accent6 3 5 3 2" xfId="15115" xr:uid="{A5EB9DCF-1F93-41AE-91FB-B6761B4A46CD}"/>
    <cellStyle name="20% - Accent6 3 5 4" xfId="10898" xr:uid="{9F4B4491-2EE1-4D18-B91B-2779C673D921}"/>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53A9DBB9-E518-4AC6-B268-0B3B107AA34A}"/>
    <cellStyle name="20% - Accent6 3 6 2 3" xfId="13456" xr:uid="{CFFDAE02-CE95-4B8F-A5A5-E555F0CACF42}"/>
    <cellStyle name="20% - Accent6 3 6 3" xfId="6202" xr:uid="{00000000-0005-0000-0000-000096030000}"/>
    <cellStyle name="20% - Accent6 3 6 3 2" xfId="15528" xr:uid="{F0BD725E-BE2B-4497-BB7A-69EA4129C25F}"/>
    <cellStyle name="20% - Accent6 3 6 4" xfId="11311" xr:uid="{9A828001-5B5F-45DD-B57C-30C00CEC31DA}"/>
    <cellStyle name="20% - Accent6 3 7" xfId="2309" xr:uid="{00000000-0005-0000-0000-000097030000}"/>
    <cellStyle name="20% - Accent6 3 7 2" xfId="6615" xr:uid="{00000000-0005-0000-0000-000098030000}"/>
    <cellStyle name="20% - Accent6 3 7 2 2" xfId="15941" xr:uid="{37890616-D4BC-4B06-A9A6-E9C52F448329}"/>
    <cellStyle name="20% - Accent6 3 7 3" xfId="11724" xr:uid="{11C4CEE4-E16A-44F1-A774-70A438859609}"/>
    <cellStyle name="20% - Accent6 3 8" xfId="4549" xr:uid="{00000000-0005-0000-0000-000099030000}"/>
    <cellStyle name="20% - Accent6 3 8 2" xfId="13875" xr:uid="{C5703643-B21E-4CBC-B2E9-CF4527E31DD4}"/>
    <cellStyle name="20% - Accent6 3 9" xfId="8871" xr:uid="{6A653046-C3D6-46DC-9DAA-DA1241CBE9F0}"/>
    <cellStyle name="20% - Accent6 3 9 2" xfId="18195" xr:uid="{9A198EF3-1D9A-4F82-A547-FF66488B619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1B91C88D-5860-496B-A77D-16DEAA9A2036}"/>
    <cellStyle name="20% - Accent6 4 2 2 3" xfId="12219" xr:uid="{399203D1-7A48-46D1-AB72-C1EEFA40F3B0}"/>
    <cellStyle name="20% - Accent6 4 2 3" xfId="4965" xr:uid="{00000000-0005-0000-0000-00009E030000}"/>
    <cellStyle name="20% - Accent6 4 2 3 2" xfId="14291" xr:uid="{B74D6905-4AB9-4C1A-A4CE-EF9E7B56456E}"/>
    <cellStyle name="20% - Accent6 4 2 4" xfId="9382" xr:uid="{704ED43C-A59A-4E80-A03F-B933767E3A55}"/>
    <cellStyle name="20% - Accent6 4 2 4 2" xfId="18697" xr:uid="{9F866945-680A-42F0-90C0-71F4D0B6FC6F}"/>
    <cellStyle name="20% - Accent6 4 2 5" xfId="10074" xr:uid="{BC0CD4EC-4818-45FD-9015-20FE10BD0F43}"/>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D424F43D-8BAE-4A8D-937B-AE4926096056}"/>
    <cellStyle name="20% - Accent6 4 3 2 3" xfId="12632" xr:uid="{11C9C939-2329-4B27-BA9B-08701D25EAE8}"/>
    <cellStyle name="20% - Accent6 4 3 3" xfId="5378" xr:uid="{00000000-0005-0000-0000-0000A2030000}"/>
    <cellStyle name="20% - Accent6 4 3 3 2" xfId="14704" xr:uid="{335F2FFD-6D65-430D-AF42-12E70A3010D4}"/>
    <cellStyle name="20% - Accent6 4 3 4" xfId="10487" xr:uid="{3E73885F-7440-41F1-AACE-FD765012402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DCD044AB-0BC4-4400-AD06-7DCEE780B2F3}"/>
    <cellStyle name="20% - Accent6 4 4 2 3" xfId="13045" xr:uid="{7D210B2C-6CD5-45A2-8E72-2D2D028114E7}"/>
    <cellStyle name="20% - Accent6 4 4 3" xfId="5791" xr:uid="{00000000-0005-0000-0000-0000A6030000}"/>
    <cellStyle name="20% - Accent6 4 4 3 2" xfId="15117" xr:uid="{AD3524E4-B44B-4557-AB34-8BE65D990F35}"/>
    <cellStyle name="20% - Accent6 4 4 4" xfId="10900" xr:uid="{96CC7852-2E71-4994-85E5-0C68E6717571}"/>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4F54DA24-8B51-44F4-A4A9-CB41DF69EB12}"/>
    <cellStyle name="20% - Accent6 4 5 2 3" xfId="13458" xr:uid="{E1FF467F-2342-4DF7-A598-A48513A8FE8A}"/>
    <cellStyle name="20% - Accent6 4 5 3" xfId="6204" xr:uid="{00000000-0005-0000-0000-0000AA030000}"/>
    <cellStyle name="20% - Accent6 4 5 3 2" xfId="15530" xr:uid="{ABB28EDD-B330-46DF-96E3-DA37458127B0}"/>
    <cellStyle name="20% - Accent6 4 5 4" xfId="11313" xr:uid="{CDD3D6AD-E651-4249-AB4C-411A2D13BC82}"/>
    <cellStyle name="20% - Accent6 4 6" xfId="2311" xr:uid="{00000000-0005-0000-0000-0000AB030000}"/>
    <cellStyle name="20% - Accent6 4 6 2" xfId="6617" xr:uid="{00000000-0005-0000-0000-0000AC030000}"/>
    <cellStyle name="20% - Accent6 4 6 2 2" xfId="15943" xr:uid="{431E7C96-A8DB-4D83-8B16-1476718B7431}"/>
    <cellStyle name="20% - Accent6 4 6 3" xfId="11726" xr:uid="{42E4EB78-CF5A-4FBA-B02C-096F838674D4}"/>
    <cellStyle name="20% - Accent6 4 7" xfId="4551" xr:uid="{00000000-0005-0000-0000-0000AD030000}"/>
    <cellStyle name="20% - Accent6 4 7 2" xfId="13877" xr:uid="{342B65FD-0A53-420F-8C1A-728C4BAA2B2C}"/>
    <cellStyle name="20% - Accent6 4 8" xfId="8957" xr:uid="{03E1DA3A-6A3F-4C0D-9844-2D38E7BA13BC}"/>
    <cellStyle name="20% - Accent6 4 8 2" xfId="18281" xr:uid="{3A8F053C-A150-49AA-A9B2-6263B4CE0158}"/>
    <cellStyle name="20% - Accent6 4 9" xfId="9660" xr:uid="{B370F3AB-48F4-4A1D-A7E3-3649E83B7611}"/>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9D0B3A78-D470-4169-B90D-7990DE3C0CDB}"/>
    <cellStyle name="20% - Accent6 5 2 3" xfId="12212" xr:uid="{649D3B8B-E3C2-4D22-8C72-8F0E7CC741AA}"/>
    <cellStyle name="20% - Accent6 5 3" xfId="4958" xr:uid="{00000000-0005-0000-0000-0000B1030000}"/>
    <cellStyle name="20% - Accent6 5 3 2" xfId="14284" xr:uid="{2A973DFD-CBAC-4221-98EE-32D4B97BDD9C}"/>
    <cellStyle name="20% - Accent6 5 4" xfId="9191" xr:uid="{C812E2E5-5572-4E86-9CB6-C7C53792C044}"/>
    <cellStyle name="20% - Accent6 5 4 2" xfId="18508" xr:uid="{E7E85BD1-9CB5-48EA-965C-C2542E4BBA50}"/>
    <cellStyle name="20% - Accent6 5 5" xfId="10067" xr:uid="{E76D4E0F-431C-4547-BB87-9A6A55F2E6D8}"/>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26032BA0-59D5-4DDA-B2A8-0BBF7746FB75}"/>
    <cellStyle name="20% - Accent6 6 2 3" xfId="12625" xr:uid="{AF03D912-23D3-43A8-AB5C-4CB6AC4FBCCB}"/>
    <cellStyle name="20% - Accent6 6 3" xfId="5371" xr:uid="{00000000-0005-0000-0000-0000B5030000}"/>
    <cellStyle name="20% - Accent6 6 3 2" xfId="14697" xr:uid="{CDA3F5C7-24FD-4B85-A607-15072B6E0733}"/>
    <cellStyle name="20% - Accent6 6 4" xfId="10480" xr:uid="{3360FCE7-C224-41AF-BD8E-C542A2293130}"/>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A42E11C0-DE1E-448A-8CE4-B6CADFBA35E3}"/>
    <cellStyle name="20% - Accent6 7 2 3" xfId="13038" xr:uid="{DC2B46D0-B9FA-4251-AA53-05CF51253535}"/>
    <cellStyle name="20% - Accent6 7 3" xfId="5784" xr:uid="{00000000-0005-0000-0000-0000B9030000}"/>
    <cellStyle name="20% - Accent6 7 3 2" xfId="15110" xr:uid="{1D4F3F6A-34E9-4EBA-AA9D-0EE4544BCE12}"/>
    <cellStyle name="20% - Accent6 7 4" xfId="10893" xr:uid="{FB9F6C11-0578-40BD-B1CD-C5617ADE0578}"/>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7B1F1565-E137-4206-BBE2-0920EAC39FB4}"/>
    <cellStyle name="20% - Accent6 8 2 3" xfId="13451" xr:uid="{2353790C-7BD2-4748-A49D-A98222F6FA09}"/>
    <cellStyle name="20% - Accent6 8 3" xfId="6197" xr:uid="{00000000-0005-0000-0000-0000BD030000}"/>
    <cellStyle name="20% - Accent6 8 3 2" xfId="15523" xr:uid="{61BD73C0-81AB-4D50-A4A2-099EB2900DF3}"/>
    <cellStyle name="20% - Accent6 8 4" xfId="11306" xr:uid="{6F9E9D86-F298-4727-A073-7D2E2B301D92}"/>
    <cellStyle name="20% - Accent6 9" xfId="2304" xr:uid="{00000000-0005-0000-0000-0000BE030000}"/>
    <cellStyle name="20% - Accent6 9 2" xfId="6610" xr:uid="{00000000-0005-0000-0000-0000BF030000}"/>
    <cellStyle name="20% - Accent6 9 2 2" xfId="15936" xr:uid="{DE8AE674-CB0D-4422-817A-039DA421231C}"/>
    <cellStyle name="20% - Accent6 9 3" xfId="11719" xr:uid="{51EB1CED-8141-4BEB-9E9D-86DCC9E167EB}"/>
    <cellStyle name="40% - Accent1" xfId="49" builtinId="31" customBuiltin="1"/>
    <cellStyle name="40% - Accent1 10" xfId="4552" xr:uid="{00000000-0005-0000-0000-0000C1030000}"/>
    <cellStyle name="40% - Accent1 10 2" xfId="13878" xr:uid="{C738B7BD-5247-44E0-8C18-4B9F8AEDB1DC}"/>
    <cellStyle name="40% - Accent1 11" xfId="8759" xr:uid="{E0AA4078-00FF-4C00-81ED-1F048AC6C533}"/>
    <cellStyle name="40% - Accent1 11 2" xfId="18083" xr:uid="{41456426-01E9-4E41-BDE5-574A63D54F81}"/>
    <cellStyle name="40% - Accent1 12" xfId="9661" xr:uid="{3952AB5D-0E45-4CF0-8FD5-CAA91D1D1019}"/>
    <cellStyle name="40% - Accent1 2" xfId="50" xr:uid="{00000000-0005-0000-0000-0000C2030000}"/>
    <cellStyle name="40% - Accent1 2 10" xfId="8798" xr:uid="{82026451-631C-40CA-BC49-BE5DA2EA921A}"/>
    <cellStyle name="40% - Accent1 2 10 2" xfId="18122" xr:uid="{87848DC9-80D0-46F6-87A5-AF42B0EC7C05}"/>
    <cellStyle name="40% - Accent1 2 11" xfId="9662" xr:uid="{0E12320F-22BA-46EF-935D-1BF655164647}"/>
    <cellStyle name="40% - Accent1 2 2" xfId="51" xr:uid="{00000000-0005-0000-0000-0000C3030000}"/>
    <cellStyle name="40% - Accent1 2 2 10" xfId="9663" xr:uid="{247DD4D9-BF62-4B7A-AC08-09B3838F09E8}"/>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2AD64378-7976-49CF-A7AA-FC79A19BE66E}"/>
    <cellStyle name="40% - Accent1 2 2 2 2 2 3" xfId="12223" xr:uid="{351FF16E-822A-4F18-BDB4-2A7AC8B55A52}"/>
    <cellStyle name="40% - Accent1 2 2 2 2 3" xfId="4969" xr:uid="{00000000-0005-0000-0000-0000C8030000}"/>
    <cellStyle name="40% - Accent1 2 2 2 2 3 2" xfId="14295" xr:uid="{041BB398-FCC7-4259-BC55-847B8C3F2954}"/>
    <cellStyle name="40% - Accent1 2 2 2 2 4" xfId="9533" xr:uid="{757B5AC4-115E-4B90-B4EA-505C31F9B178}"/>
    <cellStyle name="40% - Accent1 2 2 2 2 4 2" xfId="18848" xr:uid="{A4DCF9A0-9A8A-4BA3-A652-63BA60D1BDE3}"/>
    <cellStyle name="40% - Accent1 2 2 2 2 5" xfId="10078" xr:uid="{D36CFB13-CB40-4FCE-AE73-1D9DE07490C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C75365B5-CFBF-47AC-9BAE-FC266B0A8E4E}"/>
    <cellStyle name="40% - Accent1 2 2 2 3 2 3" xfId="12636" xr:uid="{6B2DB0D5-9B94-4E08-83BE-07F13D77B3AA}"/>
    <cellStyle name="40% - Accent1 2 2 2 3 3" xfId="5382" xr:uid="{00000000-0005-0000-0000-0000CC030000}"/>
    <cellStyle name="40% - Accent1 2 2 2 3 3 2" xfId="14708" xr:uid="{3F893C9E-0615-4FE4-8D62-24FA8B2BD01F}"/>
    <cellStyle name="40% - Accent1 2 2 2 3 4" xfId="10491" xr:uid="{E5A639FB-D8B0-4F30-9B9A-21E96BD3F164}"/>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12AD94E5-A749-44F5-8A73-6A15F1504DE0}"/>
    <cellStyle name="40% - Accent1 2 2 2 4 2 3" xfId="13049" xr:uid="{E198DB19-8F9A-42DB-9837-A733A3D87547}"/>
    <cellStyle name="40% - Accent1 2 2 2 4 3" xfId="5795" xr:uid="{00000000-0005-0000-0000-0000D0030000}"/>
    <cellStyle name="40% - Accent1 2 2 2 4 3 2" xfId="15121" xr:uid="{5F143CAB-C536-4AD1-B834-FA55F9D289A0}"/>
    <cellStyle name="40% - Accent1 2 2 2 4 4" xfId="10904" xr:uid="{FC15110A-B5F8-4718-9131-FEFE285959F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4E216CEA-1900-45F7-BBB0-683BAC5F3CC9}"/>
    <cellStyle name="40% - Accent1 2 2 2 5 2 3" xfId="13462" xr:uid="{A3D58DA9-AAB6-460B-B5CB-95DBC3DA5E08}"/>
    <cellStyle name="40% - Accent1 2 2 2 5 3" xfId="6208" xr:uid="{00000000-0005-0000-0000-0000D4030000}"/>
    <cellStyle name="40% - Accent1 2 2 2 5 3 2" xfId="15534" xr:uid="{9D99011D-41EF-4594-9954-E8ABFB6ED37F}"/>
    <cellStyle name="40% - Accent1 2 2 2 5 4" xfId="11317" xr:uid="{01C8E414-F2A9-460E-8AE4-08416D8EE57A}"/>
    <cellStyle name="40% - Accent1 2 2 2 6" xfId="2315" xr:uid="{00000000-0005-0000-0000-0000D5030000}"/>
    <cellStyle name="40% - Accent1 2 2 2 6 2" xfId="6621" xr:uid="{00000000-0005-0000-0000-0000D6030000}"/>
    <cellStyle name="40% - Accent1 2 2 2 6 2 2" xfId="15947" xr:uid="{BDB5B9A6-681E-4181-939E-02AC077B4A04}"/>
    <cellStyle name="40% - Accent1 2 2 2 6 3" xfId="11730" xr:uid="{9EBF80DF-1C2E-4021-B935-617D6D2A2034}"/>
    <cellStyle name="40% - Accent1 2 2 2 7" xfId="4555" xr:uid="{00000000-0005-0000-0000-0000D7030000}"/>
    <cellStyle name="40% - Accent1 2 2 2 7 2" xfId="13881" xr:uid="{53C4CF1C-2A8E-495F-8C75-45E940E37D04}"/>
    <cellStyle name="40% - Accent1 2 2 2 8" xfId="9108" xr:uid="{1189B5E8-DD3C-4F9A-ACD3-DB853C0AC60B}"/>
    <cellStyle name="40% - Accent1 2 2 2 8 2" xfId="18432" xr:uid="{05FCFD90-9887-430C-9781-52F73E03A316}"/>
    <cellStyle name="40% - Accent1 2 2 2 9" xfId="9664" xr:uid="{ABC4366B-19C5-4C9A-B877-16EBD90CA511}"/>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6377BFE9-8389-452F-9378-FE8459CDCC3E}"/>
    <cellStyle name="40% - Accent1 2 2 3 2 3" xfId="12222" xr:uid="{9F427D59-AFEF-4B40-9C65-CBA3971C13A5}"/>
    <cellStyle name="40% - Accent1 2 2 3 3" xfId="4968" xr:uid="{00000000-0005-0000-0000-0000DB030000}"/>
    <cellStyle name="40% - Accent1 2 2 3 3 2" xfId="14294" xr:uid="{C99DEE0B-26C2-4126-890F-A65BB7B7BEA4}"/>
    <cellStyle name="40% - Accent1 2 2 3 4" xfId="9326" xr:uid="{6D693950-F4D3-4A82-8C01-49E2379281D4}"/>
    <cellStyle name="40% - Accent1 2 2 3 4 2" xfId="18641" xr:uid="{90825137-B722-4793-8E7E-09EFB2F72680}"/>
    <cellStyle name="40% - Accent1 2 2 3 5" xfId="10077" xr:uid="{0C501FFD-B169-4017-A8BA-C9FB8E0EB82F}"/>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CDBA23B8-5855-488B-BA34-E27EE09CA45D}"/>
    <cellStyle name="40% - Accent1 2 2 4 2 3" xfId="12635" xr:uid="{CFD44D2B-C03F-4BE2-915F-887A76396EAE}"/>
    <cellStyle name="40% - Accent1 2 2 4 3" xfId="5381" xr:uid="{00000000-0005-0000-0000-0000DF030000}"/>
    <cellStyle name="40% - Accent1 2 2 4 3 2" xfId="14707" xr:uid="{884C046F-B95C-4B4D-A530-DBE2A5948D52}"/>
    <cellStyle name="40% - Accent1 2 2 4 4" xfId="10490" xr:uid="{B20E86A4-77C8-4753-B510-1DDD1AD3949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5CEA9E7C-F37E-460E-879F-4A595637D220}"/>
    <cellStyle name="40% - Accent1 2 2 5 2 3" xfId="13048" xr:uid="{A519DF88-5C99-427F-886C-7CA747A56FFF}"/>
    <cellStyle name="40% - Accent1 2 2 5 3" xfId="5794" xr:uid="{00000000-0005-0000-0000-0000E3030000}"/>
    <cellStyle name="40% - Accent1 2 2 5 3 2" xfId="15120" xr:uid="{BDAA003B-4CAD-4604-8D9E-4DEE08902B27}"/>
    <cellStyle name="40% - Accent1 2 2 5 4" xfId="10903" xr:uid="{3FACBA67-D8BA-4EDC-9244-A8F79120AE47}"/>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9AA2D0AE-A88C-458D-B809-0975A86D830A}"/>
    <cellStyle name="40% - Accent1 2 2 6 2 3" xfId="13461" xr:uid="{23A8E696-FFB6-440C-B9C2-EC3481DA6524}"/>
    <cellStyle name="40% - Accent1 2 2 6 3" xfId="6207" xr:uid="{00000000-0005-0000-0000-0000E7030000}"/>
    <cellStyle name="40% - Accent1 2 2 6 3 2" xfId="15533" xr:uid="{2D1EEC22-E312-44C2-BF1A-27979FB5558F}"/>
    <cellStyle name="40% - Accent1 2 2 6 4" xfId="11316" xr:uid="{9B474F6B-258D-46D6-B778-7D8C1C1C3C95}"/>
    <cellStyle name="40% - Accent1 2 2 7" xfId="2314" xr:uid="{00000000-0005-0000-0000-0000E8030000}"/>
    <cellStyle name="40% - Accent1 2 2 7 2" xfId="6620" xr:uid="{00000000-0005-0000-0000-0000E9030000}"/>
    <cellStyle name="40% - Accent1 2 2 7 2 2" xfId="15946" xr:uid="{A55959D8-50BF-42CD-B12F-6029CBBF5405}"/>
    <cellStyle name="40% - Accent1 2 2 7 3" xfId="11729" xr:uid="{22CE555B-A6EF-4CE3-BF00-74D1876BF3E0}"/>
    <cellStyle name="40% - Accent1 2 2 8" xfId="4554" xr:uid="{00000000-0005-0000-0000-0000EA030000}"/>
    <cellStyle name="40% - Accent1 2 2 8 2" xfId="13880" xr:uid="{E5AA614B-6748-4DFB-8B6B-2E883F45AABE}"/>
    <cellStyle name="40% - Accent1 2 2 9" xfId="8901" xr:uid="{10130317-AF31-4351-8201-FD8BD447EA3C}"/>
    <cellStyle name="40% - Accent1 2 2 9 2" xfId="18225" xr:uid="{DA7C215B-096A-494B-A501-98394DEFEDE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DB8C457E-8440-455F-A636-57449CBE5DE8}"/>
    <cellStyle name="40% - Accent1 2 3 2 2 3" xfId="12224" xr:uid="{BDB5A003-0C5D-465D-AD8D-51AC2B5BE667}"/>
    <cellStyle name="40% - Accent1 2 3 2 3" xfId="4970" xr:uid="{00000000-0005-0000-0000-0000EF030000}"/>
    <cellStyle name="40% - Accent1 2 3 2 3 2" xfId="14296" xr:uid="{55F899A5-AE8F-45F0-841F-3E02A918A6B3}"/>
    <cellStyle name="40% - Accent1 2 3 2 4" xfId="9430" xr:uid="{C79D1FB2-141C-4301-8F37-B3B9643C0550}"/>
    <cellStyle name="40% - Accent1 2 3 2 4 2" xfId="18745" xr:uid="{ED8495CC-D545-4C98-9561-39D82991834C}"/>
    <cellStyle name="40% - Accent1 2 3 2 5" xfId="10079" xr:uid="{67FCA498-4344-49A2-9C7A-864FAC55058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54C846D4-C764-4648-B12C-90C9863F2113}"/>
    <cellStyle name="40% - Accent1 2 3 3 2 3" xfId="12637" xr:uid="{7961F2F4-1A80-497C-B5D7-CFDD26CB6FA8}"/>
    <cellStyle name="40% - Accent1 2 3 3 3" xfId="5383" xr:uid="{00000000-0005-0000-0000-0000F3030000}"/>
    <cellStyle name="40% - Accent1 2 3 3 3 2" xfId="14709" xr:uid="{DD00411A-CF25-4530-B043-002CBB325DB5}"/>
    <cellStyle name="40% - Accent1 2 3 3 4" xfId="10492" xr:uid="{1B439CB9-9F24-4055-88D6-5F710EB153A1}"/>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002CF53C-580A-4691-A5AF-1AD0C9857B83}"/>
    <cellStyle name="40% - Accent1 2 3 4 2 3" xfId="13050" xr:uid="{8E51E6FA-A634-48EA-8060-C955D606A9BC}"/>
    <cellStyle name="40% - Accent1 2 3 4 3" xfId="5796" xr:uid="{00000000-0005-0000-0000-0000F7030000}"/>
    <cellStyle name="40% - Accent1 2 3 4 3 2" xfId="15122" xr:uid="{43062FE2-B4D8-46F9-B599-AF8A36C8B2FE}"/>
    <cellStyle name="40% - Accent1 2 3 4 4" xfId="10905" xr:uid="{F69311EA-93FF-4078-8453-F8C93E7FB18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1A034B2E-3548-4951-A3C4-3882F53786CE}"/>
    <cellStyle name="40% - Accent1 2 3 5 2 3" xfId="13463" xr:uid="{6E67AA95-CB7A-4B68-A15A-6AE5861418C2}"/>
    <cellStyle name="40% - Accent1 2 3 5 3" xfId="6209" xr:uid="{00000000-0005-0000-0000-0000FB030000}"/>
    <cellStyle name="40% - Accent1 2 3 5 3 2" xfId="15535" xr:uid="{DEF4879D-0B3E-4994-960B-ABF02F138EBD}"/>
    <cellStyle name="40% - Accent1 2 3 5 4" xfId="11318" xr:uid="{8D5D3E6D-B428-4F8C-A633-3F2808566055}"/>
    <cellStyle name="40% - Accent1 2 3 6" xfId="2316" xr:uid="{00000000-0005-0000-0000-0000FC030000}"/>
    <cellStyle name="40% - Accent1 2 3 6 2" xfId="6622" xr:uid="{00000000-0005-0000-0000-0000FD030000}"/>
    <cellStyle name="40% - Accent1 2 3 6 2 2" xfId="15948" xr:uid="{C832EFCC-C911-4270-AB21-9809B73620D5}"/>
    <cellStyle name="40% - Accent1 2 3 6 3" xfId="11731" xr:uid="{41B143DA-62D1-421F-B444-E4E376DC21A2}"/>
    <cellStyle name="40% - Accent1 2 3 7" xfId="4556" xr:uid="{00000000-0005-0000-0000-0000FE030000}"/>
    <cellStyle name="40% - Accent1 2 3 7 2" xfId="13882" xr:uid="{CD9F6B20-7934-4A82-A5F3-606473034175}"/>
    <cellStyle name="40% - Accent1 2 3 8" xfId="9005" xr:uid="{83AF69B9-664F-4E19-B721-7989C2FEBC0C}"/>
    <cellStyle name="40% - Accent1 2 3 8 2" xfId="18329" xr:uid="{4C077FB1-84DD-4012-B240-FFCACDCEAAE1}"/>
    <cellStyle name="40% - Accent1 2 3 9" xfId="9665" xr:uid="{0B164792-18FF-4A4B-911F-C38C2C97C6B7}"/>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4C67CDA3-003D-43B7-B99D-DD37FBCB03C2}"/>
    <cellStyle name="40% - Accent1 2 4 2 3" xfId="12221" xr:uid="{11AB044D-735C-4DD4-9D3E-661770C25715}"/>
    <cellStyle name="40% - Accent1 2 4 3" xfId="4967" xr:uid="{00000000-0005-0000-0000-000002040000}"/>
    <cellStyle name="40% - Accent1 2 4 3 2" xfId="14293" xr:uid="{39388D1A-6241-40B9-B4B7-D3F1E83BD473}"/>
    <cellStyle name="40% - Accent1 2 4 4" xfId="9222" xr:uid="{A6B83122-AC98-4E58-AA4D-EC5ECC38FC6B}"/>
    <cellStyle name="40% - Accent1 2 4 4 2" xfId="18538" xr:uid="{AE5FF217-2D6F-4D7B-9917-6503D8CDDAAE}"/>
    <cellStyle name="40% - Accent1 2 4 5" xfId="10076" xr:uid="{A949B289-3E8A-4CED-BC8D-4E811538CA63}"/>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E340A3E3-B055-4298-8249-348432331FE2}"/>
    <cellStyle name="40% - Accent1 2 5 2 3" xfId="12634" xr:uid="{44E18E06-EBE7-4BBB-AA58-B0B1EB537969}"/>
    <cellStyle name="40% - Accent1 2 5 3" xfId="5380" xr:uid="{00000000-0005-0000-0000-000006040000}"/>
    <cellStyle name="40% - Accent1 2 5 3 2" xfId="14706" xr:uid="{7481855D-EA25-4EF8-8F35-AB1A1E7F13C1}"/>
    <cellStyle name="40% - Accent1 2 5 4" xfId="10489" xr:uid="{FDDAC640-FDBF-45D8-AB24-F00333B48A3F}"/>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0411BFFC-E29C-4742-B4F7-C0305351A04A}"/>
    <cellStyle name="40% - Accent1 2 6 2 3" xfId="13047" xr:uid="{31A43BD5-7960-4443-AECE-248E5853C1F5}"/>
    <cellStyle name="40% - Accent1 2 6 3" xfId="5793" xr:uid="{00000000-0005-0000-0000-00000A040000}"/>
    <cellStyle name="40% - Accent1 2 6 3 2" xfId="15119" xr:uid="{1FD0ECCF-9296-495E-A359-B89CC80FC5F9}"/>
    <cellStyle name="40% - Accent1 2 6 4" xfId="10902" xr:uid="{5D6DF640-B2B1-42CC-98FD-69A77A76CA7D}"/>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AD55D42B-12AA-416E-95F9-B7C7BFB5122E}"/>
    <cellStyle name="40% - Accent1 2 7 2 3" xfId="13460" xr:uid="{278B1AAD-6AFD-47CB-8BC9-5B990D61D881}"/>
    <cellStyle name="40% - Accent1 2 7 3" xfId="6206" xr:uid="{00000000-0005-0000-0000-00000E040000}"/>
    <cellStyle name="40% - Accent1 2 7 3 2" xfId="15532" xr:uid="{B9FF5B08-1736-440B-BD86-4E525FEC5C40}"/>
    <cellStyle name="40% - Accent1 2 7 4" xfId="11315" xr:uid="{40850855-5444-4D1C-BCD7-7A2272AAC193}"/>
    <cellStyle name="40% - Accent1 2 8" xfId="2313" xr:uid="{00000000-0005-0000-0000-00000F040000}"/>
    <cellStyle name="40% - Accent1 2 8 2" xfId="6619" xr:uid="{00000000-0005-0000-0000-000010040000}"/>
    <cellStyle name="40% - Accent1 2 8 2 2" xfId="15945" xr:uid="{8DF8B9C9-A737-485F-99CB-E25711AF31A0}"/>
    <cellStyle name="40% - Accent1 2 8 3" xfId="11728" xr:uid="{0D2D3632-601F-433F-AFF4-71C189D3344E}"/>
    <cellStyle name="40% - Accent1 2 9" xfId="4553" xr:uid="{00000000-0005-0000-0000-000011040000}"/>
    <cellStyle name="40% - Accent1 2 9 2" xfId="13879" xr:uid="{62C3B1ED-0FEA-4398-8485-787BF70D84A0}"/>
    <cellStyle name="40% - Accent1 3" xfId="54" xr:uid="{00000000-0005-0000-0000-000012040000}"/>
    <cellStyle name="40% - Accent1 3 10" xfId="9666" xr:uid="{BF2FA922-2163-44A7-B9A5-5EFE931D6254}"/>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C7CB9D2E-0322-42CA-B309-D74B8B1A95D0}"/>
    <cellStyle name="40% - Accent1 3 2 2 2 3" xfId="12226" xr:uid="{30BC57D8-6E76-4CBE-ACBC-D07FB9E074AA}"/>
    <cellStyle name="40% - Accent1 3 2 2 3" xfId="4972" xr:uid="{00000000-0005-0000-0000-000017040000}"/>
    <cellStyle name="40% - Accent1 3 2 2 3 2" xfId="14298" xr:uid="{E8AEBC0F-089F-418F-B798-8116CA685A70}"/>
    <cellStyle name="40% - Accent1 3 2 2 4" xfId="9494" xr:uid="{49092FA9-F337-44E8-98C8-15711B1C1558}"/>
    <cellStyle name="40% - Accent1 3 2 2 4 2" xfId="18809" xr:uid="{794F3F30-AC44-4323-A0AA-9B56EBEE50AC}"/>
    <cellStyle name="40% - Accent1 3 2 2 5" xfId="10081" xr:uid="{FEE94F00-0D5E-45B1-9B68-99499B0F4BAD}"/>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579FDE81-EB8A-4717-BF4A-B0BE5F29B089}"/>
    <cellStyle name="40% - Accent1 3 2 3 2 3" xfId="12639" xr:uid="{617C926B-50A4-4C4D-B333-3F3D9709BCD6}"/>
    <cellStyle name="40% - Accent1 3 2 3 3" xfId="5385" xr:uid="{00000000-0005-0000-0000-00001B040000}"/>
    <cellStyle name="40% - Accent1 3 2 3 3 2" xfId="14711" xr:uid="{306C8CDF-D4FB-4B81-BCE1-BF87801BCFA3}"/>
    <cellStyle name="40% - Accent1 3 2 3 4" xfId="10494" xr:uid="{5B2F6E9E-78FC-4B27-8066-CC6AF4A633FF}"/>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FEB657B8-035D-4EB9-AF88-DA890CD1D19F}"/>
    <cellStyle name="40% - Accent1 3 2 4 2 3" xfId="13052" xr:uid="{2C282E85-6889-437E-A91D-CF329EBAAEC2}"/>
    <cellStyle name="40% - Accent1 3 2 4 3" xfId="5798" xr:uid="{00000000-0005-0000-0000-00001F040000}"/>
    <cellStyle name="40% - Accent1 3 2 4 3 2" xfId="15124" xr:uid="{9C400591-3156-4450-A92E-E44C2789DC9B}"/>
    <cellStyle name="40% - Accent1 3 2 4 4" xfId="10907" xr:uid="{A38EB70D-D694-4461-BE28-7DCEFF2FD39E}"/>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6B4BD96F-BE8E-4320-86EE-2FECDC6CCD51}"/>
    <cellStyle name="40% - Accent1 3 2 5 2 3" xfId="13465" xr:uid="{60A0D450-649B-441D-A2F2-926154B45742}"/>
    <cellStyle name="40% - Accent1 3 2 5 3" xfId="6211" xr:uid="{00000000-0005-0000-0000-000023040000}"/>
    <cellStyle name="40% - Accent1 3 2 5 3 2" xfId="15537" xr:uid="{476ED200-AA3F-4870-A24B-06073C1006A0}"/>
    <cellStyle name="40% - Accent1 3 2 5 4" xfId="11320" xr:uid="{A5C21EAE-08EF-4058-8225-4D85FEAA66EF}"/>
    <cellStyle name="40% - Accent1 3 2 6" xfId="2318" xr:uid="{00000000-0005-0000-0000-000024040000}"/>
    <cellStyle name="40% - Accent1 3 2 6 2" xfId="6624" xr:uid="{00000000-0005-0000-0000-000025040000}"/>
    <cellStyle name="40% - Accent1 3 2 6 2 2" xfId="15950" xr:uid="{6C461172-6A0C-456A-A021-3725E6F0EFE3}"/>
    <cellStyle name="40% - Accent1 3 2 6 3" xfId="11733" xr:uid="{B16740DC-342D-4112-8C08-AB64209DC88D}"/>
    <cellStyle name="40% - Accent1 3 2 7" xfId="4558" xr:uid="{00000000-0005-0000-0000-000026040000}"/>
    <cellStyle name="40% - Accent1 3 2 7 2" xfId="13884" xr:uid="{44EE643A-FB59-44C5-8F53-296C847A8936}"/>
    <cellStyle name="40% - Accent1 3 2 8" xfId="9069" xr:uid="{F3D9FD63-8946-4492-B81A-42936E8B246D}"/>
    <cellStyle name="40% - Accent1 3 2 8 2" xfId="18393" xr:uid="{EB47B7A0-2662-4EF9-A1FD-72C032E302B2}"/>
    <cellStyle name="40% - Accent1 3 2 9" xfId="9667" xr:uid="{D8D70F12-1665-4DA7-B655-3D91F60921B1}"/>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6EEF4A7C-841C-44FE-A534-CEAC620EA92A}"/>
    <cellStyle name="40% - Accent1 3 3 2 3" xfId="12225" xr:uid="{E3BE1A3B-CFA6-4979-B29E-B4C5634A988F}"/>
    <cellStyle name="40% - Accent1 3 3 3" xfId="4971" xr:uid="{00000000-0005-0000-0000-00002A040000}"/>
    <cellStyle name="40% - Accent1 3 3 3 2" xfId="14297" xr:uid="{D6728EEA-67F2-4A11-B83E-E022ACEDCC1F}"/>
    <cellStyle name="40% - Accent1 3 3 4" xfId="9287" xr:uid="{8C21B573-3D31-49DA-ACD8-D3EC7CC3A858}"/>
    <cellStyle name="40% - Accent1 3 3 4 2" xfId="18602" xr:uid="{0FBC2745-F9EC-4F87-8C2C-50BD46D6B490}"/>
    <cellStyle name="40% - Accent1 3 3 5" xfId="10080" xr:uid="{14605B98-58D8-423A-8E5E-30A65694B5F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54F6CE79-0B02-4C43-8A6A-09EE6292AF77}"/>
    <cellStyle name="40% - Accent1 3 4 2 3" xfId="12638" xr:uid="{F0506C04-06A2-4F7F-A973-89487E10F25F}"/>
    <cellStyle name="40% - Accent1 3 4 3" xfId="5384" xr:uid="{00000000-0005-0000-0000-00002E040000}"/>
    <cellStyle name="40% - Accent1 3 4 3 2" xfId="14710" xr:uid="{C9B34C0C-CB58-4E59-A44F-E5F41C759E20}"/>
    <cellStyle name="40% - Accent1 3 4 4" xfId="10493" xr:uid="{9D21E09A-5BC5-407B-AA45-5117EE503D0D}"/>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6131EF28-053E-4CCA-B14C-6B6A95CF8F6D}"/>
    <cellStyle name="40% - Accent1 3 5 2 3" xfId="13051" xr:uid="{719E8384-F329-4D0E-8944-B7EEE1A94588}"/>
    <cellStyle name="40% - Accent1 3 5 3" xfId="5797" xr:uid="{00000000-0005-0000-0000-000032040000}"/>
    <cellStyle name="40% - Accent1 3 5 3 2" xfId="15123" xr:uid="{5F2E6777-328A-4BCE-B199-BBD93E1FBF48}"/>
    <cellStyle name="40% - Accent1 3 5 4" xfId="10906" xr:uid="{145D4273-444A-4830-B049-1D093DA3C79F}"/>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D165ABCF-1F9F-495A-BE04-3BB7CD7C345C}"/>
    <cellStyle name="40% - Accent1 3 6 2 3" xfId="13464" xr:uid="{6E09D184-514D-4306-8921-605C6E6CED5A}"/>
    <cellStyle name="40% - Accent1 3 6 3" xfId="6210" xr:uid="{00000000-0005-0000-0000-000036040000}"/>
    <cellStyle name="40% - Accent1 3 6 3 2" xfId="15536" xr:uid="{0DECFC00-15B0-416E-8B44-9B551F1DB584}"/>
    <cellStyle name="40% - Accent1 3 6 4" xfId="11319" xr:uid="{68F68DB2-52EA-46C6-90C4-FCCB17169FF0}"/>
    <cellStyle name="40% - Accent1 3 7" xfId="2317" xr:uid="{00000000-0005-0000-0000-000037040000}"/>
    <cellStyle name="40% - Accent1 3 7 2" xfId="6623" xr:uid="{00000000-0005-0000-0000-000038040000}"/>
    <cellStyle name="40% - Accent1 3 7 2 2" xfId="15949" xr:uid="{BA50FF20-3AFA-40E8-8118-354CC720F4AE}"/>
    <cellStyle name="40% - Accent1 3 7 3" xfId="11732" xr:uid="{3FFC7735-DF77-46E6-9286-C885C41F9DE9}"/>
    <cellStyle name="40% - Accent1 3 8" xfId="4557" xr:uid="{00000000-0005-0000-0000-000039040000}"/>
    <cellStyle name="40% - Accent1 3 8 2" xfId="13883" xr:uid="{E0B9FD85-36D2-4F49-84EC-D6C8636C6690}"/>
    <cellStyle name="40% - Accent1 3 9" xfId="8862" xr:uid="{2CC30516-31CA-485E-88BE-FCC7F9756A95}"/>
    <cellStyle name="40% - Accent1 3 9 2" xfId="18186" xr:uid="{9418F652-B871-466B-9A8D-CADB9CECF973}"/>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AE2B3F25-027A-4BDD-A2D7-009A8A2F1294}"/>
    <cellStyle name="40% - Accent1 4 2 2 3" xfId="12227" xr:uid="{5624916B-0963-4E1D-AA82-593BB6D0397F}"/>
    <cellStyle name="40% - Accent1 4 2 3" xfId="4973" xr:uid="{00000000-0005-0000-0000-00003E040000}"/>
    <cellStyle name="40% - Accent1 4 2 3 2" xfId="14299" xr:uid="{62460265-A86F-4ACA-A7EC-B4D346F2ECD3}"/>
    <cellStyle name="40% - Accent1 4 2 4" xfId="9373" xr:uid="{3BC949C7-8F86-44EA-9F10-CF277586B131}"/>
    <cellStyle name="40% - Accent1 4 2 4 2" xfId="18688" xr:uid="{2BA9B15A-C1FB-428F-8D61-7C75407613C9}"/>
    <cellStyle name="40% - Accent1 4 2 5" xfId="10082" xr:uid="{B8AAEE1D-EC63-4121-9CC3-24CF8408198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C0014E43-ACDC-4735-B091-727753E23EC7}"/>
    <cellStyle name="40% - Accent1 4 3 2 3" xfId="12640" xr:uid="{DAB01F83-D731-483C-9664-CE5101186EBD}"/>
    <cellStyle name="40% - Accent1 4 3 3" xfId="5386" xr:uid="{00000000-0005-0000-0000-000042040000}"/>
    <cellStyle name="40% - Accent1 4 3 3 2" xfId="14712" xr:uid="{1EFEF5A3-80F2-4878-B852-C528C9CFC281}"/>
    <cellStyle name="40% - Accent1 4 3 4" xfId="10495" xr:uid="{EB61B2E3-33FC-4023-BE1F-4BE6E76E642A}"/>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676FC0F7-F81D-4DC8-BB67-A55A9A830A42}"/>
    <cellStyle name="40% - Accent1 4 4 2 3" xfId="13053" xr:uid="{7700A320-9F3C-4D0D-B254-A882FAAEBB70}"/>
    <cellStyle name="40% - Accent1 4 4 3" xfId="5799" xr:uid="{00000000-0005-0000-0000-000046040000}"/>
    <cellStyle name="40% - Accent1 4 4 3 2" xfId="15125" xr:uid="{04495B4B-44E3-4E54-A317-E822963EE418}"/>
    <cellStyle name="40% - Accent1 4 4 4" xfId="10908" xr:uid="{6F331124-5BBB-41BD-BC91-34A48C6570C3}"/>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12078E40-D49B-4C29-8DE2-05BB52801FF0}"/>
    <cellStyle name="40% - Accent1 4 5 2 3" xfId="13466" xr:uid="{4C9BE9F6-42FE-4104-A8B1-AD91839A09A2}"/>
    <cellStyle name="40% - Accent1 4 5 3" xfId="6212" xr:uid="{00000000-0005-0000-0000-00004A040000}"/>
    <cellStyle name="40% - Accent1 4 5 3 2" xfId="15538" xr:uid="{8C5201D0-86D6-4D6B-B7E1-010655DBDAAD}"/>
    <cellStyle name="40% - Accent1 4 5 4" xfId="11321" xr:uid="{7C3DCBE2-F295-478A-8F4D-9EF94DAD4340}"/>
    <cellStyle name="40% - Accent1 4 6" xfId="2319" xr:uid="{00000000-0005-0000-0000-00004B040000}"/>
    <cellStyle name="40% - Accent1 4 6 2" xfId="6625" xr:uid="{00000000-0005-0000-0000-00004C040000}"/>
    <cellStyle name="40% - Accent1 4 6 2 2" xfId="15951" xr:uid="{0EA14C1F-E9D0-413D-8EE7-AAAF8CB839D3}"/>
    <cellStyle name="40% - Accent1 4 6 3" xfId="11734" xr:uid="{EACB3ABA-011E-4C43-B062-20108D3F1FED}"/>
    <cellStyle name="40% - Accent1 4 7" xfId="4559" xr:uid="{00000000-0005-0000-0000-00004D040000}"/>
    <cellStyle name="40% - Accent1 4 7 2" xfId="13885" xr:uid="{26E06F2C-8E02-4AC7-A84C-92E7A7585AA0}"/>
    <cellStyle name="40% - Accent1 4 8" xfId="8948" xr:uid="{7BCBB449-71B8-4468-A700-0125C7659C3D}"/>
    <cellStyle name="40% - Accent1 4 8 2" xfId="18272" xr:uid="{4A552760-81C5-4BF9-B00D-62319D2EEF28}"/>
    <cellStyle name="40% - Accent1 4 9" xfId="9668" xr:uid="{6DD566F5-0EE9-4D59-BDF5-E2628F9B39B0}"/>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593B710A-F9EF-4ED0-A763-9B3E47DF351D}"/>
    <cellStyle name="40% - Accent1 5 2 3" xfId="12220" xr:uid="{BE992CD8-9876-4119-92D3-36F9A8EA979C}"/>
    <cellStyle name="40% - Accent1 5 3" xfId="4966" xr:uid="{00000000-0005-0000-0000-000051040000}"/>
    <cellStyle name="40% - Accent1 5 3 2" xfId="14292" xr:uid="{1CF82590-CD0E-4BEB-BB1A-0499B12D0296}"/>
    <cellStyle name="40% - Accent1 5 4" xfId="9181" xr:uid="{332DA761-F1AA-4FF3-9BBB-9ECEE19D2DFF}"/>
    <cellStyle name="40% - Accent1 5 4 2" xfId="18499" xr:uid="{D2F95292-0F73-4D7A-9B58-A1383575EA67}"/>
    <cellStyle name="40% - Accent1 5 5" xfId="10075" xr:uid="{71C1A4F8-7ECE-440A-9069-C47DEDD4337B}"/>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7C78073B-3DC4-4CEA-AD6B-816968503616}"/>
    <cellStyle name="40% - Accent1 6 2 3" xfId="12633" xr:uid="{EB752DC4-7E4C-4D9C-AD92-7FD1930600CD}"/>
    <cellStyle name="40% - Accent1 6 3" xfId="5379" xr:uid="{00000000-0005-0000-0000-000055040000}"/>
    <cellStyle name="40% - Accent1 6 3 2" xfId="14705" xr:uid="{95280342-D97C-4A5D-A857-490D6294A8E0}"/>
    <cellStyle name="40% - Accent1 6 4" xfId="10488" xr:uid="{777F9D90-9FA9-4F4E-960C-5C5D41F18306}"/>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246AFC9F-EA10-4F1F-9B3D-BB16755F639B}"/>
    <cellStyle name="40% - Accent1 7 2 3" xfId="13046" xr:uid="{33052B32-8DA5-445E-B8FB-09DA0819C34F}"/>
    <cellStyle name="40% - Accent1 7 3" xfId="5792" xr:uid="{00000000-0005-0000-0000-000059040000}"/>
    <cellStyle name="40% - Accent1 7 3 2" xfId="15118" xr:uid="{7B83A759-48D5-4B3F-AEB6-298B99899F4D}"/>
    <cellStyle name="40% - Accent1 7 4" xfId="10901" xr:uid="{5BA6D2E6-F671-47E2-BDE2-B9D6F4490C52}"/>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F9CD6E0C-0540-4C1F-9B0C-B44516D5DE23}"/>
    <cellStyle name="40% - Accent1 8 2 3" xfId="13459" xr:uid="{3E5A08FC-A991-47A2-9D4F-C6323531BD53}"/>
    <cellStyle name="40% - Accent1 8 3" xfId="6205" xr:uid="{00000000-0005-0000-0000-00005D040000}"/>
    <cellStyle name="40% - Accent1 8 3 2" xfId="15531" xr:uid="{9E020855-12D8-4E83-82B6-5EC063AD7C90}"/>
    <cellStyle name="40% - Accent1 8 4" xfId="11314" xr:uid="{6BEDA2B7-3226-45EA-AFE5-0DDDAD531D88}"/>
    <cellStyle name="40% - Accent1 9" xfId="2312" xr:uid="{00000000-0005-0000-0000-00005E040000}"/>
    <cellStyle name="40% - Accent1 9 2" xfId="6618" xr:uid="{00000000-0005-0000-0000-00005F040000}"/>
    <cellStyle name="40% - Accent1 9 2 2" xfId="15944" xr:uid="{852AA0BA-4F17-4DE9-9F7D-342A0D081351}"/>
    <cellStyle name="40% - Accent1 9 3" xfId="11727" xr:uid="{332B99B1-7298-490C-A458-FAA9B5EFE3EA}"/>
    <cellStyle name="40% - Accent2" xfId="57" builtinId="35" customBuiltin="1"/>
    <cellStyle name="40% - Accent2 10" xfId="4560" xr:uid="{00000000-0005-0000-0000-000061040000}"/>
    <cellStyle name="40% - Accent2 10 2" xfId="13886" xr:uid="{04E9FD48-9011-41A4-AD9F-0D9407ABF093}"/>
    <cellStyle name="40% - Accent2 11" xfId="8761" xr:uid="{8631D9D1-53DA-4958-8F7C-AD68B7B91D61}"/>
    <cellStyle name="40% - Accent2 11 2" xfId="18085" xr:uid="{260A50FE-E144-4A63-9158-A8677EE569FD}"/>
    <cellStyle name="40% - Accent2 12" xfId="9669" xr:uid="{EBAE2501-E8F9-4606-9541-4C4FF8465D2F}"/>
    <cellStyle name="40% - Accent2 2" xfId="58" xr:uid="{00000000-0005-0000-0000-000062040000}"/>
    <cellStyle name="40% - Accent2 2 10" xfId="8799" xr:uid="{E3EEC046-6E76-44A5-8D1B-64621A8F0AC5}"/>
    <cellStyle name="40% - Accent2 2 10 2" xfId="18123" xr:uid="{8032C8D9-E89B-409E-8F3B-7ED1ED4A6DBE}"/>
    <cellStyle name="40% - Accent2 2 11" xfId="9670" xr:uid="{02EB426E-44B6-4888-9E38-76BE0133B27D}"/>
    <cellStyle name="40% - Accent2 2 2" xfId="59" xr:uid="{00000000-0005-0000-0000-000063040000}"/>
    <cellStyle name="40% - Accent2 2 2 10" xfId="9671" xr:uid="{908C840E-ABD0-455D-9BDA-F5D7888FF862}"/>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D15F213F-BF4A-47F4-95EE-445E4268BFE8}"/>
    <cellStyle name="40% - Accent2 2 2 2 2 2 3" xfId="12231" xr:uid="{D010D9FD-7847-4C0F-B018-B07243F1EBAE}"/>
    <cellStyle name="40% - Accent2 2 2 2 2 3" xfId="4977" xr:uid="{00000000-0005-0000-0000-000068040000}"/>
    <cellStyle name="40% - Accent2 2 2 2 2 3 2" xfId="14303" xr:uid="{FCC210CA-E554-4D6B-9960-D585B1D2E35F}"/>
    <cellStyle name="40% - Accent2 2 2 2 2 4" xfId="9534" xr:uid="{9F53A086-33FC-422E-9DFF-72D04AC43949}"/>
    <cellStyle name="40% - Accent2 2 2 2 2 4 2" xfId="18849" xr:uid="{9F44EE25-5355-4DB5-8348-E33BE1B667B2}"/>
    <cellStyle name="40% - Accent2 2 2 2 2 5" xfId="10086" xr:uid="{592EE996-DF97-4C49-8788-B022345ED0F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30E90381-0CC2-44C5-A2D3-6E19AF9EFC01}"/>
    <cellStyle name="40% - Accent2 2 2 2 3 2 3" xfId="12644" xr:uid="{E7AABDB7-89E3-4806-B307-3C84839D6883}"/>
    <cellStyle name="40% - Accent2 2 2 2 3 3" xfId="5390" xr:uid="{00000000-0005-0000-0000-00006C040000}"/>
    <cellStyle name="40% - Accent2 2 2 2 3 3 2" xfId="14716" xr:uid="{2CBF3540-B4FA-4BA3-9D74-CE87D1066F01}"/>
    <cellStyle name="40% - Accent2 2 2 2 3 4" xfId="10499" xr:uid="{4E431907-6153-4C7C-B85F-B5473947927C}"/>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78F09451-1109-40BA-805C-96AF25100153}"/>
    <cellStyle name="40% - Accent2 2 2 2 4 2 3" xfId="13057" xr:uid="{899129B3-A9A0-4EC3-A1AD-290CC7262478}"/>
    <cellStyle name="40% - Accent2 2 2 2 4 3" xfId="5803" xr:uid="{00000000-0005-0000-0000-000070040000}"/>
    <cellStyle name="40% - Accent2 2 2 2 4 3 2" xfId="15129" xr:uid="{633D3480-5A73-4A50-8386-826D45B36E6B}"/>
    <cellStyle name="40% - Accent2 2 2 2 4 4" xfId="10912" xr:uid="{F9097283-3056-4E81-B85A-F49CBAE5D0F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6F6F7C2A-9767-472F-98CE-AF41C35A7175}"/>
    <cellStyle name="40% - Accent2 2 2 2 5 2 3" xfId="13470" xr:uid="{79A00B61-C01E-4A36-AAC1-0FE0AE2B697C}"/>
    <cellStyle name="40% - Accent2 2 2 2 5 3" xfId="6216" xr:uid="{00000000-0005-0000-0000-000074040000}"/>
    <cellStyle name="40% - Accent2 2 2 2 5 3 2" xfId="15542" xr:uid="{389A22A2-8C1B-4837-8118-BFFBB4F9D820}"/>
    <cellStyle name="40% - Accent2 2 2 2 5 4" xfId="11325" xr:uid="{79303D16-92F0-4814-97DF-7E10D23CF00A}"/>
    <cellStyle name="40% - Accent2 2 2 2 6" xfId="2323" xr:uid="{00000000-0005-0000-0000-000075040000}"/>
    <cellStyle name="40% - Accent2 2 2 2 6 2" xfId="6629" xr:uid="{00000000-0005-0000-0000-000076040000}"/>
    <cellStyle name="40% - Accent2 2 2 2 6 2 2" xfId="15955" xr:uid="{B1CB1106-6D72-4B2E-B170-1BD30565ED59}"/>
    <cellStyle name="40% - Accent2 2 2 2 6 3" xfId="11738" xr:uid="{699CFC4E-E024-4D3F-875E-578BD5128224}"/>
    <cellStyle name="40% - Accent2 2 2 2 7" xfId="4563" xr:uid="{00000000-0005-0000-0000-000077040000}"/>
    <cellStyle name="40% - Accent2 2 2 2 7 2" xfId="13889" xr:uid="{0976F589-21B4-4FF5-96CE-72284EC4946C}"/>
    <cellStyle name="40% - Accent2 2 2 2 8" xfId="9109" xr:uid="{73F0012D-4386-4224-BFB0-7DB1C0E98822}"/>
    <cellStyle name="40% - Accent2 2 2 2 8 2" xfId="18433" xr:uid="{ABCA0896-2FD2-4B32-8959-D44CA9E11259}"/>
    <cellStyle name="40% - Accent2 2 2 2 9" xfId="9672" xr:uid="{A30FD25A-0DF1-4B69-BC95-F1D2870A0604}"/>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573F90B5-32E2-4EB2-8EF7-999F66FF3AF2}"/>
    <cellStyle name="40% - Accent2 2 2 3 2 3" xfId="12230" xr:uid="{6B693B5F-848C-42A8-A844-1B9A8A00A8ED}"/>
    <cellStyle name="40% - Accent2 2 2 3 3" xfId="4976" xr:uid="{00000000-0005-0000-0000-00007B040000}"/>
    <cellStyle name="40% - Accent2 2 2 3 3 2" xfId="14302" xr:uid="{87B2899A-FE53-4500-93BD-B2630045B4F7}"/>
    <cellStyle name="40% - Accent2 2 2 3 4" xfId="9327" xr:uid="{F2BC9A12-B689-4B73-B71E-77A9F0BC7FE4}"/>
    <cellStyle name="40% - Accent2 2 2 3 4 2" xfId="18642" xr:uid="{F686D198-7FE1-45A3-BE9B-E217C91D1F7D}"/>
    <cellStyle name="40% - Accent2 2 2 3 5" xfId="10085" xr:uid="{2825ADA7-0F97-439D-A60A-0D674F4A545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535790DB-8079-4D9F-BA13-0CBFDB4A5BE8}"/>
    <cellStyle name="40% - Accent2 2 2 4 2 3" xfId="12643" xr:uid="{80916F0E-10C1-43CC-8FC7-F1AFE8FD6A7A}"/>
    <cellStyle name="40% - Accent2 2 2 4 3" xfId="5389" xr:uid="{00000000-0005-0000-0000-00007F040000}"/>
    <cellStyle name="40% - Accent2 2 2 4 3 2" xfId="14715" xr:uid="{A8A7C4E3-648D-4C1A-B7FD-E24DE90AE5B3}"/>
    <cellStyle name="40% - Accent2 2 2 4 4" xfId="10498" xr:uid="{812C0F9B-C072-42CA-8CC9-A4C48A3784D3}"/>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F1AC2B06-A8C7-4493-8FFE-BDF2C0DBAC3A}"/>
    <cellStyle name="40% - Accent2 2 2 5 2 3" xfId="13056" xr:uid="{E6D77982-493D-4284-9C58-4575750DE233}"/>
    <cellStyle name="40% - Accent2 2 2 5 3" xfId="5802" xr:uid="{00000000-0005-0000-0000-000083040000}"/>
    <cellStyle name="40% - Accent2 2 2 5 3 2" xfId="15128" xr:uid="{FFD00279-A37F-41E7-8275-13439197D233}"/>
    <cellStyle name="40% - Accent2 2 2 5 4" xfId="10911" xr:uid="{E061952B-800F-405A-8CA0-0D12DB89A27D}"/>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FF4C0DAF-B114-4C07-A7C8-B3ECBE5606EC}"/>
    <cellStyle name="40% - Accent2 2 2 6 2 3" xfId="13469" xr:uid="{F086CAAC-312B-470B-BA2E-96ABC69A7003}"/>
    <cellStyle name="40% - Accent2 2 2 6 3" xfId="6215" xr:uid="{00000000-0005-0000-0000-000087040000}"/>
    <cellStyle name="40% - Accent2 2 2 6 3 2" xfId="15541" xr:uid="{95CBF213-9343-40BA-A913-FB078F3275AF}"/>
    <cellStyle name="40% - Accent2 2 2 6 4" xfId="11324" xr:uid="{1C7E8F00-2A4F-4F25-8AEC-246642016C2F}"/>
    <cellStyle name="40% - Accent2 2 2 7" xfId="2322" xr:uid="{00000000-0005-0000-0000-000088040000}"/>
    <cellStyle name="40% - Accent2 2 2 7 2" xfId="6628" xr:uid="{00000000-0005-0000-0000-000089040000}"/>
    <cellStyle name="40% - Accent2 2 2 7 2 2" xfId="15954" xr:uid="{819FD28C-50AF-4FE6-A254-410EC7F735B5}"/>
    <cellStyle name="40% - Accent2 2 2 7 3" xfId="11737" xr:uid="{73B52972-D6E1-4934-BAEF-697A84309BF1}"/>
    <cellStyle name="40% - Accent2 2 2 8" xfId="4562" xr:uid="{00000000-0005-0000-0000-00008A040000}"/>
    <cellStyle name="40% - Accent2 2 2 8 2" xfId="13888" xr:uid="{FF0E2A0E-CB63-4DE8-8E01-5FC979F6B113}"/>
    <cellStyle name="40% - Accent2 2 2 9" xfId="8902" xr:uid="{5D0C2022-B7A4-4DE2-895F-9E4BE510A7B9}"/>
    <cellStyle name="40% - Accent2 2 2 9 2" xfId="18226" xr:uid="{988FBBB2-B66A-4995-9A99-E7CFB9BAB6C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68D89B69-C606-4D05-A2C8-F43777800A66}"/>
    <cellStyle name="40% - Accent2 2 3 2 2 3" xfId="12232" xr:uid="{769C90FB-1D03-458C-99EC-AA0E84FBA654}"/>
    <cellStyle name="40% - Accent2 2 3 2 3" xfId="4978" xr:uid="{00000000-0005-0000-0000-00008F040000}"/>
    <cellStyle name="40% - Accent2 2 3 2 3 2" xfId="14304" xr:uid="{8C37A1EB-EE02-4540-912F-7FD67A855246}"/>
    <cellStyle name="40% - Accent2 2 3 2 4" xfId="9431" xr:uid="{BD4E3561-302E-4359-AAF3-4F2E007BC697}"/>
    <cellStyle name="40% - Accent2 2 3 2 4 2" xfId="18746" xr:uid="{3DFF3BE9-1373-47FA-8B79-3185A0EB85BD}"/>
    <cellStyle name="40% - Accent2 2 3 2 5" xfId="10087" xr:uid="{0AE103EF-6FB7-49AE-A056-C6223F4D97B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3498E0C8-542C-45C7-B2AC-D650EFD61CE3}"/>
    <cellStyle name="40% - Accent2 2 3 3 2 3" xfId="12645" xr:uid="{80AD6080-7C3D-490F-AF51-280E34AA1795}"/>
    <cellStyle name="40% - Accent2 2 3 3 3" xfId="5391" xr:uid="{00000000-0005-0000-0000-000093040000}"/>
    <cellStyle name="40% - Accent2 2 3 3 3 2" xfId="14717" xr:uid="{22BE4D64-8A9F-425E-9AB2-38101C355568}"/>
    <cellStyle name="40% - Accent2 2 3 3 4" xfId="10500" xr:uid="{FA3A6386-1DD3-46B0-814B-D04E3A658061}"/>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F782E95E-C7F4-4C97-93E3-E839A216C9F4}"/>
    <cellStyle name="40% - Accent2 2 3 4 2 3" xfId="13058" xr:uid="{E83E274B-D097-4D6A-9726-7F770AE332F3}"/>
    <cellStyle name="40% - Accent2 2 3 4 3" xfId="5804" xr:uid="{00000000-0005-0000-0000-000097040000}"/>
    <cellStyle name="40% - Accent2 2 3 4 3 2" xfId="15130" xr:uid="{198A62B9-9224-441F-90DD-26DD9A01F89B}"/>
    <cellStyle name="40% - Accent2 2 3 4 4" xfId="10913" xr:uid="{47F3B1FB-3B39-4C9D-B90B-B680870D8A3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81BEE665-B37D-40DB-9567-E8B3B3A70161}"/>
    <cellStyle name="40% - Accent2 2 3 5 2 3" xfId="13471" xr:uid="{7247FA0C-EC2D-4EDF-ADF9-50E122AD4E52}"/>
    <cellStyle name="40% - Accent2 2 3 5 3" xfId="6217" xr:uid="{00000000-0005-0000-0000-00009B040000}"/>
    <cellStyle name="40% - Accent2 2 3 5 3 2" xfId="15543" xr:uid="{2985DE1E-E6E8-4A13-8C42-6C5A6D4351A3}"/>
    <cellStyle name="40% - Accent2 2 3 5 4" xfId="11326" xr:uid="{9F9C0731-96FC-436B-BE5B-9788F14D1AB4}"/>
    <cellStyle name="40% - Accent2 2 3 6" xfId="2324" xr:uid="{00000000-0005-0000-0000-00009C040000}"/>
    <cellStyle name="40% - Accent2 2 3 6 2" xfId="6630" xr:uid="{00000000-0005-0000-0000-00009D040000}"/>
    <cellStyle name="40% - Accent2 2 3 6 2 2" xfId="15956" xr:uid="{3CDC01C2-7DA1-464F-BA9A-071A9866DE2B}"/>
    <cellStyle name="40% - Accent2 2 3 6 3" xfId="11739" xr:uid="{8CA2880D-41ED-4B89-8108-40C19FE1FCF2}"/>
    <cellStyle name="40% - Accent2 2 3 7" xfId="4564" xr:uid="{00000000-0005-0000-0000-00009E040000}"/>
    <cellStyle name="40% - Accent2 2 3 7 2" xfId="13890" xr:uid="{BD495006-E7E7-4A66-B009-385B4C530BDC}"/>
    <cellStyle name="40% - Accent2 2 3 8" xfId="9006" xr:uid="{E6E89EA5-B76F-4FCC-89B9-DD4135B6364B}"/>
    <cellStyle name="40% - Accent2 2 3 8 2" xfId="18330" xr:uid="{97C81438-D057-4466-B20E-6075F816C345}"/>
    <cellStyle name="40% - Accent2 2 3 9" xfId="9673" xr:uid="{8CC7CF0A-CA78-4378-A3B6-E276AD1A01C0}"/>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B9678C1D-C6D8-44FB-B18F-527C5BB80516}"/>
    <cellStyle name="40% - Accent2 2 4 2 3" xfId="12229" xr:uid="{DCBD45CB-8617-42B3-B641-554587D856A4}"/>
    <cellStyle name="40% - Accent2 2 4 3" xfId="4975" xr:uid="{00000000-0005-0000-0000-0000A2040000}"/>
    <cellStyle name="40% - Accent2 2 4 3 2" xfId="14301" xr:uid="{7E0A8AF9-869D-4977-ABF4-2C936C3EF596}"/>
    <cellStyle name="40% - Accent2 2 4 4" xfId="9223" xr:uid="{FA9890B4-781A-4E4C-81EE-BC7448559828}"/>
    <cellStyle name="40% - Accent2 2 4 4 2" xfId="18539" xr:uid="{44375260-65D4-4CFD-B374-24B4F05F6F8F}"/>
    <cellStyle name="40% - Accent2 2 4 5" xfId="10084" xr:uid="{E2C4B950-36C2-474B-B0E3-1B4A9F3A2BF7}"/>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35F190B9-30FE-4D09-ABF7-4218DDEED33D}"/>
    <cellStyle name="40% - Accent2 2 5 2 3" xfId="12642" xr:uid="{D5ABE078-C883-4CE8-AA98-27149E33446A}"/>
    <cellStyle name="40% - Accent2 2 5 3" xfId="5388" xr:uid="{00000000-0005-0000-0000-0000A6040000}"/>
    <cellStyle name="40% - Accent2 2 5 3 2" xfId="14714" xr:uid="{CF2725F2-AA94-403B-897A-DB29C5BA6B3B}"/>
    <cellStyle name="40% - Accent2 2 5 4" xfId="10497" xr:uid="{5DBBFF5A-7412-4112-82A5-65E24895A1C0}"/>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0221962F-8DEB-426B-864A-FC8AEEA4E78E}"/>
    <cellStyle name="40% - Accent2 2 6 2 3" xfId="13055" xr:uid="{CD9740F4-3DA7-4FF8-A8F6-82661069975E}"/>
    <cellStyle name="40% - Accent2 2 6 3" xfId="5801" xr:uid="{00000000-0005-0000-0000-0000AA040000}"/>
    <cellStyle name="40% - Accent2 2 6 3 2" xfId="15127" xr:uid="{DEF745B7-A796-4EC3-B84F-271FCC520CC9}"/>
    <cellStyle name="40% - Accent2 2 6 4" xfId="10910" xr:uid="{82AA6D49-2C43-4652-A3E8-DECACA07CD00}"/>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55E32523-5C07-491F-9989-118D60B174C1}"/>
    <cellStyle name="40% - Accent2 2 7 2 3" xfId="13468" xr:uid="{801FEA46-1A6B-4118-AC7A-BA8EED32FEE6}"/>
    <cellStyle name="40% - Accent2 2 7 3" xfId="6214" xr:uid="{00000000-0005-0000-0000-0000AE040000}"/>
    <cellStyle name="40% - Accent2 2 7 3 2" xfId="15540" xr:uid="{3A5686B7-C16B-4937-98BE-7B835904F067}"/>
    <cellStyle name="40% - Accent2 2 7 4" xfId="11323" xr:uid="{E02288ED-F89F-47AF-A126-808CC7913BA5}"/>
    <cellStyle name="40% - Accent2 2 8" xfId="2321" xr:uid="{00000000-0005-0000-0000-0000AF040000}"/>
    <cellStyle name="40% - Accent2 2 8 2" xfId="6627" xr:uid="{00000000-0005-0000-0000-0000B0040000}"/>
    <cellStyle name="40% - Accent2 2 8 2 2" xfId="15953" xr:uid="{0474A5CC-5E8F-4D2A-A1D5-29ADE3F31D84}"/>
    <cellStyle name="40% - Accent2 2 8 3" xfId="11736" xr:uid="{3CAC1ED0-A97C-4B29-AF03-5FAE7E8D1EAB}"/>
    <cellStyle name="40% - Accent2 2 9" xfId="4561" xr:uid="{00000000-0005-0000-0000-0000B1040000}"/>
    <cellStyle name="40% - Accent2 2 9 2" xfId="13887" xr:uid="{8A3C337E-D22F-48A9-8027-1CB53F5919E0}"/>
    <cellStyle name="40% - Accent2 3" xfId="62" xr:uid="{00000000-0005-0000-0000-0000B2040000}"/>
    <cellStyle name="40% - Accent2 3 10" xfId="9674" xr:uid="{06AEDDA5-8E58-4774-AB44-47D200E2EDED}"/>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811121F4-34EB-4802-BEC4-071E26FFAB97}"/>
    <cellStyle name="40% - Accent2 3 2 2 2 3" xfId="12234" xr:uid="{692957FC-AFEB-4109-B559-C1ADB38B2CBD}"/>
    <cellStyle name="40% - Accent2 3 2 2 3" xfId="4980" xr:uid="{00000000-0005-0000-0000-0000B7040000}"/>
    <cellStyle name="40% - Accent2 3 2 2 3 2" xfId="14306" xr:uid="{F101E959-3D7F-465F-8D7E-47CCB446696F}"/>
    <cellStyle name="40% - Accent2 3 2 2 4" xfId="9496" xr:uid="{700FA1AF-D943-4FDB-BFB1-F903AD1F731A}"/>
    <cellStyle name="40% - Accent2 3 2 2 4 2" xfId="18811" xr:uid="{F0DC37ED-5445-48F2-99C6-0B1E09A2B368}"/>
    <cellStyle name="40% - Accent2 3 2 2 5" xfId="10089" xr:uid="{8B0AA380-EC9B-475D-96A2-59496A0C9A7E}"/>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B0B69394-2A7C-4B7E-8EAC-24CDF5B87E4D}"/>
    <cellStyle name="40% - Accent2 3 2 3 2 3" xfId="12647" xr:uid="{26DA9D7E-D717-4034-A81A-0DF65FD05922}"/>
    <cellStyle name="40% - Accent2 3 2 3 3" xfId="5393" xr:uid="{00000000-0005-0000-0000-0000BB040000}"/>
    <cellStyle name="40% - Accent2 3 2 3 3 2" xfId="14719" xr:uid="{90264588-A8F4-4EAA-8370-CB51A2B1871C}"/>
    <cellStyle name="40% - Accent2 3 2 3 4" xfId="10502" xr:uid="{4004F6D0-C6A8-47E5-B141-9051771C5A1E}"/>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FE46C5DC-8C76-45C4-8980-331C7BDD8C56}"/>
    <cellStyle name="40% - Accent2 3 2 4 2 3" xfId="13060" xr:uid="{D28B6CF4-F9B5-4D13-B127-B4A92A84AE63}"/>
    <cellStyle name="40% - Accent2 3 2 4 3" xfId="5806" xr:uid="{00000000-0005-0000-0000-0000BF040000}"/>
    <cellStyle name="40% - Accent2 3 2 4 3 2" xfId="15132" xr:uid="{B0FDD1F3-D70C-4C6B-ABCB-2224701E7282}"/>
    <cellStyle name="40% - Accent2 3 2 4 4" xfId="10915" xr:uid="{42F76B7E-2B47-414A-A34E-2E07125F20DC}"/>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7F021B37-F309-4F7E-85D5-814C75C0ACE2}"/>
    <cellStyle name="40% - Accent2 3 2 5 2 3" xfId="13473" xr:uid="{28EEFCEF-9699-479B-AE91-B2F6D7F49A5A}"/>
    <cellStyle name="40% - Accent2 3 2 5 3" xfId="6219" xr:uid="{00000000-0005-0000-0000-0000C3040000}"/>
    <cellStyle name="40% - Accent2 3 2 5 3 2" xfId="15545" xr:uid="{1BE6CDCC-C3B5-43FA-AFBA-D217878A5DA7}"/>
    <cellStyle name="40% - Accent2 3 2 5 4" xfId="11328" xr:uid="{64C93F48-9783-4932-B1EC-0DAF24A726EA}"/>
    <cellStyle name="40% - Accent2 3 2 6" xfId="2326" xr:uid="{00000000-0005-0000-0000-0000C4040000}"/>
    <cellStyle name="40% - Accent2 3 2 6 2" xfId="6632" xr:uid="{00000000-0005-0000-0000-0000C5040000}"/>
    <cellStyle name="40% - Accent2 3 2 6 2 2" xfId="15958" xr:uid="{4C9923C1-4A35-40CD-94EE-63E2F9CA6DB2}"/>
    <cellStyle name="40% - Accent2 3 2 6 3" xfId="11741" xr:uid="{ADBC154C-1453-4CE8-84A6-3B1E1A6855D1}"/>
    <cellStyle name="40% - Accent2 3 2 7" xfId="4566" xr:uid="{00000000-0005-0000-0000-0000C6040000}"/>
    <cellStyle name="40% - Accent2 3 2 7 2" xfId="13892" xr:uid="{E1CF2FBF-D181-4BC7-A216-63CB153C194A}"/>
    <cellStyle name="40% - Accent2 3 2 8" xfId="9071" xr:uid="{B5463F05-11FC-4377-B380-DDB549C63AA9}"/>
    <cellStyle name="40% - Accent2 3 2 8 2" xfId="18395" xr:uid="{1F0EF6CF-327D-4890-B856-9CF5AAE7398C}"/>
    <cellStyle name="40% - Accent2 3 2 9" xfId="9675" xr:uid="{6719DCC1-0C9D-4F0D-9AB6-F845B40F8A14}"/>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777232F6-40F0-4BD7-A493-C0DE09A25A2B}"/>
    <cellStyle name="40% - Accent2 3 3 2 3" xfId="12233" xr:uid="{13368FE8-9D20-4F48-9534-9F855A3DD185}"/>
    <cellStyle name="40% - Accent2 3 3 3" xfId="4979" xr:uid="{00000000-0005-0000-0000-0000CA040000}"/>
    <cellStyle name="40% - Accent2 3 3 3 2" xfId="14305" xr:uid="{DAA31D9E-3EE5-4946-A9CC-DCB69FB69291}"/>
    <cellStyle name="40% - Accent2 3 3 4" xfId="9289" xr:uid="{B234EB9F-4AFE-41A2-A17D-ABC1D0F80875}"/>
    <cellStyle name="40% - Accent2 3 3 4 2" xfId="18604" xr:uid="{1A626724-B101-4C3A-821C-542EB197865D}"/>
    <cellStyle name="40% - Accent2 3 3 5" xfId="10088" xr:uid="{54DA82DC-97A7-4D96-AB17-5924D19BF6E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702C5244-38D6-4FEA-9F12-18B7D511AD1B}"/>
    <cellStyle name="40% - Accent2 3 4 2 3" xfId="12646" xr:uid="{8C978DD3-D5C7-4E6B-ABF7-D116B81869F8}"/>
    <cellStyle name="40% - Accent2 3 4 3" xfId="5392" xr:uid="{00000000-0005-0000-0000-0000CE040000}"/>
    <cellStyle name="40% - Accent2 3 4 3 2" xfId="14718" xr:uid="{5F622F91-4BFA-4858-B047-0BECB6BBD1CA}"/>
    <cellStyle name="40% - Accent2 3 4 4" xfId="10501" xr:uid="{2B645E95-6D2D-4861-9879-A3EA844220A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1003D921-2E9A-42C5-A3C6-C6099818F4DD}"/>
    <cellStyle name="40% - Accent2 3 5 2 3" xfId="13059" xr:uid="{C739B276-57F9-429E-9D2B-1A7739393422}"/>
    <cellStyle name="40% - Accent2 3 5 3" xfId="5805" xr:uid="{00000000-0005-0000-0000-0000D2040000}"/>
    <cellStyle name="40% - Accent2 3 5 3 2" xfId="15131" xr:uid="{4568E315-6FA8-4D10-9492-AA5463334B96}"/>
    <cellStyle name="40% - Accent2 3 5 4" xfId="10914" xr:uid="{59B2872D-4306-40F1-8AFE-DBE0874750F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FD198A21-78EC-4ED4-84C0-EA06F0ABE89F}"/>
    <cellStyle name="40% - Accent2 3 6 2 3" xfId="13472" xr:uid="{C23111EC-1B47-4F16-83AD-574DA113BB49}"/>
    <cellStyle name="40% - Accent2 3 6 3" xfId="6218" xr:uid="{00000000-0005-0000-0000-0000D6040000}"/>
    <cellStyle name="40% - Accent2 3 6 3 2" xfId="15544" xr:uid="{9D442DF6-1A1B-4613-89E0-58CB6B3A57D9}"/>
    <cellStyle name="40% - Accent2 3 6 4" xfId="11327" xr:uid="{AE31F51E-22B6-457C-9F27-345A03AA90FF}"/>
    <cellStyle name="40% - Accent2 3 7" xfId="2325" xr:uid="{00000000-0005-0000-0000-0000D7040000}"/>
    <cellStyle name="40% - Accent2 3 7 2" xfId="6631" xr:uid="{00000000-0005-0000-0000-0000D8040000}"/>
    <cellStyle name="40% - Accent2 3 7 2 2" xfId="15957" xr:uid="{681CC8AB-532F-4659-8AC0-2556CD4DFCC4}"/>
    <cellStyle name="40% - Accent2 3 7 3" xfId="11740" xr:uid="{1AA46910-09F8-40E6-97FA-5D5E35334AB5}"/>
    <cellStyle name="40% - Accent2 3 8" xfId="4565" xr:uid="{00000000-0005-0000-0000-0000D9040000}"/>
    <cellStyle name="40% - Accent2 3 8 2" xfId="13891" xr:uid="{B4B83036-C031-4706-8A1A-BCB529740895}"/>
    <cellStyle name="40% - Accent2 3 9" xfId="8864" xr:uid="{311EF031-8CA9-4ACC-8705-6D408E1B50DB}"/>
    <cellStyle name="40% - Accent2 3 9 2" xfId="18188" xr:uid="{D10A00B0-5736-4BEA-B959-DA0A79D6E94E}"/>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17DCB6EC-1715-43D1-A14A-EC8C9887E28B}"/>
    <cellStyle name="40% - Accent2 4 2 2 3" xfId="12235" xr:uid="{D45FF867-5FD8-4156-8901-E397111E0FBD}"/>
    <cellStyle name="40% - Accent2 4 2 3" xfId="4981" xr:uid="{00000000-0005-0000-0000-0000DE040000}"/>
    <cellStyle name="40% - Accent2 4 2 3 2" xfId="14307" xr:uid="{D818AF6C-AFFB-481F-BF29-637299045276}"/>
    <cellStyle name="40% - Accent2 4 2 4" xfId="9375" xr:uid="{E0F8B4F7-419E-40A5-89E1-F3F0DF6ADFF8}"/>
    <cellStyle name="40% - Accent2 4 2 4 2" xfId="18690" xr:uid="{DF879F13-7B8B-48D5-A380-96CA89FD6D38}"/>
    <cellStyle name="40% - Accent2 4 2 5" xfId="10090" xr:uid="{383F9479-9010-45D0-AE31-C7C648F63117}"/>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536F46FB-B2F1-419F-A823-8C5002D88C86}"/>
    <cellStyle name="40% - Accent2 4 3 2 3" xfId="12648" xr:uid="{98E82E43-03AB-42F3-84C8-EE119110DC2B}"/>
    <cellStyle name="40% - Accent2 4 3 3" xfId="5394" xr:uid="{00000000-0005-0000-0000-0000E2040000}"/>
    <cellStyle name="40% - Accent2 4 3 3 2" xfId="14720" xr:uid="{0AA21348-04E7-4841-9611-C2CFBA39E03A}"/>
    <cellStyle name="40% - Accent2 4 3 4" xfId="10503" xr:uid="{740BDFE0-42DC-4638-88E6-3ABE99D22F75}"/>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AC995E92-DD7F-4C00-8E96-2090163AC85E}"/>
    <cellStyle name="40% - Accent2 4 4 2 3" xfId="13061" xr:uid="{D24EB958-4A5B-46B4-B1B0-CCE55FDD5414}"/>
    <cellStyle name="40% - Accent2 4 4 3" xfId="5807" xr:uid="{00000000-0005-0000-0000-0000E6040000}"/>
    <cellStyle name="40% - Accent2 4 4 3 2" xfId="15133" xr:uid="{2D0C8E60-9577-4BF9-81CC-87F3EC3C57F0}"/>
    <cellStyle name="40% - Accent2 4 4 4" xfId="10916" xr:uid="{6A7B9C21-1A46-434F-B773-457E94E6AFD5}"/>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8423D45A-647B-4B59-AAC7-BA05C3DE645A}"/>
    <cellStyle name="40% - Accent2 4 5 2 3" xfId="13474" xr:uid="{E0BCDE87-7D6F-45DA-85DD-280DBD9E2827}"/>
    <cellStyle name="40% - Accent2 4 5 3" xfId="6220" xr:uid="{00000000-0005-0000-0000-0000EA040000}"/>
    <cellStyle name="40% - Accent2 4 5 3 2" xfId="15546" xr:uid="{629B9D13-B224-4BB3-8965-B40A8E9A8FD4}"/>
    <cellStyle name="40% - Accent2 4 5 4" xfId="11329" xr:uid="{739CCFAC-3ADB-40AF-AA86-6960CD99A854}"/>
    <cellStyle name="40% - Accent2 4 6" xfId="2327" xr:uid="{00000000-0005-0000-0000-0000EB040000}"/>
    <cellStyle name="40% - Accent2 4 6 2" xfId="6633" xr:uid="{00000000-0005-0000-0000-0000EC040000}"/>
    <cellStyle name="40% - Accent2 4 6 2 2" xfId="15959" xr:uid="{7FF2DA20-60F4-4DE7-8366-E8921B6C76AE}"/>
    <cellStyle name="40% - Accent2 4 6 3" xfId="11742" xr:uid="{69859FFA-9459-4C1F-99D2-62C5C85BB9BE}"/>
    <cellStyle name="40% - Accent2 4 7" xfId="4567" xr:uid="{00000000-0005-0000-0000-0000ED040000}"/>
    <cellStyle name="40% - Accent2 4 7 2" xfId="13893" xr:uid="{E1F2B002-A5AC-475E-83E0-0B673D7D6012}"/>
    <cellStyle name="40% - Accent2 4 8" xfId="8950" xr:uid="{02FCA414-0598-4779-8636-7B176A3552C0}"/>
    <cellStyle name="40% - Accent2 4 8 2" xfId="18274" xr:uid="{2EE037C2-61D9-47CB-BCDC-7DCA50DAA113}"/>
    <cellStyle name="40% - Accent2 4 9" xfId="9676" xr:uid="{04154E36-B085-4C90-92F6-D7DBC39508E6}"/>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EE4AA63C-2700-4834-A0ED-67D92BE656E8}"/>
    <cellStyle name="40% - Accent2 5 2 3" xfId="12228" xr:uid="{3A7C04B9-5B7B-45E9-AAA5-20D3F3E2AC49}"/>
    <cellStyle name="40% - Accent2 5 3" xfId="4974" xr:uid="{00000000-0005-0000-0000-0000F1040000}"/>
    <cellStyle name="40% - Accent2 5 3 2" xfId="14300" xr:uid="{DB77827A-E1FC-45AF-A06E-DAC2D22680EE}"/>
    <cellStyle name="40% - Accent2 5 4" xfId="9183" xr:uid="{071EDB8E-9FD1-4063-BCEF-70B734E5ECF1}"/>
    <cellStyle name="40% - Accent2 5 4 2" xfId="18501" xr:uid="{77629026-358A-4803-B495-695B374D93D1}"/>
    <cellStyle name="40% - Accent2 5 5" xfId="10083" xr:uid="{36C6C633-18A9-4486-9FF1-1820CB85626B}"/>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9ADA772C-3432-41B8-93D3-CF8DEFCCA4AD}"/>
    <cellStyle name="40% - Accent2 6 2 3" xfId="12641" xr:uid="{D1FE3EA9-E210-41C3-8790-9C58A690FDF5}"/>
    <cellStyle name="40% - Accent2 6 3" xfId="5387" xr:uid="{00000000-0005-0000-0000-0000F5040000}"/>
    <cellStyle name="40% - Accent2 6 3 2" xfId="14713" xr:uid="{1116181D-2475-47AB-9D11-A3C795B37D21}"/>
    <cellStyle name="40% - Accent2 6 4" xfId="10496" xr:uid="{0C013877-DD34-4E1F-9098-493A4F0EC5DF}"/>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AA4A8BEC-55E4-4A36-8EB1-753ED07CF019}"/>
    <cellStyle name="40% - Accent2 7 2 3" xfId="13054" xr:uid="{68D09A14-F3FC-41BB-80E9-1449CAEE6828}"/>
    <cellStyle name="40% - Accent2 7 3" xfId="5800" xr:uid="{00000000-0005-0000-0000-0000F9040000}"/>
    <cellStyle name="40% - Accent2 7 3 2" xfId="15126" xr:uid="{AD2328C3-06A6-46ED-8594-E89E9A675EB8}"/>
    <cellStyle name="40% - Accent2 7 4" xfId="10909" xr:uid="{FFF2F5D8-8EB7-4168-BABA-C48E4501C804}"/>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F1444CA1-525F-4AF8-91C1-44B2A3332E14}"/>
    <cellStyle name="40% - Accent2 8 2 3" xfId="13467" xr:uid="{1EAA883D-FBFF-4757-A5A2-4F559E51EA2F}"/>
    <cellStyle name="40% - Accent2 8 3" xfId="6213" xr:uid="{00000000-0005-0000-0000-0000FD040000}"/>
    <cellStyle name="40% - Accent2 8 3 2" xfId="15539" xr:uid="{95C6B336-DFA2-402E-840D-865419643F31}"/>
    <cellStyle name="40% - Accent2 8 4" xfId="11322" xr:uid="{E8A94035-C9AD-4B80-9F53-964271F384C7}"/>
    <cellStyle name="40% - Accent2 9" xfId="2320" xr:uid="{00000000-0005-0000-0000-0000FE040000}"/>
    <cellStyle name="40% - Accent2 9 2" xfId="6626" xr:uid="{00000000-0005-0000-0000-0000FF040000}"/>
    <cellStyle name="40% - Accent2 9 2 2" xfId="15952" xr:uid="{B16E6757-B951-4639-906C-298BC6692A45}"/>
    <cellStyle name="40% - Accent2 9 3" xfId="11735" xr:uid="{7BCE82F2-0AD6-4B3D-A9DE-0583BBB1EA45}"/>
    <cellStyle name="40% - Accent3" xfId="65" builtinId="39" customBuiltin="1"/>
    <cellStyle name="40% - Accent3 10" xfId="4568" xr:uid="{00000000-0005-0000-0000-000001050000}"/>
    <cellStyle name="40% - Accent3 10 2" xfId="13894" xr:uid="{67FC5A22-B8BA-4399-9393-3C8E5B323724}"/>
    <cellStyle name="40% - Accent3 11" xfId="8763" xr:uid="{CEFBFA85-5B68-4AEB-BF0D-8E604938B05F}"/>
    <cellStyle name="40% - Accent3 11 2" xfId="18087" xr:uid="{CFE39F48-2D44-4FE7-8DC8-2FB04DDF8ECA}"/>
    <cellStyle name="40% - Accent3 12" xfId="9677" xr:uid="{F3EEE61C-3C21-473A-96FB-9CBFFA720981}"/>
    <cellStyle name="40% - Accent3 2" xfId="66" xr:uid="{00000000-0005-0000-0000-000002050000}"/>
    <cellStyle name="40% - Accent3 2 10" xfId="8800" xr:uid="{00FF2AAD-7D96-45B5-8981-0BB923A3505B}"/>
    <cellStyle name="40% - Accent3 2 10 2" xfId="18124" xr:uid="{D73E32FA-EB05-4DA1-BF4D-1B8CBFBE5BCA}"/>
    <cellStyle name="40% - Accent3 2 11" xfId="9678" xr:uid="{445FFC2C-4347-4E34-88C0-C12A7F73DCE2}"/>
    <cellStyle name="40% - Accent3 2 2" xfId="67" xr:uid="{00000000-0005-0000-0000-000003050000}"/>
    <cellStyle name="40% - Accent3 2 2 10" xfId="9679" xr:uid="{5EBEEAB3-A6DB-4154-9673-CC2F1D8D79B4}"/>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F3E730AA-409B-4251-81EA-E024136BDEC3}"/>
    <cellStyle name="40% - Accent3 2 2 2 2 2 3" xfId="12239" xr:uid="{B919B5BB-BDA6-42ED-9D2A-19BBF306F9B9}"/>
    <cellStyle name="40% - Accent3 2 2 2 2 3" xfId="4985" xr:uid="{00000000-0005-0000-0000-000008050000}"/>
    <cellStyle name="40% - Accent3 2 2 2 2 3 2" xfId="14311" xr:uid="{21113080-8912-44B1-91F2-0DF9A7BCF1DB}"/>
    <cellStyle name="40% - Accent3 2 2 2 2 4" xfId="9535" xr:uid="{3AC66435-D4C7-42EF-A799-3DC81A57BDF4}"/>
    <cellStyle name="40% - Accent3 2 2 2 2 4 2" xfId="18850" xr:uid="{E4FEA641-E921-4DA6-8870-1E1BCC6032E9}"/>
    <cellStyle name="40% - Accent3 2 2 2 2 5" xfId="10094" xr:uid="{0BC1011E-8EF8-4064-84E9-2B319ACF323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774C9618-0190-49D9-82E7-0A64B985DDC1}"/>
    <cellStyle name="40% - Accent3 2 2 2 3 2 3" xfId="12652" xr:uid="{080BB961-BAF7-4F2D-92BC-9610D530628D}"/>
    <cellStyle name="40% - Accent3 2 2 2 3 3" xfId="5398" xr:uid="{00000000-0005-0000-0000-00000C050000}"/>
    <cellStyle name="40% - Accent3 2 2 2 3 3 2" xfId="14724" xr:uid="{0DB115C7-2F5B-44EF-A695-E260E236CAC8}"/>
    <cellStyle name="40% - Accent3 2 2 2 3 4" xfId="10507" xr:uid="{E25A4632-8A70-45DA-85EC-7D2C6A9E8897}"/>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B4D6B94D-C8DA-4D7F-8B00-F3C659F1A29F}"/>
    <cellStyle name="40% - Accent3 2 2 2 4 2 3" xfId="13065" xr:uid="{784CB1F2-0E35-4782-9C6E-113219599468}"/>
    <cellStyle name="40% - Accent3 2 2 2 4 3" xfId="5811" xr:uid="{00000000-0005-0000-0000-000010050000}"/>
    <cellStyle name="40% - Accent3 2 2 2 4 3 2" xfId="15137" xr:uid="{186B2409-3B61-41FC-A48D-3F1F0C3ED237}"/>
    <cellStyle name="40% - Accent3 2 2 2 4 4" xfId="10920" xr:uid="{C09CB771-B113-48F4-9758-446E4C2CE69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3B6FEE70-B7D6-4667-8514-6D41D229BAF1}"/>
    <cellStyle name="40% - Accent3 2 2 2 5 2 3" xfId="13478" xr:uid="{C315430C-9CF0-4E31-B294-9669BCE30D11}"/>
    <cellStyle name="40% - Accent3 2 2 2 5 3" xfId="6224" xr:uid="{00000000-0005-0000-0000-000014050000}"/>
    <cellStyle name="40% - Accent3 2 2 2 5 3 2" xfId="15550" xr:uid="{61335CDA-B93F-44CC-9F37-A73E90EF993B}"/>
    <cellStyle name="40% - Accent3 2 2 2 5 4" xfId="11333" xr:uid="{278EA41F-107C-455B-899E-2F2F3A62E2C1}"/>
    <cellStyle name="40% - Accent3 2 2 2 6" xfId="2331" xr:uid="{00000000-0005-0000-0000-000015050000}"/>
    <cellStyle name="40% - Accent3 2 2 2 6 2" xfId="6637" xr:uid="{00000000-0005-0000-0000-000016050000}"/>
    <cellStyle name="40% - Accent3 2 2 2 6 2 2" xfId="15963" xr:uid="{F6E6CA05-9DFD-4863-A74B-DA7B53BB2EAE}"/>
    <cellStyle name="40% - Accent3 2 2 2 6 3" xfId="11746" xr:uid="{5B588C98-1F17-4F70-B66E-A45D5F706A99}"/>
    <cellStyle name="40% - Accent3 2 2 2 7" xfId="4571" xr:uid="{00000000-0005-0000-0000-000017050000}"/>
    <cellStyle name="40% - Accent3 2 2 2 7 2" xfId="13897" xr:uid="{68C0D024-D392-43CC-9A4F-9E282CADE00E}"/>
    <cellStyle name="40% - Accent3 2 2 2 8" xfId="9110" xr:uid="{E41CBEF9-86F8-44B9-895F-532A7BDC9A2A}"/>
    <cellStyle name="40% - Accent3 2 2 2 8 2" xfId="18434" xr:uid="{70FF6025-79C9-4EFE-9557-B6066BE23094}"/>
    <cellStyle name="40% - Accent3 2 2 2 9" xfId="9680" xr:uid="{F2794CC5-4A77-4341-A06F-2C823DE274D1}"/>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9E6949FD-5F19-482D-A7D9-CC814CD08C0B}"/>
    <cellStyle name="40% - Accent3 2 2 3 2 3" xfId="12238" xr:uid="{3631C90C-1FF5-438B-8B9E-CDF0DD4B800E}"/>
    <cellStyle name="40% - Accent3 2 2 3 3" xfId="4984" xr:uid="{00000000-0005-0000-0000-00001B050000}"/>
    <cellStyle name="40% - Accent3 2 2 3 3 2" xfId="14310" xr:uid="{58BA06BF-C167-47CA-AF6E-315D0D14F6F1}"/>
    <cellStyle name="40% - Accent3 2 2 3 4" xfId="9328" xr:uid="{1DAEB9B9-01CE-426D-A8F1-CE08999D7264}"/>
    <cellStyle name="40% - Accent3 2 2 3 4 2" xfId="18643" xr:uid="{54015F47-BC0A-4D3E-82F6-47F50B2390EF}"/>
    <cellStyle name="40% - Accent3 2 2 3 5" xfId="10093" xr:uid="{A33A90F4-355C-4B0A-808C-E56C05FC1C3D}"/>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51D6C814-0483-4445-863A-E668E866D55C}"/>
    <cellStyle name="40% - Accent3 2 2 4 2 3" xfId="12651" xr:uid="{9226092C-3324-40B7-974F-E79496931F71}"/>
    <cellStyle name="40% - Accent3 2 2 4 3" xfId="5397" xr:uid="{00000000-0005-0000-0000-00001F050000}"/>
    <cellStyle name="40% - Accent3 2 2 4 3 2" xfId="14723" xr:uid="{F4491F5D-3FED-4049-A8B1-862432C56F8A}"/>
    <cellStyle name="40% - Accent3 2 2 4 4" xfId="10506" xr:uid="{7F3F033F-D273-48D5-86FF-3BF67B4219D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066BFB8F-92DC-43DB-BD5F-D37D1B4CBF2F}"/>
    <cellStyle name="40% - Accent3 2 2 5 2 3" xfId="13064" xr:uid="{EC2D8E8A-32AE-4A9D-8818-65E400D93BCE}"/>
    <cellStyle name="40% - Accent3 2 2 5 3" xfId="5810" xr:uid="{00000000-0005-0000-0000-000023050000}"/>
    <cellStyle name="40% - Accent3 2 2 5 3 2" xfId="15136" xr:uid="{95AC152A-7EFD-455C-92F1-59609913224E}"/>
    <cellStyle name="40% - Accent3 2 2 5 4" xfId="10919" xr:uid="{F0ABB799-58E5-442E-96C5-FABA4895ECF0}"/>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C4A7A0AE-AAAC-4C32-813A-B93DF684C365}"/>
    <cellStyle name="40% - Accent3 2 2 6 2 3" xfId="13477" xr:uid="{2E58B4C6-A8F8-48D9-8F45-EBA545055D23}"/>
    <cellStyle name="40% - Accent3 2 2 6 3" xfId="6223" xr:uid="{00000000-0005-0000-0000-000027050000}"/>
    <cellStyle name="40% - Accent3 2 2 6 3 2" xfId="15549" xr:uid="{1BDA0DF9-0800-4B24-9032-FED865B320DB}"/>
    <cellStyle name="40% - Accent3 2 2 6 4" xfId="11332" xr:uid="{BBF6BA58-62DB-4E94-B695-12A2857B0ABE}"/>
    <cellStyle name="40% - Accent3 2 2 7" xfId="2330" xr:uid="{00000000-0005-0000-0000-000028050000}"/>
    <cellStyle name="40% - Accent3 2 2 7 2" xfId="6636" xr:uid="{00000000-0005-0000-0000-000029050000}"/>
    <cellStyle name="40% - Accent3 2 2 7 2 2" xfId="15962" xr:uid="{014999E8-CD0F-4894-8D47-A3541F286266}"/>
    <cellStyle name="40% - Accent3 2 2 7 3" xfId="11745" xr:uid="{9324218B-EE85-400E-BEEF-D5F212FA9281}"/>
    <cellStyle name="40% - Accent3 2 2 8" xfId="4570" xr:uid="{00000000-0005-0000-0000-00002A050000}"/>
    <cellStyle name="40% - Accent3 2 2 8 2" xfId="13896" xr:uid="{F7E03538-2D42-49E4-90B1-38DA4A667BD5}"/>
    <cellStyle name="40% - Accent3 2 2 9" xfId="8903" xr:uid="{D9C85917-26AE-466C-8B98-905BCDA9E329}"/>
    <cellStyle name="40% - Accent3 2 2 9 2" xfId="18227" xr:uid="{5562ED60-3269-4DBB-BAFE-83ED50EF3B5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FF8F3524-6435-40E1-81B3-6F563B3CAC5C}"/>
    <cellStyle name="40% - Accent3 2 3 2 2 3" xfId="12240" xr:uid="{0D7BEFCF-0888-471D-B104-BAC8CD53C303}"/>
    <cellStyle name="40% - Accent3 2 3 2 3" xfId="4986" xr:uid="{00000000-0005-0000-0000-00002F050000}"/>
    <cellStyle name="40% - Accent3 2 3 2 3 2" xfId="14312" xr:uid="{B7D20670-D926-4665-BD7C-083C7DB477AF}"/>
    <cellStyle name="40% - Accent3 2 3 2 4" xfId="9432" xr:uid="{54D6848B-0200-4F42-820D-262A8F9A2C0F}"/>
    <cellStyle name="40% - Accent3 2 3 2 4 2" xfId="18747" xr:uid="{DA8A5CB5-F143-484A-84BC-26B608E10E39}"/>
    <cellStyle name="40% - Accent3 2 3 2 5" xfId="10095" xr:uid="{34A18083-6444-4DBA-9645-148E51827992}"/>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59053D19-89F5-44F2-9D30-8CDE53B73A22}"/>
    <cellStyle name="40% - Accent3 2 3 3 2 3" xfId="12653" xr:uid="{C2C8F0BA-3EBD-4856-9596-36EF10E8F74A}"/>
    <cellStyle name="40% - Accent3 2 3 3 3" xfId="5399" xr:uid="{00000000-0005-0000-0000-000033050000}"/>
    <cellStyle name="40% - Accent3 2 3 3 3 2" xfId="14725" xr:uid="{754C3A15-EB59-4212-B135-1D0A52C16156}"/>
    <cellStyle name="40% - Accent3 2 3 3 4" xfId="10508" xr:uid="{C818BD1F-C902-4C18-B0AA-88BE67F17BC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C4EAF789-59FA-421E-90B1-D7DE9260E747}"/>
    <cellStyle name="40% - Accent3 2 3 4 2 3" xfId="13066" xr:uid="{22B298A1-01C6-4848-B3E7-18E318A8F389}"/>
    <cellStyle name="40% - Accent3 2 3 4 3" xfId="5812" xr:uid="{00000000-0005-0000-0000-000037050000}"/>
    <cellStyle name="40% - Accent3 2 3 4 3 2" xfId="15138" xr:uid="{31FE8FDB-0D5C-4E25-B795-1EBB6DE0DE6A}"/>
    <cellStyle name="40% - Accent3 2 3 4 4" xfId="10921" xr:uid="{E1B1E018-8A65-44B5-8B6F-FDB80B036FBB}"/>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1ED6F60F-77C8-44D7-98FF-BC54ED000655}"/>
    <cellStyle name="40% - Accent3 2 3 5 2 3" xfId="13479" xr:uid="{7286CAA2-25A0-412A-803C-4BE19DEB70B9}"/>
    <cellStyle name="40% - Accent3 2 3 5 3" xfId="6225" xr:uid="{00000000-0005-0000-0000-00003B050000}"/>
    <cellStyle name="40% - Accent3 2 3 5 3 2" xfId="15551" xr:uid="{F7DAC878-90E6-4593-A886-5286134DF4C1}"/>
    <cellStyle name="40% - Accent3 2 3 5 4" xfId="11334" xr:uid="{229A9AD0-B344-4A46-91AB-BD143262C51F}"/>
    <cellStyle name="40% - Accent3 2 3 6" xfId="2332" xr:uid="{00000000-0005-0000-0000-00003C050000}"/>
    <cellStyle name="40% - Accent3 2 3 6 2" xfId="6638" xr:uid="{00000000-0005-0000-0000-00003D050000}"/>
    <cellStyle name="40% - Accent3 2 3 6 2 2" xfId="15964" xr:uid="{D8171702-7EEC-4DB7-9B3C-BA6F85716C0E}"/>
    <cellStyle name="40% - Accent3 2 3 6 3" xfId="11747" xr:uid="{19E67248-3F9B-486D-A89F-8B7F49412111}"/>
    <cellStyle name="40% - Accent3 2 3 7" xfId="4572" xr:uid="{00000000-0005-0000-0000-00003E050000}"/>
    <cellStyle name="40% - Accent3 2 3 7 2" xfId="13898" xr:uid="{39C1437F-BCCA-422E-B9B6-041598A812C4}"/>
    <cellStyle name="40% - Accent3 2 3 8" xfId="9007" xr:uid="{2DEFD82C-2A62-4C1E-AA8D-7F2606BD9091}"/>
    <cellStyle name="40% - Accent3 2 3 8 2" xfId="18331" xr:uid="{4F7E696E-3B88-47E9-9B08-AAB0144B43F0}"/>
    <cellStyle name="40% - Accent3 2 3 9" xfId="9681" xr:uid="{7143A379-29EC-455A-81DE-6E3A97CE8A7F}"/>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6D61087A-E94C-47FB-9A80-1FB030812F4A}"/>
    <cellStyle name="40% - Accent3 2 4 2 3" xfId="12237" xr:uid="{CDEA1AD1-C298-4238-9FA3-302A65B42E5A}"/>
    <cellStyle name="40% - Accent3 2 4 3" xfId="4983" xr:uid="{00000000-0005-0000-0000-000042050000}"/>
    <cellStyle name="40% - Accent3 2 4 3 2" xfId="14309" xr:uid="{13DDAAB2-A73E-4292-A09D-F8E70CDFB982}"/>
    <cellStyle name="40% - Accent3 2 4 4" xfId="9224" xr:uid="{6B91012A-BFF2-4F1F-901C-A91F06F80031}"/>
    <cellStyle name="40% - Accent3 2 4 4 2" xfId="18540" xr:uid="{B98B6D0D-F83A-49BE-91D3-CF8363127542}"/>
    <cellStyle name="40% - Accent3 2 4 5" xfId="10092" xr:uid="{53122086-6F78-47B1-92D0-23C78CB0D557}"/>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02D93ADE-5680-4E6E-9197-EBAF3956287C}"/>
    <cellStyle name="40% - Accent3 2 5 2 3" xfId="12650" xr:uid="{48ADCEBF-1FE4-4ABF-A03C-15D036260E39}"/>
    <cellStyle name="40% - Accent3 2 5 3" xfId="5396" xr:uid="{00000000-0005-0000-0000-000046050000}"/>
    <cellStyle name="40% - Accent3 2 5 3 2" xfId="14722" xr:uid="{37E217F5-722D-4F07-ACB6-841FDE97CD5A}"/>
    <cellStyle name="40% - Accent3 2 5 4" xfId="10505" xr:uid="{E5756293-C648-45F8-8864-32BA009047BE}"/>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6E764254-28C6-405E-847F-2E6BA75AE5F3}"/>
    <cellStyle name="40% - Accent3 2 6 2 3" xfId="13063" xr:uid="{26DE2899-0BC9-4727-BBCC-9E7A9146BC3C}"/>
    <cellStyle name="40% - Accent3 2 6 3" xfId="5809" xr:uid="{00000000-0005-0000-0000-00004A050000}"/>
    <cellStyle name="40% - Accent3 2 6 3 2" xfId="15135" xr:uid="{AF07AAB4-AA83-4E04-9BE5-D85AB5CCA74E}"/>
    <cellStyle name="40% - Accent3 2 6 4" xfId="10918" xr:uid="{EC29C6D7-F55C-4F22-AE62-3C748A4768A4}"/>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2F30E015-F40C-4275-8DFF-94B93D21C5D1}"/>
    <cellStyle name="40% - Accent3 2 7 2 3" xfId="13476" xr:uid="{DCB69F63-897E-4440-ACB8-84FA9230EC80}"/>
    <cellStyle name="40% - Accent3 2 7 3" xfId="6222" xr:uid="{00000000-0005-0000-0000-00004E050000}"/>
    <cellStyle name="40% - Accent3 2 7 3 2" xfId="15548" xr:uid="{98F86994-5284-4EF6-8D5C-BEF037D148E4}"/>
    <cellStyle name="40% - Accent3 2 7 4" xfId="11331" xr:uid="{7C9EC473-7EC4-453D-B511-9E2A1F13AAFB}"/>
    <cellStyle name="40% - Accent3 2 8" xfId="2329" xr:uid="{00000000-0005-0000-0000-00004F050000}"/>
    <cellStyle name="40% - Accent3 2 8 2" xfId="6635" xr:uid="{00000000-0005-0000-0000-000050050000}"/>
    <cellStyle name="40% - Accent3 2 8 2 2" xfId="15961" xr:uid="{244B8355-E193-4771-A89B-9E831C16FE9C}"/>
    <cellStyle name="40% - Accent3 2 8 3" xfId="11744" xr:uid="{AD4047DC-FA1A-4272-9347-5198DDDBE10E}"/>
    <cellStyle name="40% - Accent3 2 9" xfId="4569" xr:uid="{00000000-0005-0000-0000-000051050000}"/>
    <cellStyle name="40% - Accent3 2 9 2" xfId="13895" xr:uid="{959B8583-46ED-45AB-8EF0-2DB7DB95B12E}"/>
    <cellStyle name="40% - Accent3 3" xfId="70" xr:uid="{00000000-0005-0000-0000-000052050000}"/>
    <cellStyle name="40% - Accent3 3 10" xfId="9682" xr:uid="{61D1FF00-5FFC-4439-8B29-03730FB489A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90C9151A-EBC1-4BC1-B1B2-906E1E8ECC51}"/>
    <cellStyle name="40% - Accent3 3 2 2 2 3" xfId="12242" xr:uid="{B23D6DA6-139E-49AD-A3B9-15CA67E3F988}"/>
    <cellStyle name="40% - Accent3 3 2 2 3" xfId="4988" xr:uid="{00000000-0005-0000-0000-000057050000}"/>
    <cellStyle name="40% - Accent3 3 2 2 3 2" xfId="14314" xr:uid="{07B12AE9-77F1-4E86-A67E-03C81A9B9BA9}"/>
    <cellStyle name="40% - Accent3 3 2 2 4" xfId="9498" xr:uid="{7C43CF58-5AE0-4BAA-9D2B-CAB92F3612F1}"/>
    <cellStyle name="40% - Accent3 3 2 2 4 2" xfId="18813" xr:uid="{42D4B083-FC7A-463F-83F6-1BB1D77DAF57}"/>
    <cellStyle name="40% - Accent3 3 2 2 5" xfId="10097" xr:uid="{5F6629CA-9172-4700-8F48-2AE2079B7C24}"/>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2FDD0FF1-F69A-4E0E-9A30-D5D695A21E31}"/>
    <cellStyle name="40% - Accent3 3 2 3 2 3" xfId="12655" xr:uid="{0F701BC3-4543-4D7C-9A8B-CED5D64C7562}"/>
    <cellStyle name="40% - Accent3 3 2 3 3" xfId="5401" xr:uid="{00000000-0005-0000-0000-00005B050000}"/>
    <cellStyle name="40% - Accent3 3 2 3 3 2" xfId="14727" xr:uid="{220041EB-CEB9-4B6F-A955-8781605711D1}"/>
    <cellStyle name="40% - Accent3 3 2 3 4" xfId="10510" xr:uid="{E06CB931-2E2D-47D1-835A-AAF7E63085AE}"/>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FBFFF663-34B3-47CD-8409-BA6211B5E85B}"/>
    <cellStyle name="40% - Accent3 3 2 4 2 3" xfId="13068" xr:uid="{996231B0-E3D4-4290-8847-9C51509FD1E1}"/>
    <cellStyle name="40% - Accent3 3 2 4 3" xfId="5814" xr:uid="{00000000-0005-0000-0000-00005F050000}"/>
    <cellStyle name="40% - Accent3 3 2 4 3 2" xfId="15140" xr:uid="{4CCCD714-263B-4884-960B-A2D173ADEEB4}"/>
    <cellStyle name="40% - Accent3 3 2 4 4" xfId="10923" xr:uid="{3B0BD5F5-4C02-4F5D-A42A-6B060DC3A3E0}"/>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FD1E30F3-ACAA-461F-88C3-721BA86BAA69}"/>
    <cellStyle name="40% - Accent3 3 2 5 2 3" xfId="13481" xr:uid="{DB605F6C-58BB-4682-AE25-565F60172C02}"/>
    <cellStyle name="40% - Accent3 3 2 5 3" xfId="6227" xr:uid="{00000000-0005-0000-0000-000063050000}"/>
    <cellStyle name="40% - Accent3 3 2 5 3 2" xfId="15553" xr:uid="{5FC8E08A-9AD4-4EC8-A06B-AD50126B38A0}"/>
    <cellStyle name="40% - Accent3 3 2 5 4" xfId="11336" xr:uid="{9D6FB51F-BDDF-412C-9EA3-DD7DFD4C54DE}"/>
    <cellStyle name="40% - Accent3 3 2 6" xfId="2334" xr:uid="{00000000-0005-0000-0000-000064050000}"/>
    <cellStyle name="40% - Accent3 3 2 6 2" xfId="6640" xr:uid="{00000000-0005-0000-0000-000065050000}"/>
    <cellStyle name="40% - Accent3 3 2 6 2 2" xfId="15966" xr:uid="{F9A43955-D902-483F-BE66-D5B03CBA7433}"/>
    <cellStyle name="40% - Accent3 3 2 6 3" xfId="11749" xr:uid="{6026EEC6-F74B-4C67-835D-ADB5B4C6D699}"/>
    <cellStyle name="40% - Accent3 3 2 7" xfId="4574" xr:uid="{00000000-0005-0000-0000-000066050000}"/>
    <cellStyle name="40% - Accent3 3 2 7 2" xfId="13900" xr:uid="{200956C1-B782-4A0C-98AD-0020CFBF2139}"/>
    <cellStyle name="40% - Accent3 3 2 8" xfId="9073" xr:uid="{0E71C752-2CF0-411D-A05E-4DA4A73CFC34}"/>
    <cellStyle name="40% - Accent3 3 2 8 2" xfId="18397" xr:uid="{039D7278-3BCE-41E6-80CB-58B5EE294BB4}"/>
    <cellStyle name="40% - Accent3 3 2 9" xfId="9683" xr:uid="{B85060C2-7A3E-4D4F-ACA2-D558A90D2A0E}"/>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CE258E4E-2FD7-4181-ABA1-D15395E1D483}"/>
    <cellStyle name="40% - Accent3 3 3 2 3" xfId="12241" xr:uid="{46C3F0E5-5331-4718-8566-1298DDE97866}"/>
    <cellStyle name="40% - Accent3 3 3 3" xfId="4987" xr:uid="{00000000-0005-0000-0000-00006A050000}"/>
    <cellStyle name="40% - Accent3 3 3 3 2" xfId="14313" xr:uid="{311F108B-0BA2-4E92-833F-E7704BBB6FC0}"/>
    <cellStyle name="40% - Accent3 3 3 4" xfId="9291" xr:uid="{59AB3F6D-A8C6-4A37-A8E3-967850079A77}"/>
    <cellStyle name="40% - Accent3 3 3 4 2" xfId="18606" xr:uid="{1D8D3A53-D3C7-4891-83F5-A87B1DB936F3}"/>
    <cellStyle name="40% - Accent3 3 3 5" xfId="10096" xr:uid="{7D085F26-2556-4496-853B-195349E4C887}"/>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92952A25-94B3-47E1-B902-42E1FE193D78}"/>
    <cellStyle name="40% - Accent3 3 4 2 3" xfId="12654" xr:uid="{B8350CA0-E168-4CB3-99CF-350A964E57A6}"/>
    <cellStyle name="40% - Accent3 3 4 3" xfId="5400" xr:uid="{00000000-0005-0000-0000-00006E050000}"/>
    <cellStyle name="40% - Accent3 3 4 3 2" xfId="14726" xr:uid="{0247EC79-12BF-44EE-9E00-6C63943F4081}"/>
    <cellStyle name="40% - Accent3 3 4 4" xfId="10509" xr:uid="{CC4ADDCD-C292-4831-9E4D-09EFDA69C39B}"/>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1CA7EB48-7540-44BD-8283-A066459C96E9}"/>
    <cellStyle name="40% - Accent3 3 5 2 3" xfId="13067" xr:uid="{5A6BF038-EB64-4588-9BA8-BA699B0F5083}"/>
    <cellStyle name="40% - Accent3 3 5 3" xfId="5813" xr:uid="{00000000-0005-0000-0000-000072050000}"/>
    <cellStyle name="40% - Accent3 3 5 3 2" xfId="15139" xr:uid="{E2B1BFBB-EA15-4734-9B19-BDC76F1891C0}"/>
    <cellStyle name="40% - Accent3 3 5 4" xfId="10922" xr:uid="{43BAF43D-ADD6-4278-A02F-0106B6497E1E}"/>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4EF42F17-A830-438A-ADFF-C24B84101BA7}"/>
    <cellStyle name="40% - Accent3 3 6 2 3" xfId="13480" xr:uid="{FBA27606-E998-416B-9A5B-9C81C6C2BA32}"/>
    <cellStyle name="40% - Accent3 3 6 3" xfId="6226" xr:uid="{00000000-0005-0000-0000-000076050000}"/>
    <cellStyle name="40% - Accent3 3 6 3 2" xfId="15552" xr:uid="{80147F46-2C5E-4B6E-891C-8BE37706D5F3}"/>
    <cellStyle name="40% - Accent3 3 6 4" xfId="11335" xr:uid="{AB284025-EF94-4F45-B770-0DE827A4F4CF}"/>
    <cellStyle name="40% - Accent3 3 7" xfId="2333" xr:uid="{00000000-0005-0000-0000-000077050000}"/>
    <cellStyle name="40% - Accent3 3 7 2" xfId="6639" xr:uid="{00000000-0005-0000-0000-000078050000}"/>
    <cellStyle name="40% - Accent3 3 7 2 2" xfId="15965" xr:uid="{C648305E-E619-4E58-8A3C-512921F4A815}"/>
    <cellStyle name="40% - Accent3 3 7 3" xfId="11748" xr:uid="{7E8E31F2-0015-4DC4-8D61-273CC7F9022E}"/>
    <cellStyle name="40% - Accent3 3 8" xfId="4573" xr:uid="{00000000-0005-0000-0000-000079050000}"/>
    <cellStyle name="40% - Accent3 3 8 2" xfId="13899" xr:uid="{A189DD93-C108-408B-B4DA-EE23AA4C792E}"/>
    <cellStyle name="40% - Accent3 3 9" xfId="8866" xr:uid="{1A1EF43E-4A2B-42A8-98A3-CEC34DD3B00D}"/>
    <cellStyle name="40% - Accent3 3 9 2" xfId="18190" xr:uid="{6B10A753-DB64-4272-9AB0-ABAD800419E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38DC5CF1-C294-4D1A-BF7F-B27CC3F45D5F}"/>
    <cellStyle name="40% - Accent3 4 2 2 3" xfId="12243" xr:uid="{85EAB2EB-11CB-40A7-A7CD-A2C9E461E826}"/>
    <cellStyle name="40% - Accent3 4 2 3" xfId="4989" xr:uid="{00000000-0005-0000-0000-00007E050000}"/>
    <cellStyle name="40% - Accent3 4 2 3 2" xfId="14315" xr:uid="{85CF871A-8599-48CD-8800-08818A594D71}"/>
    <cellStyle name="40% - Accent3 4 2 4" xfId="9377" xr:uid="{F4393833-4E73-4685-9332-CF918D5239A9}"/>
    <cellStyle name="40% - Accent3 4 2 4 2" xfId="18692" xr:uid="{DDD91B50-885A-4960-90C4-07BA058ABF6E}"/>
    <cellStyle name="40% - Accent3 4 2 5" xfId="10098" xr:uid="{A0010ECD-A331-4331-BB80-26CBCC016DB8}"/>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5AC39EA2-D04E-4B93-B8ED-D90C03107AF7}"/>
    <cellStyle name="40% - Accent3 4 3 2 3" xfId="12656" xr:uid="{53918502-A506-420B-A554-71D5837C72D9}"/>
    <cellStyle name="40% - Accent3 4 3 3" xfId="5402" xr:uid="{00000000-0005-0000-0000-000082050000}"/>
    <cellStyle name="40% - Accent3 4 3 3 2" xfId="14728" xr:uid="{0C672931-A19F-4B1A-AE56-770066277D8B}"/>
    <cellStyle name="40% - Accent3 4 3 4" xfId="10511" xr:uid="{117FA142-1F8E-4786-A353-57AD9C3E98A2}"/>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EDBE4EA8-1555-4F63-BEB1-D242FC421590}"/>
    <cellStyle name="40% - Accent3 4 4 2 3" xfId="13069" xr:uid="{A364A4FC-B343-4152-B6EC-3ABA4DA97F01}"/>
    <cellStyle name="40% - Accent3 4 4 3" xfId="5815" xr:uid="{00000000-0005-0000-0000-000086050000}"/>
    <cellStyle name="40% - Accent3 4 4 3 2" xfId="15141" xr:uid="{78A53DD3-1974-47B5-9D61-F1A251AA1FF9}"/>
    <cellStyle name="40% - Accent3 4 4 4" xfId="10924" xr:uid="{D285AEE1-6D9F-47B4-9017-D471A0C10C07}"/>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0E1684CF-09A5-4859-872A-D7207BBCF391}"/>
    <cellStyle name="40% - Accent3 4 5 2 3" xfId="13482" xr:uid="{285F656A-3ABA-4D1D-9867-F37DF1F2FD93}"/>
    <cellStyle name="40% - Accent3 4 5 3" xfId="6228" xr:uid="{00000000-0005-0000-0000-00008A050000}"/>
    <cellStyle name="40% - Accent3 4 5 3 2" xfId="15554" xr:uid="{4A521B8B-3C1C-4515-AE67-9BB6626C27B7}"/>
    <cellStyle name="40% - Accent3 4 5 4" xfId="11337" xr:uid="{94B76439-D0AE-4F22-A433-5E6F43FF3B37}"/>
    <cellStyle name="40% - Accent3 4 6" xfId="2335" xr:uid="{00000000-0005-0000-0000-00008B050000}"/>
    <cellStyle name="40% - Accent3 4 6 2" xfId="6641" xr:uid="{00000000-0005-0000-0000-00008C050000}"/>
    <cellStyle name="40% - Accent3 4 6 2 2" xfId="15967" xr:uid="{F92CF053-9F00-4431-AA09-0B2A9EBD1B8C}"/>
    <cellStyle name="40% - Accent3 4 6 3" xfId="11750" xr:uid="{DA03F6E0-E17C-4487-80BF-BDEA79FE76B6}"/>
    <cellStyle name="40% - Accent3 4 7" xfId="4575" xr:uid="{00000000-0005-0000-0000-00008D050000}"/>
    <cellStyle name="40% - Accent3 4 7 2" xfId="13901" xr:uid="{A842DEC9-CB8B-43D5-BEC2-8110B73C5F96}"/>
    <cellStyle name="40% - Accent3 4 8" xfId="8952" xr:uid="{74BF8F1E-4A34-4787-9BA1-0B97E446635F}"/>
    <cellStyle name="40% - Accent3 4 8 2" xfId="18276" xr:uid="{EF4301CA-6D1E-4A72-B0B8-3D2A8D820724}"/>
    <cellStyle name="40% - Accent3 4 9" xfId="9684" xr:uid="{C5D9E0E9-500A-482B-BC49-3787811C3F67}"/>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AF7282D8-CEA6-4DEE-B4CA-23F113D259B0}"/>
    <cellStyle name="40% - Accent3 5 2 3" xfId="12236" xr:uid="{A2A0CC8D-D310-4C6F-A71F-FA504394D878}"/>
    <cellStyle name="40% - Accent3 5 3" xfId="4982" xr:uid="{00000000-0005-0000-0000-000091050000}"/>
    <cellStyle name="40% - Accent3 5 3 2" xfId="14308" xr:uid="{B73BE137-BD76-4116-B4B4-ABDF8161525A}"/>
    <cellStyle name="40% - Accent3 5 4" xfId="9185" xr:uid="{526F025D-EBF7-4976-9E38-4C0631A2843B}"/>
    <cellStyle name="40% - Accent3 5 4 2" xfId="18503" xr:uid="{B1756A9F-8D61-40C6-A3AB-EF22BDFAA41A}"/>
    <cellStyle name="40% - Accent3 5 5" xfId="10091" xr:uid="{F0D18332-2B24-496E-B2B9-0320D4D608AA}"/>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CF9C5307-76D4-49EC-8C4E-7E29F037862A}"/>
    <cellStyle name="40% - Accent3 6 2 3" xfId="12649" xr:uid="{DBF41EC8-DC14-4704-B413-FAE23DE0DEA5}"/>
    <cellStyle name="40% - Accent3 6 3" xfId="5395" xr:uid="{00000000-0005-0000-0000-000095050000}"/>
    <cellStyle name="40% - Accent3 6 3 2" xfId="14721" xr:uid="{5788F7BD-75CF-4DDD-9A73-BFB31F8F0709}"/>
    <cellStyle name="40% - Accent3 6 4" xfId="10504" xr:uid="{132C7F7D-7D0B-416F-B144-8900070F2B2A}"/>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CE17DFC6-2431-4C82-8FF3-9B335F8985C8}"/>
    <cellStyle name="40% - Accent3 7 2 3" xfId="13062" xr:uid="{CF3CF555-08ED-4472-975C-CFE5CB95DA84}"/>
    <cellStyle name="40% - Accent3 7 3" xfId="5808" xr:uid="{00000000-0005-0000-0000-000099050000}"/>
    <cellStyle name="40% - Accent3 7 3 2" xfId="15134" xr:uid="{F3010769-C3D8-46C4-8185-2D54271408DD}"/>
    <cellStyle name="40% - Accent3 7 4" xfId="10917" xr:uid="{B7B2F556-3078-4511-B6DB-83C8B53423E2}"/>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A4CE3859-67DF-44A3-9E75-302985DCEAE9}"/>
    <cellStyle name="40% - Accent3 8 2 3" xfId="13475" xr:uid="{B78CEF57-7661-4C5D-BAD0-2E54509F4007}"/>
    <cellStyle name="40% - Accent3 8 3" xfId="6221" xr:uid="{00000000-0005-0000-0000-00009D050000}"/>
    <cellStyle name="40% - Accent3 8 3 2" xfId="15547" xr:uid="{BD9D26FB-2130-4DEA-B479-760291A9B6DA}"/>
    <cellStyle name="40% - Accent3 8 4" xfId="11330" xr:uid="{78025279-2A6A-4CE0-A82E-0026B18D92EA}"/>
    <cellStyle name="40% - Accent3 9" xfId="2328" xr:uid="{00000000-0005-0000-0000-00009E050000}"/>
    <cellStyle name="40% - Accent3 9 2" xfId="6634" xr:uid="{00000000-0005-0000-0000-00009F050000}"/>
    <cellStyle name="40% - Accent3 9 2 2" xfId="15960" xr:uid="{5E08881F-5C30-48DC-80D3-7838EE2934AE}"/>
    <cellStyle name="40% - Accent3 9 3" xfId="11743" xr:uid="{0BE3CE6F-92AC-4263-B455-8937D7D8C507}"/>
    <cellStyle name="40% - Accent4" xfId="73" builtinId="43" customBuiltin="1"/>
    <cellStyle name="40% - Accent4 10" xfId="4576" xr:uid="{00000000-0005-0000-0000-0000A1050000}"/>
    <cellStyle name="40% - Accent4 10 2" xfId="13902" xr:uid="{3E900B0C-6470-454B-B5CB-31DA44EC0A52}"/>
    <cellStyle name="40% - Accent4 11" xfId="8765" xr:uid="{18B6B6D6-5043-43D1-BB02-3855BF7027C3}"/>
    <cellStyle name="40% - Accent4 11 2" xfId="18089" xr:uid="{32138F89-E9B9-4DE1-AD89-EC71A0D802E8}"/>
    <cellStyle name="40% - Accent4 12" xfId="9685" xr:uid="{B6EC69DF-DC94-443B-A306-91861D3E4ACE}"/>
    <cellStyle name="40% - Accent4 2" xfId="74" xr:uid="{00000000-0005-0000-0000-0000A2050000}"/>
    <cellStyle name="40% - Accent4 2 10" xfId="8801" xr:uid="{223FCC58-A05E-4022-8080-E75A80678FA6}"/>
    <cellStyle name="40% - Accent4 2 10 2" xfId="18125" xr:uid="{803291F6-7EEA-453B-ABEF-D275955EAD96}"/>
    <cellStyle name="40% - Accent4 2 11" xfId="9686" xr:uid="{26F62351-0E2F-49FD-A68A-6246267527A7}"/>
    <cellStyle name="40% - Accent4 2 2" xfId="75" xr:uid="{00000000-0005-0000-0000-0000A3050000}"/>
    <cellStyle name="40% - Accent4 2 2 10" xfId="9687" xr:uid="{C6D012CE-2C5C-46C1-AAE4-8EB9762D9ACA}"/>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7D68CCF1-0C40-4EE0-9A55-1CB15A3E2608}"/>
    <cellStyle name="40% - Accent4 2 2 2 2 2 3" xfId="12247" xr:uid="{6D1CD75A-706E-4B4E-8BAA-35130CD51C3F}"/>
    <cellStyle name="40% - Accent4 2 2 2 2 3" xfId="4993" xr:uid="{00000000-0005-0000-0000-0000A8050000}"/>
    <cellStyle name="40% - Accent4 2 2 2 2 3 2" xfId="14319" xr:uid="{A8B3C57E-A254-4B87-9623-33726AC0371A}"/>
    <cellStyle name="40% - Accent4 2 2 2 2 4" xfId="9536" xr:uid="{4351D24F-CE30-4CFD-968F-4B882F0FC9B5}"/>
    <cellStyle name="40% - Accent4 2 2 2 2 4 2" xfId="18851" xr:uid="{394B7D74-AB23-4A4D-B7E2-F5B905A00F7A}"/>
    <cellStyle name="40% - Accent4 2 2 2 2 5" xfId="10102" xr:uid="{F1FD0478-9FB9-4155-A582-1ED79BC1BB64}"/>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781A1F90-4260-4C8A-A962-9B3132E4C200}"/>
    <cellStyle name="40% - Accent4 2 2 2 3 2 3" xfId="12660" xr:uid="{F93DEF02-4D76-452A-9FAC-C535DEB7558A}"/>
    <cellStyle name="40% - Accent4 2 2 2 3 3" xfId="5406" xr:uid="{00000000-0005-0000-0000-0000AC050000}"/>
    <cellStyle name="40% - Accent4 2 2 2 3 3 2" xfId="14732" xr:uid="{6573488F-F67D-4DCC-9FBB-84EA72988BAC}"/>
    <cellStyle name="40% - Accent4 2 2 2 3 4" xfId="10515" xr:uid="{B1A0BBCF-70A9-4C8F-9256-29EE07E07204}"/>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3895EB24-1F75-462A-A3F1-A38ABAE6EB4C}"/>
    <cellStyle name="40% - Accent4 2 2 2 4 2 3" xfId="13073" xr:uid="{C6CEA476-B0B0-49F7-8EF5-1C735F273A5D}"/>
    <cellStyle name="40% - Accent4 2 2 2 4 3" xfId="5819" xr:uid="{00000000-0005-0000-0000-0000B0050000}"/>
    <cellStyle name="40% - Accent4 2 2 2 4 3 2" xfId="15145" xr:uid="{44DB382C-A146-4504-83C2-C58675196845}"/>
    <cellStyle name="40% - Accent4 2 2 2 4 4" xfId="10928" xr:uid="{E2C0D99F-F565-4F7B-8F74-C2023A30769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2620466F-5DB5-46F6-9C84-AD513122A57C}"/>
    <cellStyle name="40% - Accent4 2 2 2 5 2 3" xfId="13486" xr:uid="{9D271772-022E-4C2F-B8A1-7E419C6735E0}"/>
    <cellStyle name="40% - Accent4 2 2 2 5 3" xfId="6232" xr:uid="{00000000-0005-0000-0000-0000B4050000}"/>
    <cellStyle name="40% - Accent4 2 2 2 5 3 2" xfId="15558" xr:uid="{835843F9-DDA0-4838-BC3A-7D8C06DBE92A}"/>
    <cellStyle name="40% - Accent4 2 2 2 5 4" xfId="11341" xr:uid="{C28AB167-60F8-4807-9B4B-ECED2D1AD868}"/>
    <cellStyle name="40% - Accent4 2 2 2 6" xfId="2339" xr:uid="{00000000-0005-0000-0000-0000B5050000}"/>
    <cellStyle name="40% - Accent4 2 2 2 6 2" xfId="6645" xr:uid="{00000000-0005-0000-0000-0000B6050000}"/>
    <cellStyle name="40% - Accent4 2 2 2 6 2 2" xfId="15971" xr:uid="{0A89D482-9B18-4B83-82C2-719C038ABB8E}"/>
    <cellStyle name="40% - Accent4 2 2 2 6 3" xfId="11754" xr:uid="{2DCF3D6D-D53B-4878-A321-0DD55F8F1F08}"/>
    <cellStyle name="40% - Accent4 2 2 2 7" xfId="4579" xr:uid="{00000000-0005-0000-0000-0000B7050000}"/>
    <cellStyle name="40% - Accent4 2 2 2 7 2" xfId="13905" xr:uid="{9DF3BC4C-3229-412C-B2F3-3E75B4910CF6}"/>
    <cellStyle name="40% - Accent4 2 2 2 8" xfId="9111" xr:uid="{1DD86F12-0D11-497C-88D9-78D90E1EF65F}"/>
    <cellStyle name="40% - Accent4 2 2 2 8 2" xfId="18435" xr:uid="{D104A9B4-B101-4866-8CFC-BECC2D9ADFFE}"/>
    <cellStyle name="40% - Accent4 2 2 2 9" xfId="9688" xr:uid="{6838543D-9666-4E27-B75C-A2BCD5037D30}"/>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7C355EE7-48E4-4588-8B47-3FE40CE50A63}"/>
    <cellStyle name="40% - Accent4 2 2 3 2 3" xfId="12246" xr:uid="{11BE80EE-1974-416C-8E69-6417077EEA99}"/>
    <cellStyle name="40% - Accent4 2 2 3 3" xfId="4992" xr:uid="{00000000-0005-0000-0000-0000BB050000}"/>
    <cellStyle name="40% - Accent4 2 2 3 3 2" xfId="14318" xr:uid="{3D4F355C-B512-4B7F-8A2D-AC9DC7C77EBC}"/>
    <cellStyle name="40% - Accent4 2 2 3 4" xfId="9329" xr:uid="{62CB3536-9FC4-4DBF-9121-AD0025D891C9}"/>
    <cellStyle name="40% - Accent4 2 2 3 4 2" xfId="18644" xr:uid="{76810343-B650-4795-A99D-68F866EC936F}"/>
    <cellStyle name="40% - Accent4 2 2 3 5" xfId="10101" xr:uid="{5F186ACF-B41B-48C4-8D83-02868A540317}"/>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D82ECC30-2C27-4143-B374-F5E196A41FDB}"/>
    <cellStyle name="40% - Accent4 2 2 4 2 3" xfId="12659" xr:uid="{A3CACC37-654E-45C1-9145-3B49286AE8EC}"/>
    <cellStyle name="40% - Accent4 2 2 4 3" xfId="5405" xr:uid="{00000000-0005-0000-0000-0000BF050000}"/>
    <cellStyle name="40% - Accent4 2 2 4 3 2" xfId="14731" xr:uid="{44581E75-E3B9-479D-AC0C-9ABCD6355512}"/>
    <cellStyle name="40% - Accent4 2 2 4 4" xfId="10514" xr:uid="{DE667092-BBB2-498A-B5DF-E61DA3732824}"/>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DBD1EC5F-9362-4240-AB08-3202817E8B72}"/>
    <cellStyle name="40% - Accent4 2 2 5 2 3" xfId="13072" xr:uid="{429D382D-57EC-48B5-B3A1-3A3CEDEB81E9}"/>
    <cellStyle name="40% - Accent4 2 2 5 3" xfId="5818" xr:uid="{00000000-0005-0000-0000-0000C3050000}"/>
    <cellStyle name="40% - Accent4 2 2 5 3 2" xfId="15144" xr:uid="{ED2EE22F-C768-4691-A8F9-8BBB5C25CA12}"/>
    <cellStyle name="40% - Accent4 2 2 5 4" xfId="10927" xr:uid="{DBBBFC34-3523-4434-89E1-BD7FB681BF8F}"/>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8821C4EE-0991-4B46-8E5F-C678FC293D6D}"/>
    <cellStyle name="40% - Accent4 2 2 6 2 3" xfId="13485" xr:uid="{7B90A941-A26A-4900-94DD-40C916E5FA8A}"/>
    <cellStyle name="40% - Accent4 2 2 6 3" xfId="6231" xr:uid="{00000000-0005-0000-0000-0000C7050000}"/>
    <cellStyle name="40% - Accent4 2 2 6 3 2" xfId="15557" xr:uid="{0F95351E-AB28-4D63-9276-FCAFEB37C492}"/>
    <cellStyle name="40% - Accent4 2 2 6 4" xfId="11340" xr:uid="{958D4B76-260B-4F49-A8D5-FE368CA771A2}"/>
    <cellStyle name="40% - Accent4 2 2 7" xfId="2338" xr:uid="{00000000-0005-0000-0000-0000C8050000}"/>
    <cellStyle name="40% - Accent4 2 2 7 2" xfId="6644" xr:uid="{00000000-0005-0000-0000-0000C9050000}"/>
    <cellStyle name="40% - Accent4 2 2 7 2 2" xfId="15970" xr:uid="{24834FC4-C772-4463-856C-A3F5650DE3FA}"/>
    <cellStyle name="40% - Accent4 2 2 7 3" xfId="11753" xr:uid="{D2C3CBC3-19DB-42CD-A33D-7D0E72267300}"/>
    <cellStyle name="40% - Accent4 2 2 8" xfId="4578" xr:uid="{00000000-0005-0000-0000-0000CA050000}"/>
    <cellStyle name="40% - Accent4 2 2 8 2" xfId="13904" xr:uid="{078A7F7E-F140-44FC-B1E7-D81BEDD8AA7D}"/>
    <cellStyle name="40% - Accent4 2 2 9" xfId="8904" xr:uid="{64C959C5-2FAF-462D-88B6-14B59CDC763B}"/>
    <cellStyle name="40% - Accent4 2 2 9 2" xfId="18228" xr:uid="{D95C06E4-C114-47B2-A5A4-8A84BC57CB7C}"/>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C61AA57C-45F7-4143-8691-8903938E42EF}"/>
    <cellStyle name="40% - Accent4 2 3 2 2 3" xfId="12248" xr:uid="{2C29727F-6215-4DB5-8262-6D85848BB652}"/>
    <cellStyle name="40% - Accent4 2 3 2 3" xfId="4994" xr:uid="{00000000-0005-0000-0000-0000CF050000}"/>
    <cellStyle name="40% - Accent4 2 3 2 3 2" xfId="14320" xr:uid="{2EF746FC-B329-4580-9B7E-77E97003EBC3}"/>
    <cellStyle name="40% - Accent4 2 3 2 4" xfId="9433" xr:uid="{058786D1-7E7D-40D9-9218-B4C7219F4E53}"/>
    <cellStyle name="40% - Accent4 2 3 2 4 2" xfId="18748" xr:uid="{6E4B0F31-1774-442B-A201-B48C02708F03}"/>
    <cellStyle name="40% - Accent4 2 3 2 5" xfId="10103" xr:uid="{F262E255-1E6F-4F61-992C-B1171995D04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5E86BFCB-1228-458E-889F-BBE68038CA41}"/>
    <cellStyle name="40% - Accent4 2 3 3 2 3" xfId="12661" xr:uid="{79130AA2-5CD8-4CD4-8E86-0921D37392DB}"/>
    <cellStyle name="40% - Accent4 2 3 3 3" xfId="5407" xr:uid="{00000000-0005-0000-0000-0000D3050000}"/>
    <cellStyle name="40% - Accent4 2 3 3 3 2" xfId="14733" xr:uid="{D3F51CC7-3436-446F-B6F9-654EB76EB0EC}"/>
    <cellStyle name="40% - Accent4 2 3 3 4" xfId="10516" xr:uid="{DDCABFA8-37AE-41F7-937E-C6DA84B595CA}"/>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A2E7E611-C0EA-4FAA-B1B2-6848E2961A1E}"/>
    <cellStyle name="40% - Accent4 2 3 4 2 3" xfId="13074" xr:uid="{7B749EF5-1AB3-4E55-BC8F-DCC25CBC6A96}"/>
    <cellStyle name="40% - Accent4 2 3 4 3" xfId="5820" xr:uid="{00000000-0005-0000-0000-0000D7050000}"/>
    <cellStyle name="40% - Accent4 2 3 4 3 2" xfId="15146" xr:uid="{7984695C-1CCF-45BD-B6F1-4D0578A4DFFC}"/>
    <cellStyle name="40% - Accent4 2 3 4 4" xfId="10929" xr:uid="{A3F68688-EAE2-4472-AC7C-505059B234D2}"/>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26B9E291-793A-4A1C-8D16-61D08C561A7D}"/>
    <cellStyle name="40% - Accent4 2 3 5 2 3" xfId="13487" xr:uid="{525A9B86-E898-441B-BA9B-5D22118D19C4}"/>
    <cellStyle name="40% - Accent4 2 3 5 3" xfId="6233" xr:uid="{00000000-0005-0000-0000-0000DB050000}"/>
    <cellStyle name="40% - Accent4 2 3 5 3 2" xfId="15559" xr:uid="{654F44FF-01D9-4C33-8A82-D14805B703C1}"/>
    <cellStyle name="40% - Accent4 2 3 5 4" xfId="11342" xr:uid="{0123CCC8-485E-4F45-8609-562AE00E0330}"/>
    <cellStyle name="40% - Accent4 2 3 6" xfId="2340" xr:uid="{00000000-0005-0000-0000-0000DC050000}"/>
    <cellStyle name="40% - Accent4 2 3 6 2" xfId="6646" xr:uid="{00000000-0005-0000-0000-0000DD050000}"/>
    <cellStyle name="40% - Accent4 2 3 6 2 2" xfId="15972" xr:uid="{1EE85DEA-43B7-44BE-AA63-BA58BD71F147}"/>
    <cellStyle name="40% - Accent4 2 3 6 3" xfId="11755" xr:uid="{14BE6B38-69C8-4241-BF0D-1A81E7B17A0C}"/>
    <cellStyle name="40% - Accent4 2 3 7" xfId="4580" xr:uid="{00000000-0005-0000-0000-0000DE050000}"/>
    <cellStyle name="40% - Accent4 2 3 7 2" xfId="13906" xr:uid="{E0035512-E03A-4DC3-92FD-784271438E42}"/>
    <cellStyle name="40% - Accent4 2 3 8" xfId="9008" xr:uid="{270F4CAB-C86F-4D9D-804F-69497913908B}"/>
    <cellStyle name="40% - Accent4 2 3 8 2" xfId="18332" xr:uid="{24E870CA-463F-400C-B854-A9CB758965F3}"/>
    <cellStyle name="40% - Accent4 2 3 9" xfId="9689" xr:uid="{78469F47-857F-478F-8A62-D637EF9E827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CB12848E-2DCC-4D11-8533-EC9765EABB95}"/>
    <cellStyle name="40% - Accent4 2 4 2 3" xfId="12245" xr:uid="{53A58FFF-98B5-40F3-9A11-C47BAA8648F8}"/>
    <cellStyle name="40% - Accent4 2 4 3" xfId="4991" xr:uid="{00000000-0005-0000-0000-0000E2050000}"/>
    <cellStyle name="40% - Accent4 2 4 3 2" xfId="14317" xr:uid="{0624FBD2-A7B0-40D5-B5C8-7B5A1AF6B289}"/>
    <cellStyle name="40% - Accent4 2 4 4" xfId="9225" xr:uid="{40EEB981-54C4-40E4-A2F9-BCD479248D23}"/>
    <cellStyle name="40% - Accent4 2 4 4 2" xfId="18541" xr:uid="{2D822180-3CDD-4C12-AB05-19A41E27B058}"/>
    <cellStyle name="40% - Accent4 2 4 5" xfId="10100" xr:uid="{7C38A61B-A8E7-41BE-A404-4C3749254FB8}"/>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E7A19B50-37B9-4FCE-BF3C-68E644D78632}"/>
    <cellStyle name="40% - Accent4 2 5 2 3" xfId="12658" xr:uid="{51647891-F0BC-469B-A6D4-C85C55F1CCEA}"/>
    <cellStyle name="40% - Accent4 2 5 3" xfId="5404" xr:uid="{00000000-0005-0000-0000-0000E6050000}"/>
    <cellStyle name="40% - Accent4 2 5 3 2" xfId="14730" xr:uid="{D71A4E35-DE41-4E93-A7FE-8C429F134C2F}"/>
    <cellStyle name="40% - Accent4 2 5 4" xfId="10513" xr:uid="{759449AE-11FC-4BB1-B89D-673E274F3CA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7E8BDADE-FEAA-4874-AFF8-A04A4481DEA9}"/>
    <cellStyle name="40% - Accent4 2 6 2 3" xfId="13071" xr:uid="{4F717AB6-AA7D-4692-9153-AD5411857291}"/>
    <cellStyle name="40% - Accent4 2 6 3" xfId="5817" xr:uid="{00000000-0005-0000-0000-0000EA050000}"/>
    <cellStyle name="40% - Accent4 2 6 3 2" xfId="15143" xr:uid="{789E6E78-B6D7-4F4F-A620-02A021FB15D8}"/>
    <cellStyle name="40% - Accent4 2 6 4" xfId="10926" xr:uid="{F940C1BD-932D-4D4B-B0BD-25100D981316}"/>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E1822797-14F5-4203-B2E3-B31DB9727F1C}"/>
    <cellStyle name="40% - Accent4 2 7 2 3" xfId="13484" xr:uid="{5E11F04D-8381-43B6-BC34-851925BE2240}"/>
    <cellStyle name="40% - Accent4 2 7 3" xfId="6230" xr:uid="{00000000-0005-0000-0000-0000EE050000}"/>
    <cellStyle name="40% - Accent4 2 7 3 2" xfId="15556" xr:uid="{8831CD5B-285D-4753-A3AD-21DED12ED312}"/>
    <cellStyle name="40% - Accent4 2 7 4" xfId="11339" xr:uid="{98E27B5D-0498-4163-B932-2DA3954047B6}"/>
    <cellStyle name="40% - Accent4 2 8" xfId="2337" xr:uid="{00000000-0005-0000-0000-0000EF050000}"/>
    <cellStyle name="40% - Accent4 2 8 2" xfId="6643" xr:uid="{00000000-0005-0000-0000-0000F0050000}"/>
    <cellStyle name="40% - Accent4 2 8 2 2" xfId="15969" xr:uid="{0B6ED212-7310-4CE1-9D10-12137F99A490}"/>
    <cellStyle name="40% - Accent4 2 8 3" xfId="11752" xr:uid="{998C63F4-BFC2-491F-A592-8F82400BC7B6}"/>
    <cellStyle name="40% - Accent4 2 9" xfId="4577" xr:uid="{00000000-0005-0000-0000-0000F1050000}"/>
    <cellStyle name="40% - Accent4 2 9 2" xfId="13903" xr:uid="{FB60DDF2-4113-4DCD-8233-44CD36B99830}"/>
    <cellStyle name="40% - Accent4 3" xfId="78" xr:uid="{00000000-0005-0000-0000-0000F2050000}"/>
    <cellStyle name="40% - Accent4 3 10" xfId="9690" xr:uid="{1CD31F16-C422-4B86-A12A-9F9C1E7F1267}"/>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EBE8EBB4-14B3-4EE4-9F57-BF283C233511}"/>
    <cellStyle name="40% - Accent4 3 2 2 2 3" xfId="12250" xr:uid="{CA0EC4F7-A0BF-4C2A-841B-DA38ECD88C68}"/>
    <cellStyle name="40% - Accent4 3 2 2 3" xfId="4996" xr:uid="{00000000-0005-0000-0000-0000F7050000}"/>
    <cellStyle name="40% - Accent4 3 2 2 3 2" xfId="14322" xr:uid="{7FFD692B-6876-4AF8-AFF1-77221412D7C4}"/>
    <cellStyle name="40% - Accent4 3 2 2 4" xfId="9500" xr:uid="{EAAAC99F-A3A1-40FB-B78D-6862EF121B7A}"/>
    <cellStyle name="40% - Accent4 3 2 2 4 2" xfId="18815" xr:uid="{4425A7D1-CAD7-455B-BB5F-B3276F66B616}"/>
    <cellStyle name="40% - Accent4 3 2 2 5" xfId="10105" xr:uid="{A0A139E4-FD48-485F-ABFC-07E8EE0EC045}"/>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BDE360CF-2978-4048-AC2D-A779560C94B7}"/>
    <cellStyle name="40% - Accent4 3 2 3 2 3" xfId="12663" xr:uid="{8B16A33D-0187-4964-8AFF-1749B8032ACE}"/>
    <cellStyle name="40% - Accent4 3 2 3 3" xfId="5409" xr:uid="{00000000-0005-0000-0000-0000FB050000}"/>
    <cellStyle name="40% - Accent4 3 2 3 3 2" xfId="14735" xr:uid="{A10F4D6E-2051-4470-B08F-891518B98A9A}"/>
    <cellStyle name="40% - Accent4 3 2 3 4" xfId="10518" xr:uid="{C4249BC1-8938-40C6-9063-D77DF383BC2A}"/>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3E2C2F79-8B7A-4BFF-99D5-A1C12028D01B}"/>
    <cellStyle name="40% - Accent4 3 2 4 2 3" xfId="13076" xr:uid="{AA584EA9-54F5-47A8-B50D-6B36EB32A8DF}"/>
    <cellStyle name="40% - Accent4 3 2 4 3" xfId="5822" xr:uid="{00000000-0005-0000-0000-0000FF050000}"/>
    <cellStyle name="40% - Accent4 3 2 4 3 2" xfId="15148" xr:uid="{52F26A47-45A5-4329-80F7-09501F507718}"/>
    <cellStyle name="40% - Accent4 3 2 4 4" xfId="10931" xr:uid="{4DEA520C-F238-487A-9472-F962323A703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C0A2425B-3B78-4DA0-A3CD-E482A86D7885}"/>
    <cellStyle name="40% - Accent4 3 2 5 2 3" xfId="13489" xr:uid="{D46137BE-09C4-4E4D-8651-E8D41D5A5E94}"/>
    <cellStyle name="40% - Accent4 3 2 5 3" xfId="6235" xr:uid="{00000000-0005-0000-0000-000003060000}"/>
    <cellStyle name="40% - Accent4 3 2 5 3 2" xfId="15561" xr:uid="{DA81A721-5DF2-46CE-9FD6-DF2E867C9E52}"/>
    <cellStyle name="40% - Accent4 3 2 5 4" xfId="11344" xr:uid="{762D681D-9111-4A76-A5A3-C8E8C5930D6E}"/>
    <cellStyle name="40% - Accent4 3 2 6" xfId="2342" xr:uid="{00000000-0005-0000-0000-000004060000}"/>
    <cellStyle name="40% - Accent4 3 2 6 2" xfId="6648" xr:uid="{00000000-0005-0000-0000-000005060000}"/>
    <cellStyle name="40% - Accent4 3 2 6 2 2" xfId="15974" xr:uid="{B3B62A5A-CBCB-459B-B4F4-EBEFD7928361}"/>
    <cellStyle name="40% - Accent4 3 2 6 3" xfId="11757" xr:uid="{ADE6484F-EEFF-4C92-BF26-39F024E532D5}"/>
    <cellStyle name="40% - Accent4 3 2 7" xfId="4582" xr:uid="{00000000-0005-0000-0000-000006060000}"/>
    <cellStyle name="40% - Accent4 3 2 7 2" xfId="13908" xr:uid="{64F9BCC2-701B-47A2-BE13-BD98C55D8076}"/>
    <cellStyle name="40% - Accent4 3 2 8" xfId="9075" xr:uid="{6C51FF47-5618-4E1E-BC97-01FFF287A6C3}"/>
    <cellStyle name="40% - Accent4 3 2 8 2" xfId="18399" xr:uid="{C6D6FD0F-F4AF-46B4-B82B-AA73EEF86557}"/>
    <cellStyle name="40% - Accent4 3 2 9" xfId="9691" xr:uid="{2D552E6D-49D6-4488-81D6-0A9B527A0441}"/>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B8D77008-7B51-41EC-B3E7-1EA9D34CB215}"/>
    <cellStyle name="40% - Accent4 3 3 2 3" xfId="12249" xr:uid="{8A75A6A8-58BF-4238-AC5E-65BAEE61D65F}"/>
    <cellStyle name="40% - Accent4 3 3 3" xfId="4995" xr:uid="{00000000-0005-0000-0000-00000A060000}"/>
    <cellStyle name="40% - Accent4 3 3 3 2" xfId="14321" xr:uid="{7ECAE9FB-2261-4C71-9193-7BDF4BF9920F}"/>
    <cellStyle name="40% - Accent4 3 3 4" xfId="9293" xr:uid="{4A28D7F5-3617-45DC-A350-6C6596CDA765}"/>
    <cellStyle name="40% - Accent4 3 3 4 2" xfId="18608" xr:uid="{7C0A95AB-45ED-4669-AD1B-5998D4DC15AB}"/>
    <cellStyle name="40% - Accent4 3 3 5" xfId="10104" xr:uid="{EEEB9CA7-5EBE-4C05-A3EC-C7FB0D21F4E2}"/>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6C51D909-4567-4B11-930F-1EB6E01615F4}"/>
    <cellStyle name="40% - Accent4 3 4 2 3" xfId="12662" xr:uid="{FB6690B0-2F27-415E-B709-0ED504C485FE}"/>
    <cellStyle name="40% - Accent4 3 4 3" xfId="5408" xr:uid="{00000000-0005-0000-0000-00000E060000}"/>
    <cellStyle name="40% - Accent4 3 4 3 2" xfId="14734" xr:uid="{002E5183-E02B-495B-976E-5D6AC46115AD}"/>
    <cellStyle name="40% - Accent4 3 4 4" xfId="10517" xr:uid="{153AB799-5DD9-42ED-BCF5-99D7958AB842}"/>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A1D300E2-1A73-4BA3-9066-9265AE8BAEA8}"/>
    <cellStyle name="40% - Accent4 3 5 2 3" xfId="13075" xr:uid="{EE3A2E59-74BF-4CA2-8037-6BC735F1279C}"/>
    <cellStyle name="40% - Accent4 3 5 3" xfId="5821" xr:uid="{00000000-0005-0000-0000-000012060000}"/>
    <cellStyle name="40% - Accent4 3 5 3 2" xfId="15147" xr:uid="{A9293ADF-659C-492F-98B0-EC48D220A672}"/>
    <cellStyle name="40% - Accent4 3 5 4" xfId="10930" xr:uid="{E0E61AFB-DFC5-4275-A7E1-C4C570CBCFBE}"/>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52D84CD1-A33B-4A02-B059-A1091362D71C}"/>
    <cellStyle name="40% - Accent4 3 6 2 3" xfId="13488" xr:uid="{04819078-9274-4CEC-98E8-C9744B82D12D}"/>
    <cellStyle name="40% - Accent4 3 6 3" xfId="6234" xr:uid="{00000000-0005-0000-0000-000016060000}"/>
    <cellStyle name="40% - Accent4 3 6 3 2" xfId="15560" xr:uid="{C0DFF5BA-0802-4DD7-8CF3-8BF4A3F5BE7F}"/>
    <cellStyle name="40% - Accent4 3 6 4" xfId="11343" xr:uid="{FBBD3835-EF6A-448C-B513-386E9349BF6B}"/>
    <cellStyle name="40% - Accent4 3 7" xfId="2341" xr:uid="{00000000-0005-0000-0000-000017060000}"/>
    <cellStyle name="40% - Accent4 3 7 2" xfId="6647" xr:uid="{00000000-0005-0000-0000-000018060000}"/>
    <cellStyle name="40% - Accent4 3 7 2 2" xfId="15973" xr:uid="{DE7C7276-2632-44BF-9B95-EAD30C9CFD3C}"/>
    <cellStyle name="40% - Accent4 3 7 3" xfId="11756" xr:uid="{6D592018-23AA-4287-86DF-ED475DC1B496}"/>
    <cellStyle name="40% - Accent4 3 8" xfId="4581" xr:uid="{00000000-0005-0000-0000-000019060000}"/>
    <cellStyle name="40% - Accent4 3 8 2" xfId="13907" xr:uid="{E865B035-69B5-40EA-85C6-44BF33B00371}"/>
    <cellStyle name="40% - Accent4 3 9" xfId="8868" xr:uid="{538D9F50-ACCA-4DB0-A3F1-A129ACFFA0BF}"/>
    <cellStyle name="40% - Accent4 3 9 2" xfId="18192" xr:uid="{0D9BE718-EAF6-4085-9AB8-4E17999C464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F68DAFBB-5829-4AE9-8640-9AD2BC29D20B}"/>
    <cellStyle name="40% - Accent4 4 2 2 3" xfId="12251" xr:uid="{7AA5FA02-66C5-4D25-8E15-E9F9655D24A6}"/>
    <cellStyle name="40% - Accent4 4 2 3" xfId="4997" xr:uid="{00000000-0005-0000-0000-00001E060000}"/>
    <cellStyle name="40% - Accent4 4 2 3 2" xfId="14323" xr:uid="{45AFE87D-088B-48F6-BFEB-ADA80D6DEB9A}"/>
    <cellStyle name="40% - Accent4 4 2 4" xfId="9379" xr:uid="{EE31EAE0-1741-4D6E-B7B4-C5DB59044F55}"/>
    <cellStyle name="40% - Accent4 4 2 4 2" xfId="18694" xr:uid="{B6349F60-A951-46B4-A406-5DE1AE072F46}"/>
    <cellStyle name="40% - Accent4 4 2 5" xfId="10106" xr:uid="{436BE9B0-DD3E-4984-8A91-F44675FC0F27}"/>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AFDDD6C3-99CF-4F23-A8AB-4E4DC24FAC97}"/>
    <cellStyle name="40% - Accent4 4 3 2 3" xfId="12664" xr:uid="{870D0A2F-1894-4B4A-B737-35FE2A1356A0}"/>
    <cellStyle name="40% - Accent4 4 3 3" xfId="5410" xr:uid="{00000000-0005-0000-0000-000022060000}"/>
    <cellStyle name="40% - Accent4 4 3 3 2" xfId="14736" xr:uid="{4CCB2904-B94E-4F0F-82BD-100DDE182076}"/>
    <cellStyle name="40% - Accent4 4 3 4" xfId="10519" xr:uid="{B23B4B18-5EBC-4BFC-BDD7-BD5699BC722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8F99E0AA-8DED-40B3-8E36-9D1D89865544}"/>
    <cellStyle name="40% - Accent4 4 4 2 3" xfId="13077" xr:uid="{0C019214-2160-414F-92E6-4130B94FD22B}"/>
    <cellStyle name="40% - Accent4 4 4 3" xfId="5823" xr:uid="{00000000-0005-0000-0000-000026060000}"/>
    <cellStyle name="40% - Accent4 4 4 3 2" xfId="15149" xr:uid="{5091E96A-4AD2-48C8-9D22-A34590B8DBA8}"/>
    <cellStyle name="40% - Accent4 4 4 4" xfId="10932" xr:uid="{80850759-E0E2-4E24-AC96-734EE6AC06E9}"/>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1F51D5BF-28F6-47BC-93A5-652CCBBEAD58}"/>
    <cellStyle name="40% - Accent4 4 5 2 3" xfId="13490" xr:uid="{6F4BDDC8-8E5A-437B-A70F-A73090EA21EF}"/>
    <cellStyle name="40% - Accent4 4 5 3" xfId="6236" xr:uid="{00000000-0005-0000-0000-00002A060000}"/>
    <cellStyle name="40% - Accent4 4 5 3 2" xfId="15562" xr:uid="{897CE29E-607A-4253-BD44-A5B2CD10F471}"/>
    <cellStyle name="40% - Accent4 4 5 4" xfId="11345" xr:uid="{7C316507-8CBC-460C-BF87-DC546222DFD1}"/>
    <cellStyle name="40% - Accent4 4 6" xfId="2343" xr:uid="{00000000-0005-0000-0000-00002B060000}"/>
    <cellStyle name="40% - Accent4 4 6 2" xfId="6649" xr:uid="{00000000-0005-0000-0000-00002C060000}"/>
    <cellStyle name="40% - Accent4 4 6 2 2" xfId="15975" xr:uid="{A8A5DD05-1A6B-4D8F-B22F-744036159B9A}"/>
    <cellStyle name="40% - Accent4 4 6 3" xfId="11758" xr:uid="{F9DB9194-964D-42F1-A9AD-26ED1225293F}"/>
    <cellStyle name="40% - Accent4 4 7" xfId="4583" xr:uid="{00000000-0005-0000-0000-00002D060000}"/>
    <cellStyle name="40% - Accent4 4 7 2" xfId="13909" xr:uid="{0CB1498C-3E26-4EC6-AEFA-FDD1537B6444}"/>
    <cellStyle name="40% - Accent4 4 8" xfId="8954" xr:uid="{2C178683-58B3-4513-85E7-15FAC3AC035D}"/>
    <cellStyle name="40% - Accent4 4 8 2" xfId="18278" xr:uid="{ACAB1C35-84F6-4B8F-BAFF-388A3105DF8D}"/>
    <cellStyle name="40% - Accent4 4 9" xfId="9692" xr:uid="{C7B10EAC-8937-4960-8628-7F7E120F8D7C}"/>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FEE3F511-617C-4811-A9DB-FDD4492E3A90}"/>
    <cellStyle name="40% - Accent4 5 2 3" xfId="12244" xr:uid="{D86D7ACD-5B10-4835-B3E0-5214AA14A4D4}"/>
    <cellStyle name="40% - Accent4 5 3" xfId="4990" xr:uid="{00000000-0005-0000-0000-000031060000}"/>
    <cellStyle name="40% - Accent4 5 3 2" xfId="14316" xr:uid="{28C6EA5E-21CA-43E8-BF57-75D4D4AA9909}"/>
    <cellStyle name="40% - Accent4 5 4" xfId="9187" xr:uid="{33022C89-0CDD-4091-8005-358F63FF8F46}"/>
    <cellStyle name="40% - Accent4 5 4 2" xfId="18505" xr:uid="{52391756-1169-49DA-B044-FDE418DAF996}"/>
    <cellStyle name="40% - Accent4 5 5" xfId="10099" xr:uid="{C9E185D9-826A-464E-8683-F7B2ADA49447}"/>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B2301E8E-C49E-4CE0-9CAD-BFB4A7995364}"/>
    <cellStyle name="40% - Accent4 6 2 3" xfId="12657" xr:uid="{151ECD9E-C61B-4DA9-89D2-944444FA9FA3}"/>
    <cellStyle name="40% - Accent4 6 3" xfId="5403" xr:uid="{00000000-0005-0000-0000-000035060000}"/>
    <cellStyle name="40% - Accent4 6 3 2" xfId="14729" xr:uid="{33314197-8307-4CE0-8520-FE00D99A3C88}"/>
    <cellStyle name="40% - Accent4 6 4" xfId="10512" xr:uid="{FA94958E-6DC7-4145-8AC6-BAC8CF7C4E69}"/>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BBA7943C-9331-429A-AA8E-F6B3F63E5DA2}"/>
    <cellStyle name="40% - Accent4 7 2 3" xfId="13070" xr:uid="{D399348C-514C-4234-9764-0385D905CB73}"/>
    <cellStyle name="40% - Accent4 7 3" xfId="5816" xr:uid="{00000000-0005-0000-0000-000039060000}"/>
    <cellStyle name="40% - Accent4 7 3 2" xfId="15142" xr:uid="{2A1199F0-C096-4EB5-85B1-187BA1A1C1D7}"/>
    <cellStyle name="40% - Accent4 7 4" xfId="10925" xr:uid="{5270BFCF-4F49-4E56-8644-D8165EE9D41D}"/>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C7E8BAC6-43DB-42CD-AC01-FF924D7B722F}"/>
    <cellStyle name="40% - Accent4 8 2 3" xfId="13483" xr:uid="{03FFC28B-14AC-4FF3-AD12-71D36A962210}"/>
    <cellStyle name="40% - Accent4 8 3" xfId="6229" xr:uid="{00000000-0005-0000-0000-00003D060000}"/>
    <cellStyle name="40% - Accent4 8 3 2" xfId="15555" xr:uid="{4773CCBC-0E30-4AAA-8024-EDBE7DEF8819}"/>
    <cellStyle name="40% - Accent4 8 4" xfId="11338" xr:uid="{FAF47F81-584D-49BE-BC15-DEED2C5CE573}"/>
    <cellStyle name="40% - Accent4 9" xfId="2336" xr:uid="{00000000-0005-0000-0000-00003E060000}"/>
    <cellStyle name="40% - Accent4 9 2" xfId="6642" xr:uid="{00000000-0005-0000-0000-00003F060000}"/>
    <cellStyle name="40% - Accent4 9 2 2" xfId="15968" xr:uid="{D1BB32E2-3237-41A5-93DD-531562041149}"/>
    <cellStyle name="40% - Accent4 9 3" xfId="11751" xr:uid="{08EEA826-99EC-4476-A7BA-BF86E859CA86}"/>
    <cellStyle name="40% - Accent5" xfId="81" builtinId="47" customBuiltin="1"/>
    <cellStyle name="40% - Accent5 10" xfId="4584" xr:uid="{00000000-0005-0000-0000-000041060000}"/>
    <cellStyle name="40% - Accent5 10 2" xfId="13910" xr:uid="{597F24DC-B76B-40AD-B1FB-3860A17FE3FE}"/>
    <cellStyle name="40% - Accent5 11" xfId="8767" xr:uid="{7A46ADF8-3420-4D4A-A3FE-8E96F0FA38E7}"/>
    <cellStyle name="40% - Accent5 11 2" xfId="18091" xr:uid="{1DE363FE-4F26-4CBD-93AF-AE9B09AE61FB}"/>
    <cellStyle name="40% - Accent5 12" xfId="9693" xr:uid="{AA8EEA9A-E8A3-4AEE-9BB9-B953592A7C9E}"/>
    <cellStyle name="40% - Accent5 2" xfId="82" xr:uid="{00000000-0005-0000-0000-000042060000}"/>
    <cellStyle name="40% - Accent5 2 10" xfId="8802" xr:uid="{CF9BFF45-99AC-47A3-8B01-051C55FBB24D}"/>
    <cellStyle name="40% - Accent5 2 10 2" xfId="18126" xr:uid="{FD1A3333-3A82-4632-A27E-2A02B22B87E9}"/>
    <cellStyle name="40% - Accent5 2 11" xfId="9694" xr:uid="{B806E770-A1E6-4500-AE1D-3311AA7DA3E6}"/>
    <cellStyle name="40% - Accent5 2 2" xfId="83" xr:uid="{00000000-0005-0000-0000-000043060000}"/>
    <cellStyle name="40% - Accent5 2 2 10" xfId="9695" xr:uid="{2B8F24E9-DFD7-4EF7-B866-3636656676AF}"/>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ACDB2E46-479F-46FA-B83A-2A39761D1EA5}"/>
    <cellStyle name="40% - Accent5 2 2 2 2 2 3" xfId="12255" xr:uid="{BCD03A7A-5A2D-469A-9F28-5F2941F5F025}"/>
    <cellStyle name="40% - Accent5 2 2 2 2 3" xfId="5001" xr:uid="{00000000-0005-0000-0000-000048060000}"/>
    <cellStyle name="40% - Accent5 2 2 2 2 3 2" xfId="14327" xr:uid="{205955B8-B94C-4B3F-BCF7-F8CF7AFD227E}"/>
    <cellStyle name="40% - Accent5 2 2 2 2 4" xfId="9537" xr:uid="{83834145-5D3F-4083-A609-6DB90651C4CE}"/>
    <cellStyle name="40% - Accent5 2 2 2 2 4 2" xfId="18852" xr:uid="{1CBE2931-A526-4F9F-9DC7-2206685F2EFC}"/>
    <cellStyle name="40% - Accent5 2 2 2 2 5" xfId="10110" xr:uid="{3B7EBCD9-3BF5-4D33-8334-5408BD5BCBBD}"/>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AF0CEB79-9731-4B6C-ADAE-29EC9CB4F6DA}"/>
    <cellStyle name="40% - Accent5 2 2 2 3 2 3" xfId="12668" xr:uid="{DA412E7B-68B6-48A0-848B-FAE55942512D}"/>
    <cellStyle name="40% - Accent5 2 2 2 3 3" xfId="5414" xr:uid="{00000000-0005-0000-0000-00004C060000}"/>
    <cellStyle name="40% - Accent5 2 2 2 3 3 2" xfId="14740" xr:uid="{6581FA72-2C65-45AF-A890-A1D15DA414F2}"/>
    <cellStyle name="40% - Accent5 2 2 2 3 4" xfId="10523" xr:uid="{5C1EAA3E-08EA-4CCB-B5F1-F306EE931EC3}"/>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1F5D97ED-333B-4028-8166-3DE29CA09FA1}"/>
    <cellStyle name="40% - Accent5 2 2 2 4 2 3" xfId="13081" xr:uid="{AC2E5DDC-61E0-42A1-84EC-9AC65797BFF0}"/>
    <cellStyle name="40% - Accent5 2 2 2 4 3" xfId="5827" xr:uid="{00000000-0005-0000-0000-000050060000}"/>
    <cellStyle name="40% - Accent5 2 2 2 4 3 2" xfId="15153" xr:uid="{56CDAA5C-47A5-42BF-868E-867243CD0D7A}"/>
    <cellStyle name="40% - Accent5 2 2 2 4 4" xfId="10936" xr:uid="{C36F2AEA-D6FF-4229-8202-8135F8F27644}"/>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FC02280B-5241-4E0A-8446-BDE1CF264B98}"/>
    <cellStyle name="40% - Accent5 2 2 2 5 2 3" xfId="13494" xr:uid="{4C073362-B661-451E-8AB7-2D6791970ED9}"/>
    <cellStyle name="40% - Accent5 2 2 2 5 3" xfId="6240" xr:uid="{00000000-0005-0000-0000-000054060000}"/>
    <cellStyle name="40% - Accent5 2 2 2 5 3 2" xfId="15566" xr:uid="{34AE8AE2-37E4-4B09-AE6C-6D3002965FFD}"/>
    <cellStyle name="40% - Accent5 2 2 2 5 4" xfId="11349" xr:uid="{739B837A-7798-494A-AFFD-FDF34023B610}"/>
    <cellStyle name="40% - Accent5 2 2 2 6" xfId="2347" xr:uid="{00000000-0005-0000-0000-000055060000}"/>
    <cellStyle name="40% - Accent5 2 2 2 6 2" xfId="6653" xr:uid="{00000000-0005-0000-0000-000056060000}"/>
    <cellStyle name="40% - Accent5 2 2 2 6 2 2" xfId="15979" xr:uid="{6F67C95B-8F23-4EE5-879E-8EE01B6C6EE5}"/>
    <cellStyle name="40% - Accent5 2 2 2 6 3" xfId="11762" xr:uid="{642DEE88-BBD6-417F-BF85-31588B3CA672}"/>
    <cellStyle name="40% - Accent5 2 2 2 7" xfId="4587" xr:uid="{00000000-0005-0000-0000-000057060000}"/>
    <cellStyle name="40% - Accent5 2 2 2 7 2" xfId="13913" xr:uid="{6069A33C-1A3E-462C-815F-F4288F756447}"/>
    <cellStyle name="40% - Accent5 2 2 2 8" xfId="9112" xr:uid="{65D0CC40-E9D0-4CE3-B684-8DE4A2C7BCD7}"/>
    <cellStyle name="40% - Accent5 2 2 2 8 2" xfId="18436" xr:uid="{B809ED76-5308-4C1A-AD33-CC53F9227BDA}"/>
    <cellStyle name="40% - Accent5 2 2 2 9" xfId="9696" xr:uid="{64FAFD6F-D09D-42FF-B867-84ED3EA12E43}"/>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D29420F1-2B72-4AFF-87F4-BD8CB5A6566B}"/>
    <cellStyle name="40% - Accent5 2 2 3 2 3" xfId="12254" xr:uid="{758AB479-00FD-4712-B406-8CEF7A511819}"/>
    <cellStyle name="40% - Accent5 2 2 3 3" xfId="5000" xr:uid="{00000000-0005-0000-0000-00005B060000}"/>
    <cellStyle name="40% - Accent5 2 2 3 3 2" xfId="14326" xr:uid="{F417ECE3-1701-4DD7-B775-13E7498FB164}"/>
    <cellStyle name="40% - Accent5 2 2 3 4" xfId="9330" xr:uid="{75959B30-FD84-42A5-95AE-69048CCC8361}"/>
    <cellStyle name="40% - Accent5 2 2 3 4 2" xfId="18645" xr:uid="{8B37890E-FABD-4CE1-9079-FB31CEB66B7A}"/>
    <cellStyle name="40% - Accent5 2 2 3 5" xfId="10109" xr:uid="{1B350735-7504-4A6F-8477-E5E4B4693F4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08C90AE7-1021-47CF-BD51-B5B15D1694C3}"/>
    <cellStyle name="40% - Accent5 2 2 4 2 3" xfId="12667" xr:uid="{A51418EC-0E7D-4D2D-AC11-60E0D1E658DF}"/>
    <cellStyle name="40% - Accent5 2 2 4 3" xfId="5413" xr:uid="{00000000-0005-0000-0000-00005F060000}"/>
    <cellStyle name="40% - Accent5 2 2 4 3 2" xfId="14739" xr:uid="{261917B2-8127-4970-A864-CF4786542699}"/>
    <cellStyle name="40% - Accent5 2 2 4 4" xfId="10522" xr:uid="{1F204B4C-EA26-487A-8CE1-3A5C0BCFC079}"/>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2C85F72E-F63E-40B2-8AC8-84FDF3EC4336}"/>
    <cellStyle name="40% - Accent5 2 2 5 2 3" xfId="13080" xr:uid="{28AE45D0-7302-4319-8B4F-2A09645367BD}"/>
    <cellStyle name="40% - Accent5 2 2 5 3" xfId="5826" xr:uid="{00000000-0005-0000-0000-000063060000}"/>
    <cellStyle name="40% - Accent5 2 2 5 3 2" xfId="15152" xr:uid="{0FA09EF4-8184-4E49-A6DE-FECD3D86763C}"/>
    <cellStyle name="40% - Accent5 2 2 5 4" xfId="10935" xr:uid="{74BF1EE9-EFC3-4970-805A-620DA4970C6C}"/>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636ECF3A-98D4-448D-961A-9BB9B58A337B}"/>
    <cellStyle name="40% - Accent5 2 2 6 2 3" xfId="13493" xr:uid="{2428CBD6-A9DD-4393-92A6-D379AD68A42E}"/>
    <cellStyle name="40% - Accent5 2 2 6 3" xfId="6239" xr:uid="{00000000-0005-0000-0000-000067060000}"/>
    <cellStyle name="40% - Accent5 2 2 6 3 2" xfId="15565" xr:uid="{3E0C5A7D-9018-44E0-A0AA-F1AD4F2D8D0C}"/>
    <cellStyle name="40% - Accent5 2 2 6 4" xfId="11348" xr:uid="{D757BE88-408B-4CCC-9207-82E31AE053CB}"/>
    <cellStyle name="40% - Accent5 2 2 7" xfId="2346" xr:uid="{00000000-0005-0000-0000-000068060000}"/>
    <cellStyle name="40% - Accent5 2 2 7 2" xfId="6652" xr:uid="{00000000-0005-0000-0000-000069060000}"/>
    <cellStyle name="40% - Accent5 2 2 7 2 2" xfId="15978" xr:uid="{5A61E5EE-92CA-4664-AEAC-E8D7A30016AE}"/>
    <cellStyle name="40% - Accent5 2 2 7 3" xfId="11761" xr:uid="{F59B062B-A921-4B51-992A-3409272A42F7}"/>
    <cellStyle name="40% - Accent5 2 2 8" xfId="4586" xr:uid="{00000000-0005-0000-0000-00006A060000}"/>
    <cellStyle name="40% - Accent5 2 2 8 2" xfId="13912" xr:uid="{9996B05E-239B-4FA7-9A45-66385C0129C9}"/>
    <cellStyle name="40% - Accent5 2 2 9" xfId="8905" xr:uid="{3B48B2AE-2C2B-47FB-A8F4-43FECCDBCFEF}"/>
    <cellStyle name="40% - Accent5 2 2 9 2" xfId="18229" xr:uid="{E7D3806A-4ED1-4AD0-BB60-B61E26B934BE}"/>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AD585A28-D6F0-46B2-B86B-03767B3F2274}"/>
    <cellStyle name="40% - Accent5 2 3 2 2 3" xfId="12256" xr:uid="{4059A6EC-9568-4D57-96B5-CF25C1E4099E}"/>
    <cellStyle name="40% - Accent5 2 3 2 3" xfId="5002" xr:uid="{00000000-0005-0000-0000-00006F060000}"/>
    <cellStyle name="40% - Accent5 2 3 2 3 2" xfId="14328" xr:uid="{356365A5-0B28-47CA-8C1D-DF628B4925F5}"/>
    <cellStyle name="40% - Accent5 2 3 2 4" xfId="9434" xr:uid="{512EAA64-F150-4B15-8534-EB34D6D41408}"/>
    <cellStyle name="40% - Accent5 2 3 2 4 2" xfId="18749" xr:uid="{ADBC8E1A-6B52-48C2-AA8F-7C848723EB88}"/>
    <cellStyle name="40% - Accent5 2 3 2 5" xfId="10111" xr:uid="{554553B2-08EE-48F5-826D-FFAF61FF5164}"/>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EE640C87-7F58-4E07-BDDE-489CE0C586E7}"/>
    <cellStyle name="40% - Accent5 2 3 3 2 3" xfId="12669" xr:uid="{DC548341-944A-4810-849B-BFDB78EA2734}"/>
    <cellStyle name="40% - Accent5 2 3 3 3" xfId="5415" xr:uid="{00000000-0005-0000-0000-000073060000}"/>
    <cellStyle name="40% - Accent5 2 3 3 3 2" xfId="14741" xr:uid="{19849B72-BB5D-47D1-8E9E-D63893BB802A}"/>
    <cellStyle name="40% - Accent5 2 3 3 4" xfId="10524" xr:uid="{2E69EBEA-F5A5-4277-B186-A697A061B8E1}"/>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D31AF4A9-218D-4834-87B5-41F908B4B124}"/>
    <cellStyle name="40% - Accent5 2 3 4 2 3" xfId="13082" xr:uid="{C4ECFF18-B22E-4B0E-A97B-74CEC3743CBF}"/>
    <cellStyle name="40% - Accent5 2 3 4 3" xfId="5828" xr:uid="{00000000-0005-0000-0000-000077060000}"/>
    <cellStyle name="40% - Accent5 2 3 4 3 2" xfId="15154" xr:uid="{137E659C-3280-4E00-AFDA-98B430CFCFA3}"/>
    <cellStyle name="40% - Accent5 2 3 4 4" xfId="10937" xr:uid="{4173119C-4538-4717-A8DF-78A8B8A57B8F}"/>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F8D079FE-547D-4198-BDC2-562422F58BCD}"/>
    <cellStyle name="40% - Accent5 2 3 5 2 3" xfId="13495" xr:uid="{251D0D6E-BEA6-46A3-BC20-084AFA777550}"/>
    <cellStyle name="40% - Accent5 2 3 5 3" xfId="6241" xr:uid="{00000000-0005-0000-0000-00007B060000}"/>
    <cellStyle name="40% - Accent5 2 3 5 3 2" xfId="15567" xr:uid="{A8023300-6357-437A-BA1F-1AC54776E545}"/>
    <cellStyle name="40% - Accent5 2 3 5 4" xfId="11350" xr:uid="{6F19EADC-925E-46C6-AED4-1F252D197840}"/>
    <cellStyle name="40% - Accent5 2 3 6" xfId="2348" xr:uid="{00000000-0005-0000-0000-00007C060000}"/>
    <cellStyle name="40% - Accent5 2 3 6 2" xfId="6654" xr:uid="{00000000-0005-0000-0000-00007D060000}"/>
    <cellStyle name="40% - Accent5 2 3 6 2 2" xfId="15980" xr:uid="{09D9E8C2-FD95-4770-AA84-006ADA4A8B92}"/>
    <cellStyle name="40% - Accent5 2 3 6 3" xfId="11763" xr:uid="{D3269136-4AA6-4F73-AB20-8ACE5B343E5D}"/>
    <cellStyle name="40% - Accent5 2 3 7" xfId="4588" xr:uid="{00000000-0005-0000-0000-00007E060000}"/>
    <cellStyle name="40% - Accent5 2 3 7 2" xfId="13914" xr:uid="{1780536C-F23C-428F-A161-AF0D961D1857}"/>
    <cellStyle name="40% - Accent5 2 3 8" xfId="9009" xr:uid="{DE8B6E41-761F-4ED0-BA8A-00A6A898A2FC}"/>
    <cellStyle name="40% - Accent5 2 3 8 2" xfId="18333" xr:uid="{38A0569A-505B-4535-9C5D-CFB4391F1E84}"/>
    <cellStyle name="40% - Accent5 2 3 9" xfId="9697" xr:uid="{EC36DDD3-7FC4-4BDA-8C15-9009F129359B}"/>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CD3DD1C5-1D0E-4798-825C-F71DB21E828E}"/>
    <cellStyle name="40% - Accent5 2 4 2 3" xfId="12253" xr:uid="{56A04B01-A7E2-4E7A-B43A-65D6F601163F}"/>
    <cellStyle name="40% - Accent5 2 4 3" xfId="4999" xr:uid="{00000000-0005-0000-0000-000082060000}"/>
    <cellStyle name="40% - Accent5 2 4 3 2" xfId="14325" xr:uid="{9484F0C3-F60E-4187-B8E2-9F2B6C93B64B}"/>
    <cellStyle name="40% - Accent5 2 4 4" xfId="9226" xr:uid="{6A688709-D29B-458C-973B-231279FAFEF5}"/>
    <cellStyle name="40% - Accent5 2 4 4 2" xfId="18542" xr:uid="{A0F497EC-409C-48FF-9598-2199909FD000}"/>
    <cellStyle name="40% - Accent5 2 4 5" xfId="10108" xr:uid="{05143AB2-D9E2-4E83-AC56-60BB90AE1020}"/>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747C46A2-0653-4369-BD63-5C8561FD101D}"/>
    <cellStyle name="40% - Accent5 2 5 2 3" xfId="12666" xr:uid="{4E955D68-876E-4F51-9921-8C0AF25BEACF}"/>
    <cellStyle name="40% - Accent5 2 5 3" xfId="5412" xr:uid="{00000000-0005-0000-0000-000086060000}"/>
    <cellStyle name="40% - Accent5 2 5 3 2" xfId="14738" xr:uid="{D41BA5B8-2CDC-48E0-B1BF-EB76463AA05C}"/>
    <cellStyle name="40% - Accent5 2 5 4" xfId="10521" xr:uid="{FC92ADE8-C2D2-4508-A6EC-6BB7DF6A4116}"/>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855C23B-5947-44BA-8D07-DD59EF2B3A5A}"/>
    <cellStyle name="40% - Accent5 2 6 2 3" xfId="13079" xr:uid="{83931C01-3EA1-47B9-80D1-26DDEDA6DEA5}"/>
    <cellStyle name="40% - Accent5 2 6 3" xfId="5825" xr:uid="{00000000-0005-0000-0000-00008A060000}"/>
    <cellStyle name="40% - Accent5 2 6 3 2" xfId="15151" xr:uid="{2A76F8DB-5370-40B6-B1CF-98DC8A64153B}"/>
    <cellStyle name="40% - Accent5 2 6 4" xfId="10934" xr:uid="{472A2D14-BE22-41A4-95C6-8EF0526F2065}"/>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1A0AA051-A741-4627-9FAA-A7619A5D8FF2}"/>
    <cellStyle name="40% - Accent5 2 7 2 3" xfId="13492" xr:uid="{CE86F4F5-444F-4E57-ACCC-33B4C7621070}"/>
    <cellStyle name="40% - Accent5 2 7 3" xfId="6238" xr:uid="{00000000-0005-0000-0000-00008E060000}"/>
    <cellStyle name="40% - Accent5 2 7 3 2" xfId="15564" xr:uid="{74D55543-6E20-417D-B617-543157DE79C9}"/>
    <cellStyle name="40% - Accent5 2 7 4" xfId="11347" xr:uid="{D201884B-51E6-41CF-84FF-E70CB9A42242}"/>
    <cellStyle name="40% - Accent5 2 8" xfId="2345" xr:uid="{00000000-0005-0000-0000-00008F060000}"/>
    <cellStyle name="40% - Accent5 2 8 2" xfId="6651" xr:uid="{00000000-0005-0000-0000-000090060000}"/>
    <cellStyle name="40% - Accent5 2 8 2 2" xfId="15977" xr:uid="{151A95D6-DE5D-4B10-AF33-7BEC8BA2329A}"/>
    <cellStyle name="40% - Accent5 2 8 3" xfId="11760" xr:uid="{FBEF215E-5AB2-43B9-9429-35FEA3F99A9F}"/>
    <cellStyle name="40% - Accent5 2 9" xfId="4585" xr:uid="{00000000-0005-0000-0000-000091060000}"/>
    <cellStyle name="40% - Accent5 2 9 2" xfId="13911" xr:uid="{B59004FA-7AEB-49E2-A5CD-3B2288D16D8A}"/>
    <cellStyle name="40% - Accent5 3" xfId="86" xr:uid="{00000000-0005-0000-0000-000092060000}"/>
    <cellStyle name="40% - Accent5 3 10" xfId="9698" xr:uid="{17A849F9-763B-4FF5-AA19-1F74D79E4B04}"/>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3E91A5DB-6A7C-4D2A-8E8C-B2F886B12681}"/>
    <cellStyle name="40% - Accent5 3 2 2 2 3" xfId="12258" xr:uid="{7970AB48-1A70-4EBD-8150-DBE38973E348}"/>
    <cellStyle name="40% - Accent5 3 2 2 3" xfId="5004" xr:uid="{00000000-0005-0000-0000-000097060000}"/>
    <cellStyle name="40% - Accent5 3 2 2 3 2" xfId="14330" xr:uid="{169912FC-BCF8-48FB-B05E-6E6AF609D2AD}"/>
    <cellStyle name="40% - Accent5 3 2 2 4" xfId="9502" xr:uid="{96903B0D-DCFE-4149-8088-461BCB03A73B}"/>
    <cellStyle name="40% - Accent5 3 2 2 4 2" xfId="18817" xr:uid="{B48E2D4F-7191-468A-9265-7FAF7AA45F56}"/>
    <cellStyle name="40% - Accent5 3 2 2 5" xfId="10113" xr:uid="{B0A1AB7B-84BF-4959-AE59-B0E699E9300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77D26FC0-5E18-47A9-9598-AB96294F57EE}"/>
    <cellStyle name="40% - Accent5 3 2 3 2 3" xfId="12671" xr:uid="{ABE3F085-0C18-4E4C-AE80-0E79587EF696}"/>
    <cellStyle name="40% - Accent5 3 2 3 3" xfId="5417" xr:uid="{00000000-0005-0000-0000-00009B060000}"/>
    <cellStyle name="40% - Accent5 3 2 3 3 2" xfId="14743" xr:uid="{38F0A729-2A8E-4A3C-B9F2-A5BA9E4332F9}"/>
    <cellStyle name="40% - Accent5 3 2 3 4" xfId="10526" xr:uid="{7C8E22E6-8748-4F39-8666-EF392DAEE5E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3DEC2A36-3F03-421E-845A-7FDA8961A441}"/>
    <cellStyle name="40% - Accent5 3 2 4 2 3" xfId="13084" xr:uid="{0D65F483-78DD-4485-8E97-BC8316B9BA1B}"/>
    <cellStyle name="40% - Accent5 3 2 4 3" xfId="5830" xr:uid="{00000000-0005-0000-0000-00009F060000}"/>
    <cellStyle name="40% - Accent5 3 2 4 3 2" xfId="15156" xr:uid="{7E881C68-1932-481D-A4FB-C0BF69E33B02}"/>
    <cellStyle name="40% - Accent5 3 2 4 4" xfId="10939" xr:uid="{CD3C8424-C677-4676-BD23-AA5B97DB66AE}"/>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064DF08D-5A28-40AA-BABC-039C10AD2043}"/>
    <cellStyle name="40% - Accent5 3 2 5 2 3" xfId="13497" xr:uid="{72EF06AD-87EF-4BD3-9026-F35B1B71251D}"/>
    <cellStyle name="40% - Accent5 3 2 5 3" xfId="6243" xr:uid="{00000000-0005-0000-0000-0000A3060000}"/>
    <cellStyle name="40% - Accent5 3 2 5 3 2" xfId="15569" xr:uid="{5302255F-449E-41E5-8C67-61C75744BAE0}"/>
    <cellStyle name="40% - Accent5 3 2 5 4" xfId="11352" xr:uid="{3F1FDADA-32C5-47E2-A7CC-E4D74D3AF0E0}"/>
    <cellStyle name="40% - Accent5 3 2 6" xfId="2350" xr:uid="{00000000-0005-0000-0000-0000A4060000}"/>
    <cellStyle name="40% - Accent5 3 2 6 2" xfId="6656" xr:uid="{00000000-0005-0000-0000-0000A5060000}"/>
    <cellStyle name="40% - Accent5 3 2 6 2 2" xfId="15982" xr:uid="{E50DEE40-E831-4B5D-A05B-3E1FE212162E}"/>
    <cellStyle name="40% - Accent5 3 2 6 3" xfId="11765" xr:uid="{C2818EA3-848C-460B-B21C-F167790F78AB}"/>
    <cellStyle name="40% - Accent5 3 2 7" xfId="4590" xr:uid="{00000000-0005-0000-0000-0000A6060000}"/>
    <cellStyle name="40% - Accent5 3 2 7 2" xfId="13916" xr:uid="{092653BE-F805-4F90-90C6-3A4CCD975545}"/>
    <cellStyle name="40% - Accent5 3 2 8" xfId="9077" xr:uid="{8842DD15-54E4-487D-B492-3A505722387C}"/>
    <cellStyle name="40% - Accent5 3 2 8 2" xfId="18401" xr:uid="{2C9023B9-EE8B-46C9-9D9D-76C8D94801BA}"/>
    <cellStyle name="40% - Accent5 3 2 9" xfId="9699" xr:uid="{37BD2F0C-8097-4197-9DE7-9C0F01D39C9F}"/>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6988C88-FE7C-44BE-8179-B3B28B1C0229}"/>
    <cellStyle name="40% - Accent5 3 3 2 3" xfId="12257" xr:uid="{C11861A3-653B-4B71-9719-3F988A3CA085}"/>
    <cellStyle name="40% - Accent5 3 3 3" xfId="5003" xr:uid="{00000000-0005-0000-0000-0000AA060000}"/>
    <cellStyle name="40% - Accent5 3 3 3 2" xfId="14329" xr:uid="{CC055038-F505-45DA-BB4A-C2D786E7791B}"/>
    <cellStyle name="40% - Accent5 3 3 4" xfId="9295" xr:uid="{0D42C89E-252E-426A-8E1F-7D3AD6B9FE55}"/>
    <cellStyle name="40% - Accent5 3 3 4 2" xfId="18610" xr:uid="{AD433732-AD04-4D24-8053-9D379D24F8DD}"/>
    <cellStyle name="40% - Accent5 3 3 5" xfId="10112" xr:uid="{41AAA272-2C74-44DF-8E34-660731DEAF6A}"/>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6C7CFDC4-854D-4DF7-A576-E16F9CCA11C4}"/>
    <cellStyle name="40% - Accent5 3 4 2 3" xfId="12670" xr:uid="{970C6ABD-E5A5-4247-8C07-F30D5BED1704}"/>
    <cellStyle name="40% - Accent5 3 4 3" xfId="5416" xr:uid="{00000000-0005-0000-0000-0000AE060000}"/>
    <cellStyle name="40% - Accent5 3 4 3 2" xfId="14742" xr:uid="{998AD853-E557-4F59-B071-C60B7096381C}"/>
    <cellStyle name="40% - Accent5 3 4 4" xfId="10525" xr:uid="{84FB6046-26E8-449B-8C7C-D98885AA240A}"/>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D1185A93-9D7E-4B44-A43F-D4239AFE9BED}"/>
    <cellStyle name="40% - Accent5 3 5 2 3" xfId="13083" xr:uid="{31B8DAB3-8BCE-4210-B9F8-53D2FAB0709A}"/>
    <cellStyle name="40% - Accent5 3 5 3" xfId="5829" xr:uid="{00000000-0005-0000-0000-0000B2060000}"/>
    <cellStyle name="40% - Accent5 3 5 3 2" xfId="15155" xr:uid="{0EFFB753-AC3A-4AF2-AAC0-2775903519F3}"/>
    <cellStyle name="40% - Accent5 3 5 4" xfId="10938" xr:uid="{37143A68-1CA5-4349-8B18-BAD350D7F3CE}"/>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7F529A0E-9574-4569-9A25-897DAC9F9100}"/>
    <cellStyle name="40% - Accent5 3 6 2 3" xfId="13496" xr:uid="{D862BC2E-F151-4252-AE5F-C39D5C3AAE9F}"/>
    <cellStyle name="40% - Accent5 3 6 3" xfId="6242" xr:uid="{00000000-0005-0000-0000-0000B6060000}"/>
    <cellStyle name="40% - Accent5 3 6 3 2" xfId="15568" xr:uid="{15ED68D8-E918-45FD-9233-F3E0EA76ACEF}"/>
    <cellStyle name="40% - Accent5 3 6 4" xfId="11351" xr:uid="{DD76ED8F-5ACB-4201-82AB-AB4C96028BFF}"/>
    <cellStyle name="40% - Accent5 3 7" xfId="2349" xr:uid="{00000000-0005-0000-0000-0000B7060000}"/>
    <cellStyle name="40% - Accent5 3 7 2" xfId="6655" xr:uid="{00000000-0005-0000-0000-0000B8060000}"/>
    <cellStyle name="40% - Accent5 3 7 2 2" xfId="15981" xr:uid="{E92DFE2E-A561-4781-A237-2A37FD26E5D9}"/>
    <cellStyle name="40% - Accent5 3 7 3" xfId="11764" xr:uid="{C6799867-4ACF-4C90-A9A2-1C4AA46BE7E1}"/>
    <cellStyle name="40% - Accent5 3 8" xfId="4589" xr:uid="{00000000-0005-0000-0000-0000B9060000}"/>
    <cellStyle name="40% - Accent5 3 8 2" xfId="13915" xr:uid="{661A52B3-03AB-4CE8-A675-F25E73E0FC1B}"/>
    <cellStyle name="40% - Accent5 3 9" xfId="8870" xr:uid="{F7DB5D96-1272-4D48-B3B6-48053CFCBA44}"/>
    <cellStyle name="40% - Accent5 3 9 2" xfId="18194" xr:uid="{5D525523-616C-4E90-8E9B-2637CD70362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63D9E839-BD58-4E65-9584-E359CF307C43}"/>
    <cellStyle name="40% - Accent5 4 2 2 3" xfId="12259" xr:uid="{4A2F15AC-E170-4326-A6FB-4D8C74C4BDB4}"/>
    <cellStyle name="40% - Accent5 4 2 3" xfId="5005" xr:uid="{00000000-0005-0000-0000-0000BE060000}"/>
    <cellStyle name="40% - Accent5 4 2 3 2" xfId="14331" xr:uid="{C59BB6AB-8098-407F-8502-CDE2ADAEE654}"/>
    <cellStyle name="40% - Accent5 4 2 4" xfId="9381" xr:uid="{6D86932C-AFC4-4FF0-967D-0F56E90E02E1}"/>
    <cellStyle name="40% - Accent5 4 2 4 2" xfId="18696" xr:uid="{21922166-90E0-4739-8496-7923D857F5AA}"/>
    <cellStyle name="40% - Accent5 4 2 5" xfId="10114" xr:uid="{9989FDD6-6114-4EA8-A66D-F3E948CF5C09}"/>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C64CAAD7-8527-4ECF-BFB4-DE25DBCAC56A}"/>
    <cellStyle name="40% - Accent5 4 3 2 3" xfId="12672" xr:uid="{D057929C-DEC2-45E9-8250-9A386F01D660}"/>
    <cellStyle name="40% - Accent5 4 3 3" xfId="5418" xr:uid="{00000000-0005-0000-0000-0000C2060000}"/>
    <cellStyle name="40% - Accent5 4 3 3 2" xfId="14744" xr:uid="{D5A4DF57-CC89-413C-B684-77318E22A76F}"/>
    <cellStyle name="40% - Accent5 4 3 4" xfId="10527" xr:uid="{5B579ECC-919A-44FF-A5C1-E7E3B4A3BA3C}"/>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9B4765EB-55B7-4B23-8D6A-6E123229867F}"/>
    <cellStyle name="40% - Accent5 4 4 2 3" xfId="13085" xr:uid="{623E622E-FFAA-4FE0-AC1F-144F2162DE57}"/>
    <cellStyle name="40% - Accent5 4 4 3" xfId="5831" xr:uid="{00000000-0005-0000-0000-0000C6060000}"/>
    <cellStyle name="40% - Accent5 4 4 3 2" xfId="15157" xr:uid="{2BC87078-1E22-452C-A24A-E27C19FE23B4}"/>
    <cellStyle name="40% - Accent5 4 4 4" xfId="10940" xr:uid="{7E8CC759-ECED-49D4-A12D-3B5CE339E382}"/>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6E6D2121-D2D8-4142-90F9-64F6FF74D6F3}"/>
    <cellStyle name="40% - Accent5 4 5 2 3" xfId="13498" xr:uid="{446E6C14-B379-4FB5-8FFB-E1155FC698AD}"/>
    <cellStyle name="40% - Accent5 4 5 3" xfId="6244" xr:uid="{00000000-0005-0000-0000-0000CA060000}"/>
    <cellStyle name="40% - Accent5 4 5 3 2" xfId="15570" xr:uid="{6D988DD6-30EB-4466-925C-0233C20ACB41}"/>
    <cellStyle name="40% - Accent5 4 5 4" xfId="11353" xr:uid="{AF3E0C08-7BC3-4EFB-8767-3EBE5730C3E1}"/>
    <cellStyle name="40% - Accent5 4 6" xfId="2351" xr:uid="{00000000-0005-0000-0000-0000CB060000}"/>
    <cellStyle name="40% - Accent5 4 6 2" xfId="6657" xr:uid="{00000000-0005-0000-0000-0000CC060000}"/>
    <cellStyle name="40% - Accent5 4 6 2 2" xfId="15983" xr:uid="{C92427E7-84FC-4A67-A97A-03F6DFABF35F}"/>
    <cellStyle name="40% - Accent5 4 6 3" xfId="11766" xr:uid="{66AE54CE-1A55-4AC3-A1AA-15827D004D17}"/>
    <cellStyle name="40% - Accent5 4 7" xfId="4591" xr:uid="{00000000-0005-0000-0000-0000CD060000}"/>
    <cellStyle name="40% - Accent5 4 7 2" xfId="13917" xr:uid="{2DD9E34E-42C1-4A7E-B0CF-6E7EB0713031}"/>
    <cellStyle name="40% - Accent5 4 8" xfId="8956" xr:uid="{20EBAEFE-DF5E-4B38-878B-CDA5BD3DABC1}"/>
    <cellStyle name="40% - Accent5 4 8 2" xfId="18280" xr:uid="{6EB42E31-A787-4417-88E1-BCF0836EEB64}"/>
    <cellStyle name="40% - Accent5 4 9" xfId="9700" xr:uid="{1085EB76-5731-4AE3-9B42-8105670CB9BA}"/>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989DC2DF-43D4-4C05-BDDE-D77905EDF1C8}"/>
    <cellStyle name="40% - Accent5 5 2 3" xfId="12252" xr:uid="{F022821A-D30F-47C2-9076-94D24D986096}"/>
    <cellStyle name="40% - Accent5 5 3" xfId="4998" xr:uid="{00000000-0005-0000-0000-0000D1060000}"/>
    <cellStyle name="40% - Accent5 5 3 2" xfId="14324" xr:uid="{6C4BB0A2-56C6-470E-84CA-6AD9BB1EFB3F}"/>
    <cellStyle name="40% - Accent5 5 4" xfId="9189" xr:uid="{AE9A155E-B06B-4FF1-8984-8F7810581B15}"/>
    <cellStyle name="40% - Accent5 5 4 2" xfId="18507" xr:uid="{AF53F068-C57B-48E1-A142-4DD2E5BB0D5F}"/>
    <cellStyle name="40% - Accent5 5 5" xfId="10107" xr:uid="{0E43D8EB-81D8-4222-AEC8-34920FA7F8B7}"/>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F5529B82-9E2C-44D0-BE13-8DE29446BD47}"/>
    <cellStyle name="40% - Accent5 6 2 3" xfId="12665" xr:uid="{3726CBF8-9ACD-4AE8-93B8-AC3016BE6E00}"/>
    <cellStyle name="40% - Accent5 6 3" xfId="5411" xr:uid="{00000000-0005-0000-0000-0000D5060000}"/>
    <cellStyle name="40% - Accent5 6 3 2" xfId="14737" xr:uid="{7E1C76E0-07EC-4E72-BC2F-7ADD260A614C}"/>
    <cellStyle name="40% - Accent5 6 4" xfId="10520" xr:uid="{72F31D21-55CA-400F-97F3-C4C16068F08B}"/>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25500F89-22B5-4C48-8E87-4A4613917825}"/>
    <cellStyle name="40% - Accent5 7 2 3" xfId="13078" xr:uid="{88E9D374-0912-4E18-B8AC-ECE532A9561D}"/>
    <cellStyle name="40% - Accent5 7 3" xfId="5824" xr:uid="{00000000-0005-0000-0000-0000D9060000}"/>
    <cellStyle name="40% - Accent5 7 3 2" xfId="15150" xr:uid="{334D088B-8FEA-479F-B188-CD162C216EBD}"/>
    <cellStyle name="40% - Accent5 7 4" xfId="10933" xr:uid="{6EB1371A-BA79-409D-A83E-0238CECEF232}"/>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CA52199E-1F99-447D-B932-91ED4D6B8E4E}"/>
    <cellStyle name="40% - Accent5 8 2 3" xfId="13491" xr:uid="{04FFE009-1F02-45F3-A224-37020E833F0B}"/>
    <cellStyle name="40% - Accent5 8 3" xfId="6237" xr:uid="{00000000-0005-0000-0000-0000DD060000}"/>
    <cellStyle name="40% - Accent5 8 3 2" xfId="15563" xr:uid="{D3513C7D-2A0A-4ADB-83DF-9B692655881B}"/>
    <cellStyle name="40% - Accent5 8 4" xfId="11346" xr:uid="{45C07608-5FCA-4A62-AE40-5D954243DF7D}"/>
    <cellStyle name="40% - Accent5 9" xfId="2344" xr:uid="{00000000-0005-0000-0000-0000DE060000}"/>
    <cellStyle name="40% - Accent5 9 2" xfId="6650" xr:uid="{00000000-0005-0000-0000-0000DF060000}"/>
    <cellStyle name="40% - Accent5 9 2 2" xfId="15976" xr:uid="{6264693D-8EEE-4217-806E-CD3C5A0FA0FF}"/>
    <cellStyle name="40% - Accent5 9 3" xfId="11759" xr:uid="{56DA5436-127B-40E8-8836-FAD11D86BB0A}"/>
    <cellStyle name="40% - Accent6" xfId="89" builtinId="51" customBuiltin="1"/>
    <cellStyle name="40% - Accent6 10" xfId="4592" xr:uid="{00000000-0005-0000-0000-0000E1060000}"/>
    <cellStyle name="40% - Accent6 10 2" xfId="13918" xr:uid="{A3C2431C-7D79-4EC3-AF97-0C815C505B80}"/>
    <cellStyle name="40% - Accent6 11" xfId="8769" xr:uid="{8369FE49-3815-490F-BF3A-3BEB88E35DFA}"/>
    <cellStyle name="40% - Accent6 11 2" xfId="18093" xr:uid="{2139C41E-18D1-4922-A051-208BEB9F5BC6}"/>
    <cellStyle name="40% - Accent6 12" xfId="9701" xr:uid="{935576DD-8183-4EB1-A3EF-153C5B1F6308}"/>
    <cellStyle name="40% - Accent6 2" xfId="90" xr:uid="{00000000-0005-0000-0000-0000E2060000}"/>
    <cellStyle name="40% - Accent6 2 10" xfId="8803" xr:uid="{3530B69D-EB1D-41EA-A6FB-440FE4FE29AB}"/>
    <cellStyle name="40% - Accent6 2 10 2" xfId="18127" xr:uid="{FAD3E80F-2672-4D81-AEE3-CA0FA2066557}"/>
    <cellStyle name="40% - Accent6 2 11" xfId="9702" xr:uid="{CC282942-FD7B-4973-98AE-7D66B7208E12}"/>
    <cellStyle name="40% - Accent6 2 2" xfId="91" xr:uid="{00000000-0005-0000-0000-0000E3060000}"/>
    <cellStyle name="40% - Accent6 2 2 10" xfId="9703" xr:uid="{E0426E76-3319-4361-96B4-B0D0E36F42C9}"/>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C755CA39-C314-42C1-925C-F43D5C79FCC4}"/>
    <cellStyle name="40% - Accent6 2 2 2 2 2 3" xfId="12263" xr:uid="{5521C9D3-8822-427A-8B3C-91C02EE96C81}"/>
    <cellStyle name="40% - Accent6 2 2 2 2 3" xfId="5009" xr:uid="{00000000-0005-0000-0000-0000E8060000}"/>
    <cellStyle name="40% - Accent6 2 2 2 2 3 2" xfId="14335" xr:uid="{62D1DD5D-D09F-4D67-8784-351DE4DB3075}"/>
    <cellStyle name="40% - Accent6 2 2 2 2 4" xfId="9538" xr:uid="{D1801D0B-FDF1-4C59-8DE2-DEC53081BC5D}"/>
    <cellStyle name="40% - Accent6 2 2 2 2 4 2" xfId="18853" xr:uid="{476DF4D6-A168-476E-89DE-9C3FF17550CD}"/>
    <cellStyle name="40% - Accent6 2 2 2 2 5" xfId="10118" xr:uid="{8A66F329-8CFD-49C9-9B5A-39B56B6882E7}"/>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8B66F4EC-F73E-4F94-8E51-0F52A49EDA56}"/>
    <cellStyle name="40% - Accent6 2 2 2 3 2 3" xfId="12676" xr:uid="{684C37D7-4503-4B42-ADBB-6D986D60BAB8}"/>
    <cellStyle name="40% - Accent6 2 2 2 3 3" xfId="5422" xr:uid="{00000000-0005-0000-0000-0000EC060000}"/>
    <cellStyle name="40% - Accent6 2 2 2 3 3 2" xfId="14748" xr:uid="{7D414DA8-9F42-40C0-854A-A6050E7B6088}"/>
    <cellStyle name="40% - Accent6 2 2 2 3 4" xfId="10531" xr:uid="{D66262EA-A2FF-4CF6-8181-BDFDF248ABB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BE7818EF-24C4-472D-9E97-5FC40BD5B77D}"/>
    <cellStyle name="40% - Accent6 2 2 2 4 2 3" xfId="13089" xr:uid="{6525ECB6-F726-4691-84C5-74A9180A728E}"/>
    <cellStyle name="40% - Accent6 2 2 2 4 3" xfId="5835" xr:uid="{00000000-0005-0000-0000-0000F0060000}"/>
    <cellStyle name="40% - Accent6 2 2 2 4 3 2" xfId="15161" xr:uid="{39919C0E-355A-4F64-BDC3-FF4C1D64AF09}"/>
    <cellStyle name="40% - Accent6 2 2 2 4 4" xfId="10944" xr:uid="{F3D6FED2-5E5D-4EA8-A5F2-C9DC29E5049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56910201-4A32-443D-81F9-1A4D3ABC4C12}"/>
    <cellStyle name="40% - Accent6 2 2 2 5 2 3" xfId="13502" xr:uid="{5C20AA2E-0787-4010-9615-F8E7DDFF3371}"/>
    <cellStyle name="40% - Accent6 2 2 2 5 3" xfId="6248" xr:uid="{00000000-0005-0000-0000-0000F4060000}"/>
    <cellStyle name="40% - Accent6 2 2 2 5 3 2" xfId="15574" xr:uid="{8B10B2CD-E4D0-4359-A6C4-919F141FA448}"/>
    <cellStyle name="40% - Accent6 2 2 2 5 4" xfId="11357" xr:uid="{224AB1B5-CDBE-414A-988C-2C88EA3B99FA}"/>
    <cellStyle name="40% - Accent6 2 2 2 6" xfId="2355" xr:uid="{00000000-0005-0000-0000-0000F5060000}"/>
    <cellStyle name="40% - Accent6 2 2 2 6 2" xfId="6661" xr:uid="{00000000-0005-0000-0000-0000F6060000}"/>
    <cellStyle name="40% - Accent6 2 2 2 6 2 2" xfId="15987" xr:uid="{01564262-EB57-49DC-A9DB-6A09823324A4}"/>
    <cellStyle name="40% - Accent6 2 2 2 6 3" xfId="11770" xr:uid="{B923B1E8-16CD-487E-A213-B4CB90EA968A}"/>
    <cellStyle name="40% - Accent6 2 2 2 7" xfId="4595" xr:uid="{00000000-0005-0000-0000-0000F7060000}"/>
    <cellStyle name="40% - Accent6 2 2 2 7 2" xfId="13921" xr:uid="{6B406474-13AD-40E0-8CFA-CC864CAD1B04}"/>
    <cellStyle name="40% - Accent6 2 2 2 8" xfId="9113" xr:uid="{D9373B4A-E1DA-437A-874A-FCE4D00708EB}"/>
    <cellStyle name="40% - Accent6 2 2 2 8 2" xfId="18437" xr:uid="{5EA5371E-A5EC-4924-B0A3-CB726AAEB44B}"/>
    <cellStyle name="40% - Accent6 2 2 2 9" xfId="9704" xr:uid="{77D6EEA4-1AF6-4EF8-A8A1-AB9BE07DF7BA}"/>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7C62875B-E4A2-4DE2-A128-3E14215FAB15}"/>
    <cellStyle name="40% - Accent6 2 2 3 2 3" xfId="12262" xr:uid="{4F58E292-AD45-46A3-84CA-CDD662A635E0}"/>
    <cellStyle name="40% - Accent6 2 2 3 3" xfId="5008" xr:uid="{00000000-0005-0000-0000-0000FB060000}"/>
    <cellStyle name="40% - Accent6 2 2 3 3 2" xfId="14334" xr:uid="{AC490294-7965-4DDA-B0DF-4715253B3C06}"/>
    <cellStyle name="40% - Accent6 2 2 3 4" xfId="9331" xr:uid="{223B62DA-AA8A-4703-B6D5-D6AA8918B034}"/>
    <cellStyle name="40% - Accent6 2 2 3 4 2" xfId="18646" xr:uid="{E47952AC-79BF-48B8-88BA-15B24B722557}"/>
    <cellStyle name="40% - Accent6 2 2 3 5" xfId="10117" xr:uid="{1314BC71-EDDB-4148-881B-5E8A8EB4B12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486BCA9E-783D-4023-84CA-F843E66272EF}"/>
    <cellStyle name="40% - Accent6 2 2 4 2 3" xfId="12675" xr:uid="{FE9208C9-9A98-424B-A240-023F63A8BDBF}"/>
    <cellStyle name="40% - Accent6 2 2 4 3" xfId="5421" xr:uid="{00000000-0005-0000-0000-0000FF060000}"/>
    <cellStyle name="40% - Accent6 2 2 4 3 2" xfId="14747" xr:uid="{C25B235F-152F-4464-BEFC-73F25D6E3398}"/>
    <cellStyle name="40% - Accent6 2 2 4 4" xfId="10530" xr:uid="{81892460-37F1-472D-94C1-F6444D8317CF}"/>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66C91CA9-9308-42F2-BB39-B63A8C3C2680}"/>
    <cellStyle name="40% - Accent6 2 2 5 2 3" xfId="13088" xr:uid="{100ED6E0-DBC5-44C7-81FD-8E29B6E81AF5}"/>
    <cellStyle name="40% - Accent6 2 2 5 3" xfId="5834" xr:uid="{00000000-0005-0000-0000-000003070000}"/>
    <cellStyle name="40% - Accent6 2 2 5 3 2" xfId="15160" xr:uid="{F65A25F9-1E75-45AC-AC04-BA117E1A9F54}"/>
    <cellStyle name="40% - Accent6 2 2 5 4" xfId="10943" xr:uid="{82F7E3D6-8300-41EE-9C1D-D7F2BF39DDB1}"/>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BB8A4F9F-73ED-443B-90BC-C2D5B9FA1FA8}"/>
    <cellStyle name="40% - Accent6 2 2 6 2 3" xfId="13501" xr:uid="{AB5468A8-2206-4590-A148-91A4D3E3A2E4}"/>
    <cellStyle name="40% - Accent6 2 2 6 3" xfId="6247" xr:uid="{00000000-0005-0000-0000-000007070000}"/>
    <cellStyle name="40% - Accent6 2 2 6 3 2" xfId="15573" xr:uid="{FB257A9B-7122-432E-9EBC-70DD1E6EDECA}"/>
    <cellStyle name="40% - Accent6 2 2 6 4" xfId="11356" xr:uid="{A0DF1BA5-B32F-4DE1-B740-CCFA9CCFC665}"/>
    <cellStyle name="40% - Accent6 2 2 7" xfId="2354" xr:uid="{00000000-0005-0000-0000-000008070000}"/>
    <cellStyle name="40% - Accent6 2 2 7 2" xfId="6660" xr:uid="{00000000-0005-0000-0000-000009070000}"/>
    <cellStyle name="40% - Accent6 2 2 7 2 2" xfId="15986" xr:uid="{53E2DD1A-33B9-4319-A4D8-AB3F07D07664}"/>
    <cellStyle name="40% - Accent6 2 2 7 3" xfId="11769" xr:uid="{DFD5CBD8-8613-4C45-92B9-815534C983CA}"/>
    <cellStyle name="40% - Accent6 2 2 8" xfId="4594" xr:uid="{00000000-0005-0000-0000-00000A070000}"/>
    <cellStyle name="40% - Accent6 2 2 8 2" xfId="13920" xr:uid="{C14A87FE-4965-4C6D-BBF0-596AFA21CA1B}"/>
    <cellStyle name="40% - Accent6 2 2 9" xfId="8906" xr:uid="{C30FCA09-BA1A-4F54-9397-4FC676425C46}"/>
    <cellStyle name="40% - Accent6 2 2 9 2" xfId="18230" xr:uid="{829DCB43-33D6-472E-A398-03E5F942AD8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8B64603A-E8D8-4139-A26F-A61B458D5E0E}"/>
    <cellStyle name="40% - Accent6 2 3 2 2 3" xfId="12264" xr:uid="{31B80DC4-9D55-49AA-B676-BED966924D77}"/>
    <cellStyle name="40% - Accent6 2 3 2 3" xfId="5010" xr:uid="{00000000-0005-0000-0000-00000F070000}"/>
    <cellStyle name="40% - Accent6 2 3 2 3 2" xfId="14336" xr:uid="{9CC242BD-513C-4048-9AEB-5C191E97F365}"/>
    <cellStyle name="40% - Accent6 2 3 2 4" xfId="9435" xr:uid="{36535681-1736-4584-8CB6-F8F38C9E0E5B}"/>
    <cellStyle name="40% - Accent6 2 3 2 4 2" xfId="18750" xr:uid="{2014958A-F7A8-40E6-8870-E66B95017436}"/>
    <cellStyle name="40% - Accent6 2 3 2 5" xfId="10119" xr:uid="{54278C2F-E74B-47D4-B4FA-59355ACCC4E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8636EEEE-DCF0-4FAA-B7F6-3B068AF268CD}"/>
    <cellStyle name="40% - Accent6 2 3 3 2 3" xfId="12677" xr:uid="{66A465A6-F7C1-4780-ACCE-EE812BFDBBA0}"/>
    <cellStyle name="40% - Accent6 2 3 3 3" xfId="5423" xr:uid="{00000000-0005-0000-0000-000013070000}"/>
    <cellStyle name="40% - Accent6 2 3 3 3 2" xfId="14749" xr:uid="{927E164F-D692-4AB5-BB7D-72273B893142}"/>
    <cellStyle name="40% - Accent6 2 3 3 4" xfId="10532" xr:uid="{03B0BCF9-3FDF-41C6-A589-B60A393447B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38B9E3AC-FF8D-4F05-BCB3-B5EDD5E83917}"/>
    <cellStyle name="40% - Accent6 2 3 4 2 3" xfId="13090" xr:uid="{A14C3692-FAC1-4179-9D55-36F6728A4127}"/>
    <cellStyle name="40% - Accent6 2 3 4 3" xfId="5836" xr:uid="{00000000-0005-0000-0000-000017070000}"/>
    <cellStyle name="40% - Accent6 2 3 4 3 2" xfId="15162" xr:uid="{A236ACA6-A9FA-451C-8C20-D5CE5DC38121}"/>
    <cellStyle name="40% - Accent6 2 3 4 4" xfId="10945" xr:uid="{3E8F6655-F22A-4579-9647-2388F166A239}"/>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077760C8-D1E0-4B68-A40E-C69DC625F629}"/>
    <cellStyle name="40% - Accent6 2 3 5 2 3" xfId="13503" xr:uid="{D3C71C1F-AC33-475B-A5D6-8A12AACBA261}"/>
    <cellStyle name="40% - Accent6 2 3 5 3" xfId="6249" xr:uid="{00000000-0005-0000-0000-00001B070000}"/>
    <cellStyle name="40% - Accent6 2 3 5 3 2" xfId="15575" xr:uid="{DBB411C7-0BBF-4FF3-BEB6-1CE0E35DCE2C}"/>
    <cellStyle name="40% - Accent6 2 3 5 4" xfId="11358" xr:uid="{6C8DCCE5-D097-484B-858E-5613633CA4E8}"/>
    <cellStyle name="40% - Accent6 2 3 6" xfId="2356" xr:uid="{00000000-0005-0000-0000-00001C070000}"/>
    <cellStyle name="40% - Accent6 2 3 6 2" xfId="6662" xr:uid="{00000000-0005-0000-0000-00001D070000}"/>
    <cellStyle name="40% - Accent6 2 3 6 2 2" xfId="15988" xr:uid="{2536F9E7-B6CC-4362-B238-0589C5FA5170}"/>
    <cellStyle name="40% - Accent6 2 3 6 3" xfId="11771" xr:uid="{A9BDACF5-6841-4D91-BACB-6959D6EBE903}"/>
    <cellStyle name="40% - Accent6 2 3 7" xfId="4596" xr:uid="{00000000-0005-0000-0000-00001E070000}"/>
    <cellStyle name="40% - Accent6 2 3 7 2" xfId="13922" xr:uid="{1BFEDA10-AD05-4A23-9EC8-ABE0061A2130}"/>
    <cellStyle name="40% - Accent6 2 3 8" xfId="9010" xr:uid="{63E1B5F8-FE5F-441F-B768-94B1D98CB2B1}"/>
    <cellStyle name="40% - Accent6 2 3 8 2" xfId="18334" xr:uid="{0F216AF7-9187-42BD-8CC1-4C3CFF6EBB1C}"/>
    <cellStyle name="40% - Accent6 2 3 9" xfId="9705" xr:uid="{5F448112-F5B3-4EE1-8ACE-63F8EAEA95F3}"/>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F63E35FC-1B07-4269-AC2E-998804710AE2}"/>
    <cellStyle name="40% - Accent6 2 4 2 3" xfId="12261" xr:uid="{B9F8F09D-95BA-4AFE-B6C3-3F9754924CAA}"/>
    <cellStyle name="40% - Accent6 2 4 3" xfId="5007" xr:uid="{00000000-0005-0000-0000-000022070000}"/>
    <cellStyle name="40% - Accent6 2 4 3 2" xfId="14333" xr:uid="{916FDDF6-609B-4521-AC21-EBC7BD9B4BA8}"/>
    <cellStyle name="40% - Accent6 2 4 4" xfId="9227" xr:uid="{61BC3AC1-FAE9-47DF-8143-7EECE05FF8D3}"/>
    <cellStyle name="40% - Accent6 2 4 4 2" xfId="18543" xr:uid="{B6F98E93-73D1-4C5C-B4C7-D0C75EEA932C}"/>
    <cellStyle name="40% - Accent6 2 4 5" xfId="10116" xr:uid="{AEC9AD92-7E10-4C58-B535-F8E7539ABEA0}"/>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404D7DD8-988A-4412-95A1-45CFBC234436}"/>
    <cellStyle name="40% - Accent6 2 5 2 3" xfId="12674" xr:uid="{02B4BFC9-0D61-416A-92DB-718F1D8D153D}"/>
    <cellStyle name="40% - Accent6 2 5 3" xfId="5420" xr:uid="{00000000-0005-0000-0000-000026070000}"/>
    <cellStyle name="40% - Accent6 2 5 3 2" xfId="14746" xr:uid="{92E12FB5-3848-43F6-A358-D73CE691AD9C}"/>
    <cellStyle name="40% - Accent6 2 5 4" xfId="10529" xr:uid="{2140FD60-0845-4D1D-AD4F-F6474BBE29CD}"/>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B2C980B8-FDBD-404D-827D-1101EB65F9A2}"/>
    <cellStyle name="40% - Accent6 2 6 2 3" xfId="13087" xr:uid="{E6C5BBF4-1FBB-498D-86D8-22861EC21FEE}"/>
    <cellStyle name="40% - Accent6 2 6 3" xfId="5833" xr:uid="{00000000-0005-0000-0000-00002A070000}"/>
    <cellStyle name="40% - Accent6 2 6 3 2" xfId="15159" xr:uid="{6147C9CC-A5DD-4DC4-9E30-DBD768498AFC}"/>
    <cellStyle name="40% - Accent6 2 6 4" xfId="10942" xr:uid="{2FC26C16-747D-40A6-A9E1-AEA9E9AAAB81}"/>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715C7E32-F9AF-473E-937B-A3D27E4CE4C5}"/>
    <cellStyle name="40% - Accent6 2 7 2 3" xfId="13500" xr:uid="{449CC976-D868-4E8A-BC5A-8F51D13B45F1}"/>
    <cellStyle name="40% - Accent6 2 7 3" xfId="6246" xr:uid="{00000000-0005-0000-0000-00002E070000}"/>
    <cellStyle name="40% - Accent6 2 7 3 2" xfId="15572" xr:uid="{49535C87-21D8-4D8F-AA5A-A9F619518591}"/>
    <cellStyle name="40% - Accent6 2 7 4" xfId="11355" xr:uid="{76182F3E-3524-4187-B4A1-956E07022400}"/>
    <cellStyle name="40% - Accent6 2 8" xfId="2353" xr:uid="{00000000-0005-0000-0000-00002F070000}"/>
    <cellStyle name="40% - Accent6 2 8 2" xfId="6659" xr:uid="{00000000-0005-0000-0000-000030070000}"/>
    <cellStyle name="40% - Accent6 2 8 2 2" xfId="15985" xr:uid="{3F38C7D1-1862-48E0-8CEA-C99AB7911A1C}"/>
    <cellStyle name="40% - Accent6 2 8 3" xfId="11768" xr:uid="{E19CE1D3-2B54-4333-8F63-4070E09B03C4}"/>
    <cellStyle name="40% - Accent6 2 9" xfId="4593" xr:uid="{00000000-0005-0000-0000-000031070000}"/>
    <cellStyle name="40% - Accent6 2 9 2" xfId="13919" xr:uid="{DA78C7D0-5C9A-4E94-8C34-EE2DB64FD6F8}"/>
    <cellStyle name="40% - Accent6 3" xfId="94" xr:uid="{00000000-0005-0000-0000-000032070000}"/>
    <cellStyle name="40% - Accent6 3 10" xfId="9706" xr:uid="{E0BB1D75-31EE-473F-8587-4FFB80008386}"/>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87BBDE26-B62F-4444-A5FB-8619A0D8C08A}"/>
    <cellStyle name="40% - Accent6 3 2 2 2 3" xfId="12266" xr:uid="{6E444B3B-5C6F-4949-A60C-3F2E0D195D06}"/>
    <cellStyle name="40% - Accent6 3 2 2 3" xfId="5012" xr:uid="{00000000-0005-0000-0000-000037070000}"/>
    <cellStyle name="40% - Accent6 3 2 2 3 2" xfId="14338" xr:uid="{CE3D00F7-9A16-45ED-AAF8-05C5278694D3}"/>
    <cellStyle name="40% - Accent6 3 2 2 4" xfId="9504" xr:uid="{23E46585-FD8F-4BA3-8B65-284D6884E4FD}"/>
    <cellStyle name="40% - Accent6 3 2 2 4 2" xfId="18819" xr:uid="{146B6DAE-43E7-433C-9F9A-991945224AB4}"/>
    <cellStyle name="40% - Accent6 3 2 2 5" xfId="10121" xr:uid="{53E26296-232B-4A15-9F35-EDE5DF871537}"/>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27230B87-79E7-454A-AEDA-0C6779114E1C}"/>
    <cellStyle name="40% - Accent6 3 2 3 2 3" xfId="12679" xr:uid="{FB97F86B-9F04-48AC-854B-114FBF85E65D}"/>
    <cellStyle name="40% - Accent6 3 2 3 3" xfId="5425" xr:uid="{00000000-0005-0000-0000-00003B070000}"/>
    <cellStyle name="40% - Accent6 3 2 3 3 2" xfId="14751" xr:uid="{EC8F34F3-F231-4C50-9DA6-F2C9AAE1A87C}"/>
    <cellStyle name="40% - Accent6 3 2 3 4" xfId="10534" xr:uid="{33CDD4AD-5FF7-4622-AEBD-391238A23D6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B16C4E4F-B9C2-43AA-8568-5FE817F0E36E}"/>
    <cellStyle name="40% - Accent6 3 2 4 2 3" xfId="13092" xr:uid="{D15BE14D-36B5-4BBE-8E45-1BF90F8D1B9A}"/>
    <cellStyle name="40% - Accent6 3 2 4 3" xfId="5838" xr:uid="{00000000-0005-0000-0000-00003F070000}"/>
    <cellStyle name="40% - Accent6 3 2 4 3 2" xfId="15164" xr:uid="{5F90CF49-5953-44B7-8D02-9AAD39EA0803}"/>
    <cellStyle name="40% - Accent6 3 2 4 4" xfId="10947" xr:uid="{61FE81E4-B2A2-4E4F-BC63-8663F4D375A3}"/>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73D7FE75-36EC-4153-8A46-D2E215AD63E2}"/>
    <cellStyle name="40% - Accent6 3 2 5 2 3" xfId="13505" xr:uid="{79899110-C227-4716-A9FE-E3E8AED9F3D0}"/>
    <cellStyle name="40% - Accent6 3 2 5 3" xfId="6251" xr:uid="{00000000-0005-0000-0000-000043070000}"/>
    <cellStyle name="40% - Accent6 3 2 5 3 2" xfId="15577" xr:uid="{A22B303F-C857-44C5-A0E9-98D06F21DED0}"/>
    <cellStyle name="40% - Accent6 3 2 5 4" xfId="11360" xr:uid="{AC2DB0C9-5D61-4558-971D-52BBDA4A5738}"/>
    <cellStyle name="40% - Accent6 3 2 6" xfId="2358" xr:uid="{00000000-0005-0000-0000-000044070000}"/>
    <cellStyle name="40% - Accent6 3 2 6 2" xfId="6664" xr:uid="{00000000-0005-0000-0000-000045070000}"/>
    <cellStyle name="40% - Accent6 3 2 6 2 2" xfId="15990" xr:uid="{41D79EAF-8CC7-4283-A88A-260E1DEDD322}"/>
    <cellStyle name="40% - Accent6 3 2 6 3" xfId="11773" xr:uid="{A6C4F8F1-2F1A-42C0-A18D-3E18BA57310B}"/>
    <cellStyle name="40% - Accent6 3 2 7" xfId="4598" xr:uid="{00000000-0005-0000-0000-000046070000}"/>
    <cellStyle name="40% - Accent6 3 2 7 2" xfId="13924" xr:uid="{C9586A90-9691-4F5F-B7A5-B37D4A64E7CD}"/>
    <cellStyle name="40% - Accent6 3 2 8" xfId="9079" xr:uid="{7FA93E2E-699F-4676-8533-A3CC5F80D807}"/>
    <cellStyle name="40% - Accent6 3 2 8 2" xfId="18403" xr:uid="{56B1B4D5-9188-46F5-8397-8557A1B092C7}"/>
    <cellStyle name="40% - Accent6 3 2 9" xfId="9707" xr:uid="{F1C4CF83-CFAA-44A6-8A1E-83C46C871F12}"/>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BB531D57-1EA9-485F-BA2B-249183566CAC}"/>
    <cellStyle name="40% - Accent6 3 3 2 3" xfId="12265" xr:uid="{E79B5F4A-40E1-4D14-A33A-032723B5DEB4}"/>
    <cellStyle name="40% - Accent6 3 3 3" xfId="5011" xr:uid="{00000000-0005-0000-0000-00004A070000}"/>
    <cellStyle name="40% - Accent6 3 3 3 2" xfId="14337" xr:uid="{0F5625D1-EB7D-4A72-BFB8-D281DB5626AD}"/>
    <cellStyle name="40% - Accent6 3 3 4" xfId="9297" xr:uid="{1226E28F-09E7-4580-8D19-7F14AC1CB4B3}"/>
    <cellStyle name="40% - Accent6 3 3 4 2" xfId="18612" xr:uid="{84278553-978B-4164-8120-ECB316694A2C}"/>
    <cellStyle name="40% - Accent6 3 3 5" xfId="10120" xr:uid="{A83BE69A-385A-4BCA-BE25-973D4B221DAC}"/>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BA65721F-901C-4353-AEC0-39AE102C1FC8}"/>
    <cellStyle name="40% - Accent6 3 4 2 3" xfId="12678" xr:uid="{F46A26FA-4073-4398-93E6-EA2CD483DF98}"/>
    <cellStyle name="40% - Accent6 3 4 3" xfId="5424" xr:uid="{00000000-0005-0000-0000-00004E070000}"/>
    <cellStyle name="40% - Accent6 3 4 3 2" xfId="14750" xr:uid="{B31EEDEE-8AA4-4424-8920-5287011E771A}"/>
    <cellStyle name="40% - Accent6 3 4 4" xfId="10533" xr:uid="{8F196FFC-284D-4346-BC99-3F25BF481FFD}"/>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7B4059E6-2B4A-4967-9F6F-87714DB74F81}"/>
    <cellStyle name="40% - Accent6 3 5 2 3" xfId="13091" xr:uid="{90A7E403-6A7F-4F99-B979-0FB92FBD54F4}"/>
    <cellStyle name="40% - Accent6 3 5 3" xfId="5837" xr:uid="{00000000-0005-0000-0000-000052070000}"/>
    <cellStyle name="40% - Accent6 3 5 3 2" xfId="15163" xr:uid="{05F8AB3F-F334-49FD-9836-A0E84CD571C4}"/>
    <cellStyle name="40% - Accent6 3 5 4" xfId="10946" xr:uid="{D96933E4-36BC-4D47-AE92-6B225D5C8AD1}"/>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52E478D7-8302-4563-92E5-BC5DF9DA0008}"/>
    <cellStyle name="40% - Accent6 3 6 2 3" xfId="13504" xr:uid="{C7F20640-A8A7-4880-97BB-D86855F5B5CD}"/>
    <cellStyle name="40% - Accent6 3 6 3" xfId="6250" xr:uid="{00000000-0005-0000-0000-000056070000}"/>
    <cellStyle name="40% - Accent6 3 6 3 2" xfId="15576" xr:uid="{0F87D45A-CBA3-462A-9D55-E890BD9B6A99}"/>
    <cellStyle name="40% - Accent6 3 6 4" xfId="11359" xr:uid="{978E7563-E508-442B-A68B-2BABE6A78813}"/>
    <cellStyle name="40% - Accent6 3 7" xfId="2357" xr:uid="{00000000-0005-0000-0000-000057070000}"/>
    <cellStyle name="40% - Accent6 3 7 2" xfId="6663" xr:uid="{00000000-0005-0000-0000-000058070000}"/>
    <cellStyle name="40% - Accent6 3 7 2 2" xfId="15989" xr:uid="{55D0F984-EAFD-477A-B56A-22C1E2E95770}"/>
    <cellStyle name="40% - Accent6 3 7 3" xfId="11772" xr:uid="{41EE69E3-DAD1-48EC-811E-7DA722A40EE5}"/>
    <cellStyle name="40% - Accent6 3 8" xfId="4597" xr:uid="{00000000-0005-0000-0000-000059070000}"/>
    <cellStyle name="40% - Accent6 3 8 2" xfId="13923" xr:uid="{70CF70B0-9A72-4301-835F-E11C24FC5844}"/>
    <cellStyle name="40% - Accent6 3 9" xfId="8872" xr:uid="{E018AF0F-504E-4DED-BF70-CC97997D74E9}"/>
    <cellStyle name="40% - Accent6 3 9 2" xfId="18196" xr:uid="{786194A6-361E-491C-ACD8-EA46BFFA1BB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3729E386-EE54-4EF5-91DB-FF33EE428014}"/>
    <cellStyle name="40% - Accent6 4 2 2 3" xfId="12267" xr:uid="{A080DE99-4E27-4A07-B9C1-4DAD62BF73C6}"/>
    <cellStyle name="40% - Accent6 4 2 3" xfId="5013" xr:uid="{00000000-0005-0000-0000-00005E070000}"/>
    <cellStyle name="40% - Accent6 4 2 3 2" xfId="14339" xr:uid="{6FE19C81-8B3E-4A16-B0F5-451559CDF82A}"/>
    <cellStyle name="40% - Accent6 4 2 4" xfId="9383" xr:uid="{07C7426F-B517-4815-A0BF-2BAE02B26B53}"/>
    <cellStyle name="40% - Accent6 4 2 4 2" xfId="18698" xr:uid="{9F7A0A50-7AAB-4186-8CC9-A0C429178E42}"/>
    <cellStyle name="40% - Accent6 4 2 5" xfId="10122" xr:uid="{A3684326-27BA-48E6-A6C9-AF085FE40799}"/>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FEAAF953-B2ED-4E47-8E32-17F1EE8B4A05}"/>
    <cellStyle name="40% - Accent6 4 3 2 3" xfId="12680" xr:uid="{CC527291-D83A-4D33-82EA-043377FB3802}"/>
    <cellStyle name="40% - Accent6 4 3 3" xfId="5426" xr:uid="{00000000-0005-0000-0000-000062070000}"/>
    <cellStyle name="40% - Accent6 4 3 3 2" xfId="14752" xr:uid="{E4226FA2-9567-4737-A6A0-31EFF059C111}"/>
    <cellStyle name="40% - Accent6 4 3 4" xfId="10535" xr:uid="{EB97E888-80E9-4E1F-B4F1-74753D19B755}"/>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957507F2-C974-4C7D-8DEF-378C2A315F52}"/>
    <cellStyle name="40% - Accent6 4 4 2 3" xfId="13093" xr:uid="{117D4F8C-B56B-46EE-8812-58B26D8B6D14}"/>
    <cellStyle name="40% - Accent6 4 4 3" xfId="5839" xr:uid="{00000000-0005-0000-0000-000066070000}"/>
    <cellStyle name="40% - Accent6 4 4 3 2" xfId="15165" xr:uid="{6B5D8386-942F-4099-8145-E45B1455B6C3}"/>
    <cellStyle name="40% - Accent6 4 4 4" xfId="10948" xr:uid="{53140399-BA41-4A9A-BCF1-795B849701F0}"/>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0B1E8DC3-7C97-4D9E-814E-8F8437ED7F0C}"/>
    <cellStyle name="40% - Accent6 4 5 2 3" xfId="13506" xr:uid="{C1C68F0F-7EA0-466C-BD36-05FEBA11DD8E}"/>
    <cellStyle name="40% - Accent6 4 5 3" xfId="6252" xr:uid="{00000000-0005-0000-0000-00006A070000}"/>
    <cellStyle name="40% - Accent6 4 5 3 2" xfId="15578" xr:uid="{DAB86781-F52B-42FD-8755-DF5411F16660}"/>
    <cellStyle name="40% - Accent6 4 5 4" xfId="11361" xr:uid="{BA2A4C19-2EE0-4871-8B07-5B4002E349CD}"/>
    <cellStyle name="40% - Accent6 4 6" xfId="2359" xr:uid="{00000000-0005-0000-0000-00006B070000}"/>
    <cellStyle name="40% - Accent6 4 6 2" xfId="6665" xr:uid="{00000000-0005-0000-0000-00006C070000}"/>
    <cellStyle name="40% - Accent6 4 6 2 2" xfId="15991" xr:uid="{9A82ABEF-807F-4CDF-983B-DCDAC0BAF4AE}"/>
    <cellStyle name="40% - Accent6 4 6 3" xfId="11774" xr:uid="{6A29A82C-0781-4ED3-BE45-2A1ABC617C03}"/>
    <cellStyle name="40% - Accent6 4 7" xfId="4599" xr:uid="{00000000-0005-0000-0000-00006D070000}"/>
    <cellStyle name="40% - Accent6 4 7 2" xfId="13925" xr:uid="{F5D1E1C4-7D36-49E0-9904-A09B0C26E0D1}"/>
    <cellStyle name="40% - Accent6 4 8" xfId="8958" xr:uid="{058203D5-6D6D-4106-8D68-93F66B236239}"/>
    <cellStyle name="40% - Accent6 4 8 2" xfId="18282" xr:uid="{CFDB9F60-3AE3-47DD-BE3A-71F0326A0614}"/>
    <cellStyle name="40% - Accent6 4 9" xfId="9708" xr:uid="{FDFC8A69-71A4-4E7E-8048-17C469504947}"/>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AD879431-99D2-4947-8949-7A265253216C}"/>
    <cellStyle name="40% - Accent6 5 2 3" xfId="12260" xr:uid="{63C001B7-2385-4CDD-9E78-016D1CDFD954}"/>
    <cellStyle name="40% - Accent6 5 3" xfId="5006" xr:uid="{00000000-0005-0000-0000-000071070000}"/>
    <cellStyle name="40% - Accent6 5 3 2" xfId="14332" xr:uid="{6F8D0D52-87B1-4769-9CC6-95F914BB6B70}"/>
    <cellStyle name="40% - Accent6 5 4" xfId="9192" xr:uid="{19661A88-B46A-4EF9-A9F3-4BCF8E242108}"/>
    <cellStyle name="40% - Accent6 5 4 2" xfId="18509" xr:uid="{795132B2-EC7E-4E43-A750-C834D7EFE9FD}"/>
    <cellStyle name="40% - Accent6 5 5" xfId="10115" xr:uid="{7DB0C7EF-36E6-47AA-8A17-A19C87F391AD}"/>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8D5DFA33-0006-40D5-BF83-11A76A2D199A}"/>
    <cellStyle name="40% - Accent6 6 2 3" xfId="12673" xr:uid="{29D6AC68-F751-484B-B9B2-0B95E9388F58}"/>
    <cellStyle name="40% - Accent6 6 3" xfId="5419" xr:uid="{00000000-0005-0000-0000-000075070000}"/>
    <cellStyle name="40% - Accent6 6 3 2" xfId="14745" xr:uid="{40014B26-2038-4AC1-A3A9-D86D61885ECE}"/>
    <cellStyle name="40% - Accent6 6 4" xfId="10528" xr:uid="{98AD32BC-A96B-4945-BF15-277798605141}"/>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26F0E8F1-D124-485D-A0F5-BC86F93FCC95}"/>
    <cellStyle name="40% - Accent6 7 2 3" xfId="13086" xr:uid="{3D12F89E-843B-4A14-B018-193D60C818FB}"/>
    <cellStyle name="40% - Accent6 7 3" xfId="5832" xr:uid="{00000000-0005-0000-0000-000079070000}"/>
    <cellStyle name="40% - Accent6 7 3 2" xfId="15158" xr:uid="{FA1F4358-2DC3-43B7-BFD7-EDD1B8318557}"/>
    <cellStyle name="40% - Accent6 7 4" xfId="10941" xr:uid="{B34CC940-70CC-4C4E-8AC7-E81AC2005F9E}"/>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CE0F2CE9-F5D6-4E6F-9FF4-F3CFA16A962B}"/>
    <cellStyle name="40% - Accent6 8 2 3" xfId="13499" xr:uid="{2E6C26FA-F696-43D0-ACE0-71AE49BBDBE5}"/>
    <cellStyle name="40% - Accent6 8 3" xfId="6245" xr:uid="{00000000-0005-0000-0000-00007D070000}"/>
    <cellStyle name="40% - Accent6 8 3 2" xfId="15571" xr:uid="{20CE7886-061B-4979-897D-CF1118E1AAA8}"/>
    <cellStyle name="40% - Accent6 8 4" xfId="11354" xr:uid="{1FDB7EB2-9A34-463D-9DBB-B36AA12C40AB}"/>
    <cellStyle name="40% - Accent6 9" xfId="2352" xr:uid="{00000000-0005-0000-0000-00007E070000}"/>
    <cellStyle name="40% - Accent6 9 2" xfId="6658" xr:uid="{00000000-0005-0000-0000-00007F070000}"/>
    <cellStyle name="40% - Accent6 9 2 2" xfId="15984" xr:uid="{093E6D42-C2B7-4EBD-B479-21F7E9A4804A}"/>
    <cellStyle name="40% - Accent6 9 3" xfId="11767" xr:uid="{DA683DF5-C53F-466B-BD2B-2D07B669505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D244BC75-A400-4FB0-9D04-FBB2242F461E}"/>
    <cellStyle name="Comma 4 2 2 2 10 3" xfId="12092" xr:uid="{72228A5F-42DD-43AC-B91C-5B93280CE4C1}"/>
    <cellStyle name="Comma 4 2 2 2 11" xfId="4600" xr:uid="{00000000-0005-0000-0000-0000A3070000}"/>
    <cellStyle name="Comma 4 2 2 2 11 2" xfId="13926" xr:uid="{314E147B-FBD8-4496-9F43-05D7F8B4E16A}"/>
    <cellStyle name="Comma 4 2 2 2 12" xfId="8806" xr:uid="{6C773D0B-D2E3-4A8C-B041-8DA2843B9E25}"/>
    <cellStyle name="Comma 4 2 2 2 12 2" xfId="18130" xr:uid="{3914CDE1-37B3-4EFF-B20A-9E7B28EF9A0F}"/>
    <cellStyle name="Comma 4 2 2 2 13" xfId="9709" xr:uid="{5A17768D-A399-49D3-BF43-CC8AA377619D}"/>
    <cellStyle name="Comma 4 2 2 2 2" xfId="129" xr:uid="{00000000-0005-0000-0000-0000A4070000}"/>
    <cellStyle name="Comma 4 2 2 2 2 10" xfId="4601" xr:uid="{00000000-0005-0000-0000-0000A5070000}"/>
    <cellStyle name="Comma 4 2 2 2 2 10 2" xfId="13927" xr:uid="{6B241E6C-F694-4FB3-88DB-965C36EF1E39}"/>
    <cellStyle name="Comma 4 2 2 2 2 11" xfId="8909" xr:uid="{477FCE05-1F49-4658-A03C-A8A5E7983C47}"/>
    <cellStyle name="Comma 4 2 2 2 2 11 2" xfId="18233" xr:uid="{DC34D93E-A492-4108-A271-729360D57CE6}"/>
    <cellStyle name="Comma 4 2 2 2 2 12" xfId="9710" xr:uid="{856464B3-53F6-4AE6-AE79-CBD5EFCD3981}"/>
    <cellStyle name="Comma 4 2 2 2 2 2" xfId="130" xr:uid="{00000000-0005-0000-0000-0000A6070000}"/>
    <cellStyle name="Comma 4 2 2 2 2 2 10" xfId="9116" xr:uid="{7A07505D-6B4C-4086-90B5-B5D345FB7611}"/>
    <cellStyle name="Comma 4 2 2 2 2 2 10 2" xfId="18440" xr:uid="{630872DE-44F0-4EAA-A2C1-D8F58255E58A}"/>
    <cellStyle name="Comma 4 2 2 2 2 2 11" xfId="9711" xr:uid="{E6269596-E746-4049-8D0C-FB8AD717E28B}"/>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AAD4877A-7DED-4FA7-98E0-51505AAD54E6}"/>
    <cellStyle name="Comma 4 2 2 2 2 2 2 2 3" xfId="12270" xr:uid="{BF040573-9C24-42C0-8D90-7A78F8E772EA}"/>
    <cellStyle name="Comma 4 2 2 2 2 2 2 3" xfId="5016" xr:uid="{00000000-0005-0000-0000-0000AA070000}"/>
    <cellStyle name="Comma 4 2 2 2 2 2 2 3 2" xfId="14342" xr:uid="{8E8001DD-D853-4485-87BC-23C7BBD3A133}"/>
    <cellStyle name="Comma 4 2 2 2 2 2 2 4" xfId="9541" xr:uid="{21DC771E-83A2-48BA-BE40-3E9E8454DE28}"/>
    <cellStyle name="Comma 4 2 2 2 2 2 2 4 2" xfId="18856" xr:uid="{CEBBE0EE-1390-40D5-85AE-6BE12E98C53C}"/>
    <cellStyle name="Comma 4 2 2 2 2 2 2 5" xfId="10125" xr:uid="{63477BFA-F578-4DF6-A7AF-E665C4267007}"/>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E59E6170-3B7B-4A5A-B0F5-27367404534A}"/>
    <cellStyle name="Comma 4 2 2 2 2 2 3 2 3" xfId="12683" xr:uid="{FD58F2E8-ACE4-4FAD-A242-F0BA1D98DC0E}"/>
    <cellStyle name="Comma 4 2 2 2 2 2 3 3" xfId="5429" xr:uid="{00000000-0005-0000-0000-0000AE070000}"/>
    <cellStyle name="Comma 4 2 2 2 2 2 3 3 2" xfId="14755" xr:uid="{CA574D72-8DB9-40CB-8DCA-3F589656B4C3}"/>
    <cellStyle name="Comma 4 2 2 2 2 2 3 4" xfId="10538" xr:uid="{59BF2DC3-DA8B-47C5-A9A0-498122CF3103}"/>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6CB5A80A-D69F-4B99-8B4F-65C1FF234883}"/>
    <cellStyle name="Comma 4 2 2 2 2 2 4 2 3" xfId="13096" xr:uid="{A6EC0969-C80E-4EB7-81E4-E6FA1788C758}"/>
    <cellStyle name="Comma 4 2 2 2 2 2 4 3" xfId="5842" xr:uid="{00000000-0005-0000-0000-0000B2070000}"/>
    <cellStyle name="Comma 4 2 2 2 2 2 4 3 2" xfId="15168" xr:uid="{C969EF4F-75AE-439D-A4D6-3EEAE938ABC9}"/>
    <cellStyle name="Comma 4 2 2 2 2 2 4 4" xfId="10951" xr:uid="{99D24358-A79B-477A-8D16-0CFE2FA7550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4F46D9B2-F233-43E9-A65F-AA6E098C3922}"/>
    <cellStyle name="Comma 4 2 2 2 2 2 5 2 3" xfId="13509" xr:uid="{E57E89C5-0F08-4ACC-982E-12FDD4C1D015}"/>
    <cellStyle name="Comma 4 2 2 2 2 2 5 3" xfId="6255" xr:uid="{00000000-0005-0000-0000-0000B6070000}"/>
    <cellStyle name="Comma 4 2 2 2 2 2 5 3 2" xfId="15581" xr:uid="{153ABDF1-6CD4-45A5-A2FD-2F9DCC8D511E}"/>
    <cellStyle name="Comma 4 2 2 2 2 2 5 4" xfId="11364" xr:uid="{94AECE05-CB80-407D-B2A0-0B6D510B7DA3}"/>
    <cellStyle name="Comma 4 2 2 2 2 2 6" xfId="2384" xr:uid="{00000000-0005-0000-0000-0000B7070000}"/>
    <cellStyle name="Comma 4 2 2 2 2 2 6 2" xfId="6668" xr:uid="{00000000-0005-0000-0000-0000B8070000}"/>
    <cellStyle name="Comma 4 2 2 2 2 2 6 2 2" xfId="15994" xr:uid="{924BFF36-FBF4-4130-B01F-6BACB9D07474}"/>
    <cellStyle name="Comma 4 2 2 2 2 2 6 3" xfId="11777" xr:uid="{D23FE2D0-2F7C-4FA7-8266-A0C13B9BA124}"/>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27154EEA-7B88-40AE-91E2-E3378DF68FC1}"/>
    <cellStyle name="Comma 4 2 2 2 2 2 8 3" xfId="12094" xr:uid="{A89C3167-D942-4AFF-B55D-03905DD55886}"/>
    <cellStyle name="Comma 4 2 2 2 2 2 9" xfId="4602" xr:uid="{00000000-0005-0000-0000-0000BC070000}"/>
    <cellStyle name="Comma 4 2 2 2 2 2 9 2" xfId="13928" xr:uid="{375FBAA7-139B-4A6D-9718-743C9421FF1D}"/>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C0D1900E-5D46-429C-8F2F-701836BB0285}"/>
    <cellStyle name="Comma 4 2 2 2 2 3 2 3" xfId="12269" xr:uid="{7DDAC377-FA06-44F5-9DBF-A5E8617342D3}"/>
    <cellStyle name="Comma 4 2 2 2 2 3 3" xfId="5015" xr:uid="{00000000-0005-0000-0000-0000C0070000}"/>
    <cellStyle name="Comma 4 2 2 2 2 3 3 2" xfId="14341" xr:uid="{7DE19068-0D41-49B8-9175-700D0454E78E}"/>
    <cellStyle name="Comma 4 2 2 2 2 3 4" xfId="9334" xr:uid="{50E8807F-6450-4082-BD30-0A86C2E78D0E}"/>
    <cellStyle name="Comma 4 2 2 2 2 3 4 2" xfId="18649" xr:uid="{FCEF6CBE-75C2-49FA-817D-DB2DD02505A3}"/>
    <cellStyle name="Comma 4 2 2 2 2 3 5" xfId="10124" xr:uid="{F918D630-C37A-4231-9B2A-2F1B99D1698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884493BF-66BF-436C-9B4E-010BD92BAECB}"/>
    <cellStyle name="Comma 4 2 2 2 2 4 2 3" xfId="12682" xr:uid="{36FA5B13-0F37-4492-8C3B-3F2943D8BE82}"/>
    <cellStyle name="Comma 4 2 2 2 2 4 3" xfId="5428" xr:uid="{00000000-0005-0000-0000-0000C4070000}"/>
    <cellStyle name="Comma 4 2 2 2 2 4 3 2" xfId="14754" xr:uid="{3CE0D586-C388-4701-AD2D-E9414BC6A395}"/>
    <cellStyle name="Comma 4 2 2 2 2 4 4" xfId="10537" xr:uid="{4B6C297C-5372-4702-8D82-7AA32072FBE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4BC302C6-A690-4525-8FB7-42832D4D7F2B}"/>
    <cellStyle name="Comma 4 2 2 2 2 5 2 3" xfId="13095" xr:uid="{37057C64-3A6C-4194-951D-F3254048E3CE}"/>
    <cellStyle name="Comma 4 2 2 2 2 5 3" xfId="5841" xr:uid="{00000000-0005-0000-0000-0000C8070000}"/>
    <cellStyle name="Comma 4 2 2 2 2 5 3 2" xfId="15167" xr:uid="{98E6D9C1-32CD-433E-92BF-CE8369F73318}"/>
    <cellStyle name="Comma 4 2 2 2 2 5 4" xfId="10950" xr:uid="{EEA80266-F5AC-4710-9755-D5728CE5D2C8}"/>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088D5D7F-42B4-4F7D-A816-161378AFB833}"/>
    <cellStyle name="Comma 4 2 2 2 2 6 2 3" xfId="13508" xr:uid="{50203DD7-D197-4B4D-8F4B-C9496C5D362E}"/>
    <cellStyle name="Comma 4 2 2 2 2 6 3" xfId="6254" xr:uid="{00000000-0005-0000-0000-0000CC070000}"/>
    <cellStyle name="Comma 4 2 2 2 2 6 3 2" xfId="15580" xr:uid="{E2450041-3A34-43F2-9D39-5F2ABB853BEF}"/>
    <cellStyle name="Comma 4 2 2 2 2 6 4" xfId="11363" xr:uid="{5EFD15E7-D20F-4D78-80A0-49CBD657B58E}"/>
    <cellStyle name="Comma 4 2 2 2 2 7" xfId="2383" xr:uid="{00000000-0005-0000-0000-0000CD070000}"/>
    <cellStyle name="Comma 4 2 2 2 2 7 2" xfId="6667" xr:uid="{00000000-0005-0000-0000-0000CE070000}"/>
    <cellStyle name="Comma 4 2 2 2 2 7 2 2" xfId="15993" xr:uid="{0AE7752F-6BD1-4F99-8A07-B227AF875127}"/>
    <cellStyle name="Comma 4 2 2 2 2 7 3" xfId="11776" xr:uid="{D69AA053-EEA4-4BFD-8E1F-3AABCDBE33EC}"/>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17204D5E-AC09-4688-9C21-4ABCB8F6C4D4}"/>
    <cellStyle name="Comma 4 2 2 2 2 9 3" xfId="12093" xr:uid="{388BA755-EBCE-49B8-A4F1-BCAB869B73A7}"/>
    <cellStyle name="Comma 4 2 2 2 3" xfId="131" xr:uid="{00000000-0005-0000-0000-0000D2070000}"/>
    <cellStyle name="Comma 4 2 2 2 3 10" xfId="9013" xr:uid="{D7491CA1-A7A0-4099-A659-9FB418CDDACA}"/>
    <cellStyle name="Comma 4 2 2 2 3 10 2" xfId="18337" xr:uid="{7A964776-62D6-4949-B3CA-862A02B1742B}"/>
    <cellStyle name="Comma 4 2 2 2 3 11" xfId="9712" xr:uid="{2757E48A-2714-44F6-AB12-FA8DD9C9C45D}"/>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D88A44F5-F05B-48E8-8241-6BED67ECC07F}"/>
    <cellStyle name="Comma 4 2 2 2 3 2 2 3" xfId="12271" xr:uid="{ABD2D78D-4A8B-4A78-B49E-A44ADCAA3EDC}"/>
    <cellStyle name="Comma 4 2 2 2 3 2 3" xfId="5017" xr:uid="{00000000-0005-0000-0000-0000D6070000}"/>
    <cellStyle name="Comma 4 2 2 2 3 2 3 2" xfId="14343" xr:uid="{3BDCE1B9-F29D-4EA7-B883-A697E64009FA}"/>
    <cellStyle name="Comma 4 2 2 2 3 2 4" xfId="9438" xr:uid="{8E9C4341-814A-43D1-8D35-8CCC512A2E32}"/>
    <cellStyle name="Comma 4 2 2 2 3 2 4 2" xfId="18753" xr:uid="{BB85ABE9-2219-4F93-A4ED-299AC2BF79B6}"/>
    <cellStyle name="Comma 4 2 2 2 3 2 5" xfId="10126" xr:uid="{EB9772E4-FF2F-4A3F-B4C8-83980BB468D1}"/>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C417390C-3F7C-4CA2-B4D8-23C99877970A}"/>
    <cellStyle name="Comma 4 2 2 2 3 3 2 3" xfId="12684" xr:uid="{2D6C1242-504C-4D49-AF58-89D3096655F8}"/>
    <cellStyle name="Comma 4 2 2 2 3 3 3" xfId="5430" xr:uid="{00000000-0005-0000-0000-0000DA070000}"/>
    <cellStyle name="Comma 4 2 2 2 3 3 3 2" xfId="14756" xr:uid="{496546A7-3E73-4481-B8A8-21A93EB26F5D}"/>
    <cellStyle name="Comma 4 2 2 2 3 3 4" xfId="10539" xr:uid="{4DCCE5F7-D848-4A8A-B9F5-E124D160A242}"/>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324D2C7F-302E-45C4-8D7A-D82FD3BAD38A}"/>
    <cellStyle name="Comma 4 2 2 2 3 4 2 3" xfId="13097" xr:uid="{85C970DB-7566-48FA-8E55-9BA040C1A56A}"/>
    <cellStyle name="Comma 4 2 2 2 3 4 3" xfId="5843" xr:uid="{00000000-0005-0000-0000-0000DE070000}"/>
    <cellStyle name="Comma 4 2 2 2 3 4 3 2" xfId="15169" xr:uid="{949B4747-D69C-4F3B-A636-DA4F9F6EEFF2}"/>
    <cellStyle name="Comma 4 2 2 2 3 4 4" xfId="10952" xr:uid="{A550144C-F762-436A-88D1-8232B6EC214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7F04CE70-3AAE-4AD1-9A00-2D4F0B98A143}"/>
    <cellStyle name="Comma 4 2 2 2 3 5 2 3" xfId="13510" xr:uid="{44E86335-2B78-4536-8ADE-F925507034F4}"/>
    <cellStyle name="Comma 4 2 2 2 3 5 3" xfId="6256" xr:uid="{00000000-0005-0000-0000-0000E2070000}"/>
    <cellStyle name="Comma 4 2 2 2 3 5 3 2" xfId="15582" xr:uid="{94FAF646-0EC1-4A85-AF97-D912B820A93A}"/>
    <cellStyle name="Comma 4 2 2 2 3 5 4" xfId="11365" xr:uid="{9BDB15D6-85C2-4387-9654-85255FEF0417}"/>
    <cellStyle name="Comma 4 2 2 2 3 6" xfId="2385" xr:uid="{00000000-0005-0000-0000-0000E3070000}"/>
    <cellStyle name="Comma 4 2 2 2 3 6 2" xfId="6669" xr:uid="{00000000-0005-0000-0000-0000E4070000}"/>
    <cellStyle name="Comma 4 2 2 2 3 6 2 2" xfId="15995" xr:uid="{4FAF3C17-9A02-4A8D-8E0D-C1E565A48597}"/>
    <cellStyle name="Comma 4 2 2 2 3 6 3" xfId="11778" xr:uid="{9EE7A4BF-740F-4CFE-99C4-985905E330C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26795BD9-ACC5-4A45-8D60-7986A1F25931}"/>
    <cellStyle name="Comma 4 2 2 2 3 8 3" xfId="12095" xr:uid="{8B28244E-7826-417B-96D1-B12B470E1847}"/>
    <cellStyle name="Comma 4 2 2 2 3 9" xfId="4603" xr:uid="{00000000-0005-0000-0000-0000E8070000}"/>
    <cellStyle name="Comma 4 2 2 2 3 9 2" xfId="13929" xr:uid="{A5DC249A-5824-4F85-ABBC-30233BBBE501}"/>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DC26D0DA-3F01-48E5-BA1A-E5936126CBA5}"/>
    <cellStyle name="Comma 4 2 2 2 4 2 3" xfId="12268" xr:uid="{AAB6A5EA-5930-4EDA-AF0D-CBD320C9508C}"/>
    <cellStyle name="Comma 4 2 2 2 4 3" xfId="5014" xr:uid="{00000000-0005-0000-0000-0000EC070000}"/>
    <cellStyle name="Comma 4 2 2 2 4 3 2" xfId="14340" xr:uid="{E99E73F3-02AC-4980-A52B-29C83D156162}"/>
    <cellStyle name="Comma 4 2 2 2 4 4" xfId="9231" xr:uid="{31DAC97A-9492-467B-9850-183797A56FBE}"/>
    <cellStyle name="Comma 4 2 2 2 4 4 2" xfId="18546" xr:uid="{1D943A93-4450-4834-8B88-05B62D4C6BD7}"/>
    <cellStyle name="Comma 4 2 2 2 4 5" xfId="10123" xr:uid="{8C007E1A-89A6-411E-A44F-2856D315638D}"/>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9B09F38F-F7E3-4546-81C1-3A0D4CD5201D}"/>
    <cellStyle name="Comma 4 2 2 2 5 2 3" xfId="12681" xr:uid="{E97B998A-4CD1-4D1E-B052-86A636487901}"/>
    <cellStyle name="Comma 4 2 2 2 5 3" xfId="5427" xr:uid="{00000000-0005-0000-0000-0000F0070000}"/>
    <cellStyle name="Comma 4 2 2 2 5 3 2" xfId="14753" xr:uid="{FE73E352-7357-4748-84D5-97199354A5CB}"/>
    <cellStyle name="Comma 4 2 2 2 5 4" xfId="10536" xr:uid="{26DC831F-DC28-4B1E-8421-AF3779FC433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268EE09A-289D-4E8C-A5C4-FE63040F44B5}"/>
    <cellStyle name="Comma 4 2 2 2 6 2 3" xfId="13094" xr:uid="{83765713-8A6B-465D-8B1F-7A7347937B4F}"/>
    <cellStyle name="Comma 4 2 2 2 6 3" xfId="5840" xr:uid="{00000000-0005-0000-0000-0000F4070000}"/>
    <cellStyle name="Comma 4 2 2 2 6 3 2" xfId="15166" xr:uid="{433082B4-B02B-43D7-8D77-EFE67A3FC884}"/>
    <cellStyle name="Comma 4 2 2 2 6 4" xfId="10949" xr:uid="{2F947D71-953C-43DE-9FC7-5205352C3B8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89453ACD-8EE9-454E-B87B-17284EBD0F50}"/>
    <cellStyle name="Comma 4 2 2 2 7 2 3" xfId="13507" xr:uid="{614E7AEE-D3C7-4945-A4A0-9841526EBED5}"/>
    <cellStyle name="Comma 4 2 2 2 7 3" xfId="6253" xr:uid="{00000000-0005-0000-0000-0000F8070000}"/>
    <cellStyle name="Comma 4 2 2 2 7 3 2" xfId="15579" xr:uid="{4CD0B21E-0669-4A9D-BC1C-C9E23DA54C32}"/>
    <cellStyle name="Comma 4 2 2 2 7 4" xfId="11362" xr:uid="{DDCE9733-42C5-47AB-B3E7-83BBE390337C}"/>
    <cellStyle name="Comma 4 2 2 2 8" xfId="2382" xr:uid="{00000000-0005-0000-0000-0000F9070000}"/>
    <cellStyle name="Comma 4 2 2 2 8 2" xfId="6666" xr:uid="{00000000-0005-0000-0000-0000FA070000}"/>
    <cellStyle name="Comma 4 2 2 2 8 2 2" xfId="15992" xr:uid="{7398C59F-EF7E-46F2-AF75-8DBD6E915D16}"/>
    <cellStyle name="Comma 4 2 2 2 8 3" xfId="11775" xr:uid="{DDD95E86-0659-48B0-AA36-BEE4F63E4D94}"/>
    <cellStyle name="Comma 4 2 2 2 9" xfId="2381" xr:uid="{00000000-0005-0000-0000-0000FB070000}"/>
    <cellStyle name="Comma 4 2 2 3" xfId="132" xr:uid="{00000000-0005-0000-0000-0000FC070000}"/>
    <cellStyle name="Comma 4 2 2 3 10" xfId="4604" xr:uid="{00000000-0005-0000-0000-0000FD070000}"/>
    <cellStyle name="Comma 4 2 2 3 10 2" xfId="13930" xr:uid="{0F550B50-4774-461A-B098-055F4CFE812A}"/>
    <cellStyle name="Comma 4 2 2 3 11" xfId="8889" xr:uid="{93813409-C042-4436-8561-B0237A135E7D}"/>
    <cellStyle name="Comma 4 2 2 3 11 2" xfId="18213" xr:uid="{CE297D8E-3D46-461E-B7BC-29429680566C}"/>
    <cellStyle name="Comma 4 2 2 3 12" xfId="9713" xr:uid="{92BB5BE7-5526-4301-94D7-21B0BB6574E4}"/>
    <cellStyle name="Comma 4 2 2 3 2" xfId="133" xr:uid="{00000000-0005-0000-0000-0000FE070000}"/>
    <cellStyle name="Comma 4 2 2 3 2 10" xfId="9096" xr:uid="{C395B6CC-7E3E-452B-B5AB-BBF992A45CEB}"/>
    <cellStyle name="Comma 4 2 2 3 2 10 2" xfId="18420" xr:uid="{D2B51074-FF0C-4CB0-AF60-1ABA27CA541F}"/>
    <cellStyle name="Comma 4 2 2 3 2 11" xfId="9714" xr:uid="{DC17EE6A-977C-4A46-9476-947781855B4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A1247BE5-4185-465F-9B2A-D0592FB9B0FD}"/>
    <cellStyle name="Comma 4 2 2 3 2 2 2 3" xfId="12273" xr:uid="{9F50300B-A9FC-4EA0-AF6C-CBF1E41223E8}"/>
    <cellStyle name="Comma 4 2 2 3 2 2 3" xfId="5019" xr:uid="{00000000-0005-0000-0000-000002080000}"/>
    <cellStyle name="Comma 4 2 2 3 2 2 3 2" xfId="14345" xr:uid="{4152E516-E4A4-41C3-99E1-19DC1F93B953}"/>
    <cellStyle name="Comma 4 2 2 3 2 2 4" xfId="9521" xr:uid="{8F14F654-C711-4E70-8A06-71F68E70E2E0}"/>
    <cellStyle name="Comma 4 2 2 3 2 2 4 2" xfId="18836" xr:uid="{39357A12-3393-4A12-A21A-26BB3D490AC7}"/>
    <cellStyle name="Comma 4 2 2 3 2 2 5" xfId="10128" xr:uid="{F69760C4-7910-4869-A764-A2EFB85DA044}"/>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00C76CF8-3CBD-48E2-BBAF-65D973ED7E7F}"/>
    <cellStyle name="Comma 4 2 2 3 2 3 2 3" xfId="12686" xr:uid="{CF98CA6B-FC5C-4F50-A46D-0ACF95C7C1DA}"/>
    <cellStyle name="Comma 4 2 2 3 2 3 3" xfId="5432" xr:uid="{00000000-0005-0000-0000-000006080000}"/>
    <cellStyle name="Comma 4 2 2 3 2 3 3 2" xfId="14758" xr:uid="{5AC728B9-5CFD-4FA4-9C03-BE3D57084E92}"/>
    <cellStyle name="Comma 4 2 2 3 2 3 4" xfId="10541" xr:uid="{015DB81E-AD44-48E9-BD50-1A6353BFAFBD}"/>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4C824111-5C9A-4D88-BE92-B5AA4D8087CC}"/>
    <cellStyle name="Comma 4 2 2 3 2 4 2 3" xfId="13099" xr:uid="{28CC8BC4-C945-4A32-B074-34CF6E3C4E39}"/>
    <cellStyle name="Comma 4 2 2 3 2 4 3" xfId="5845" xr:uid="{00000000-0005-0000-0000-00000A080000}"/>
    <cellStyle name="Comma 4 2 2 3 2 4 3 2" xfId="15171" xr:uid="{7146715A-F482-4F62-88CF-F3EACAB3D894}"/>
    <cellStyle name="Comma 4 2 2 3 2 4 4" xfId="10954" xr:uid="{B082B85B-D0AA-406F-B5BB-5D7D2E60CEE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3A399843-DB84-4542-BA17-2897900B9076}"/>
    <cellStyle name="Comma 4 2 2 3 2 5 2 3" xfId="13512" xr:uid="{79F712D9-8E94-4F18-89B7-2D264340D183}"/>
    <cellStyle name="Comma 4 2 2 3 2 5 3" xfId="6258" xr:uid="{00000000-0005-0000-0000-00000E080000}"/>
    <cellStyle name="Comma 4 2 2 3 2 5 3 2" xfId="15584" xr:uid="{C1AA7BAD-C8B9-42C9-B438-4CE002C95269}"/>
    <cellStyle name="Comma 4 2 2 3 2 5 4" xfId="11367" xr:uid="{B78A303D-BE4F-4692-98C7-23E95F0F928D}"/>
    <cellStyle name="Comma 4 2 2 3 2 6" xfId="2387" xr:uid="{00000000-0005-0000-0000-00000F080000}"/>
    <cellStyle name="Comma 4 2 2 3 2 6 2" xfId="6671" xr:uid="{00000000-0005-0000-0000-000010080000}"/>
    <cellStyle name="Comma 4 2 2 3 2 6 2 2" xfId="15997" xr:uid="{A00B2492-D64B-43A3-8FE1-F64A95338458}"/>
    <cellStyle name="Comma 4 2 2 3 2 6 3" xfId="11780" xr:uid="{8D4B0519-039A-4FD0-844E-79AB295646D6}"/>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EE26A9C-ABA2-4FB1-A1CC-10C10FB04C78}"/>
    <cellStyle name="Comma 4 2 2 3 2 8 3" xfId="12097" xr:uid="{211B5889-97F6-47B1-B6D0-24AB39D11E30}"/>
    <cellStyle name="Comma 4 2 2 3 2 9" xfId="4605" xr:uid="{00000000-0005-0000-0000-000014080000}"/>
    <cellStyle name="Comma 4 2 2 3 2 9 2" xfId="13931" xr:uid="{8B3BA1F2-A4E9-4AEF-B1C5-8878BCB7FE6E}"/>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9A429804-734E-4AF3-A8BA-863465D52A1E}"/>
    <cellStyle name="Comma 4 2 2 3 3 2 3" xfId="12272" xr:uid="{0F70BD3C-6556-42F2-998C-30D4D1A903B9}"/>
    <cellStyle name="Comma 4 2 2 3 3 3" xfId="5018" xr:uid="{00000000-0005-0000-0000-000018080000}"/>
    <cellStyle name="Comma 4 2 2 3 3 3 2" xfId="14344" xr:uid="{00ADBD0D-20FC-4CC6-9606-5B58FD14F570}"/>
    <cellStyle name="Comma 4 2 2 3 3 4" xfId="9314" xr:uid="{A74197AE-1229-40FC-8212-8FB289D74FF6}"/>
    <cellStyle name="Comma 4 2 2 3 3 4 2" xfId="18629" xr:uid="{DCDB305B-DF7D-450A-9E5A-C3D0E9A337DD}"/>
    <cellStyle name="Comma 4 2 2 3 3 5" xfId="10127" xr:uid="{606B683A-3049-4610-9825-6EB87AE9578A}"/>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66246D79-B514-4431-A4DB-6CB5F30B0D5A}"/>
    <cellStyle name="Comma 4 2 2 3 4 2 3" xfId="12685" xr:uid="{672C15AB-290C-4CE6-925E-2ABF9E23BA8D}"/>
    <cellStyle name="Comma 4 2 2 3 4 3" xfId="5431" xr:uid="{00000000-0005-0000-0000-00001C080000}"/>
    <cellStyle name="Comma 4 2 2 3 4 3 2" xfId="14757" xr:uid="{C5340D94-21C3-4B35-A880-314DB98F2922}"/>
    <cellStyle name="Comma 4 2 2 3 4 4" xfId="10540" xr:uid="{28488909-8C47-4FC5-AF53-91AF0566E157}"/>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8E7ADDB5-E907-48FB-A2A1-16A085C9B6F1}"/>
    <cellStyle name="Comma 4 2 2 3 5 2 3" xfId="13098" xr:uid="{37D6A0E6-D19E-40B8-B644-D89AA4917D7F}"/>
    <cellStyle name="Comma 4 2 2 3 5 3" xfId="5844" xr:uid="{00000000-0005-0000-0000-000020080000}"/>
    <cellStyle name="Comma 4 2 2 3 5 3 2" xfId="15170" xr:uid="{08BC45ED-07AB-4FC2-ADE5-38C3464A47F9}"/>
    <cellStyle name="Comma 4 2 2 3 5 4" xfId="10953" xr:uid="{02A41246-4850-468A-B716-148C2A235158}"/>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E67A8644-5919-4C7E-A992-299C25DBF0B1}"/>
    <cellStyle name="Comma 4 2 2 3 6 2 3" xfId="13511" xr:uid="{0BA95C41-323E-4AFF-AF5E-3E7457ED8ECF}"/>
    <cellStyle name="Comma 4 2 2 3 6 3" xfId="6257" xr:uid="{00000000-0005-0000-0000-000024080000}"/>
    <cellStyle name="Comma 4 2 2 3 6 3 2" xfId="15583" xr:uid="{E2A4E1C5-F96D-41B7-9692-971525C97DD6}"/>
    <cellStyle name="Comma 4 2 2 3 6 4" xfId="11366" xr:uid="{38951664-AE8E-4AE7-9EAC-CB10D11A7984}"/>
    <cellStyle name="Comma 4 2 2 3 7" xfId="2386" xr:uid="{00000000-0005-0000-0000-000025080000}"/>
    <cellStyle name="Comma 4 2 2 3 7 2" xfId="6670" xr:uid="{00000000-0005-0000-0000-000026080000}"/>
    <cellStyle name="Comma 4 2 2 3 7 2 2" xfId="15996" xr:uid="{214F9884-8D3F-4AC6-93D1-5D538B78EEAC}"/>
    <cellStyle name="Comma 4 2 2 3 7 3" xfId="11779" xr:uid="{107EAA06-B6A2-4CF0-ADC4-EE9E021CF513}"/>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AE4BD6F3-3372-4620-894F-3078C4261BAA}"/>
    <cellStyle name="Comma 4 2 2 3 9 3" xfId="12096" xr:uid="{982EF58B-96BF-4D03-987F-54A8C047D1BC}"/>
    <cellStyle name="Comma 4 2 2 4" xfId="134" xr:uid="{00000000-0005-0000-0000-00002A080000}"/>
    <cellStyle name="Comma 4 2 2 4 10" xfId="8993" xr:uid="{2969CB69-37C4-4C43-BC9D-87F92556F829}"/>
    <cellStyle name="Comma 4 2 2 4 10 2" xfId="18317" xr:uid="{73FF63AE-9615-41FA-87CF-65A5AC6817C7}"/>
    <cellStyle name="Comma 4 2 2 4 11" xfId="9715" xr:uid="{5C0C5519-2C23-4F58-88CA-2CB583B54A38}"/>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099FE779-493A-4423-A24D-AD6A1FA697F1}"/>
    <cellStyle name="Comma 4 2 2 4 2 2 3" xfId="12274" xr:uid="{957E21CF-70A4-41E9-8109-FE455E88CCD8}"/>
    <cellStyle name="Comma 4 2 2 4 2 3" xfId="5020" xr:uid="{00000000-0005-0000-0000-00002E080000}"/>
    <cellStyle name="Comma 4 2 2 4 2 3 2" xfId="14346" xr:uid="{9CC617DF-9812-4646-9AEA-E49C4860B18A}"/>
    <cellStyle name="Comma 4 2 2 4 2 4" xfId="9418" xr:uid="{F2EB07B7-2227-485D-9411-A8F75EC2F9DA}"/>
    <cellStyle name="Comma 4 2 2 4 2 4 2" xfId="18733" xr:uid="{1A77A534-3719-4792-8832-FDC9151FE0A6}"/>
    <cellStyle name="Comma 4 2 2 4 2 5" xfId="10129" xr:uid="{05F9AFE9-8AC3-41A3-8265-48D6012FF1E0}"/>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370C8B89-927A-4C80-9DF9-3F27B001E4FD}"/>
    <cellStyle name="Comma 4 2 2 4 3 2 3" xfId="12687" xr:uid="{DD55462D-AE69-4463-968F-9701B58437F7}"/>
    <cellStyle name="Comma 4 2 2 4 3 3" xfId="5433" xr:uid="{00000000-0005-0000-0000-000032080000}"/>
    <cellStyle name="Comma 4 2 2 4 3 3 2" xfId="14759" xr:uid="{53A5DE9E-9BE9-4A29-BDEB-580C204738AA}"/>
    <cellStyle name="Comma 4 2 2 4 3 4" xfId="10542" xr:uid="{ADC4B19C-67EB-4B70-AD48-18EC60A020C8}"/>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85E0C580-2ACE-442B-B791-C0A87DB57419}"/>
    <cellStyle name="Comma 4 2 2 4 4 2 3" xfId="13100" xr:uid="{714D459A-F4CC-4D55-B53D-E1913CE6F6A2}"/>
    <cellStyle name="Comma 4 2 2 4 4 3" xfId="5846" xr:uid="{00000000-0005-0000-0000-000036080000}"/>
    <cellStyle name="Comma 4 2 2 4 4 3 2" xfId="15172" xr:uid="{C51431A5-900D-4E1D-8139-5A0835DA998F}"/>
    <cellStyle name="Comma 4 2 2 4 4 4" xfId="10955" xr:uid="{4FCD09EE-57B3-4751-81B7-0C507A7CCB35}"/>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55037DE5-7E4F-409C-A1B4-8C64296EB4E8}"/>
    <cellStyle name="Comma 4 2 2 4 5 2 3" xfId="13513" xr:uid="{A6D0152E-9DE0-4B8A-BBED-35F4B77A6A1B}"/>
    <cellStyle name="Comma 4 2 2 4 5 3" xfId="6259" xr:uid="{00000000-0005-0000-0000-00003A080000}"/>
    <cellStyle name="Comma 4 2 2 4 5 3 2" xfId="15585" xr:uid="{8602CFD4-B273-4E2A-AA00-E7321742CF71}"/>
    <cellStyle name="Comma 4 2 2 4 5 4" xfId="11368" xr:uid="{005BF679-99CA-48BC-B890-A39D4A3279FE}"/>
    <cellStyle name="Comma 4 2 2 4 6" xfId="2388" xr:uid="{00000000-0005-0000-0000-00003B080000}"/>
    <cellStyle name="Comma 4 2 2 4 6 2" xfId="6672" xr:uid="{00000000-0005-0000-0000-00003C080000}"/>
    <cellStyle name="Comma 4 2 2 4 6 2 2" xfId="15998" xr:uid="{E26A3440-4E74-43D0-947F-09DE0075BCAC}"/>
    <cellStyle name="Comma 4 2 2 4 6 3" xfId="11781" xr:uid="{CEEAA827-6EFC-4132-BE57-35F6A83ED17E}"/>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A8C711F5-D882-45E7-B4CE-4A4DAAE626BC}"/>
    <cellStyle name="Comma 4 2 2 4 8 3" xfId="12098" xr:uid="{2C1249E1-F651-49BB-B04C-681B53FED871}"/>
    <cellStyle name="Comma 4 2 2 4 9" xfId="4606" xr:uid="{00000000-0005-0000-0000-000040080000}"/>
    <cellStyle name="Comma 4 2 2 4 9 2" xfId="13932" xr:uid="{9C4838AB-632A-4889-BAE3-856D24870975}"/>
    <cellStyle name="Comma 4 2 2 5" xfId="135" xr:uid="{00000000-0005-0000-0000-000041080000}"/>
    <cellStyle name="Comma 4 2 2 5 10" xfId="9210" xr:uid="{C1F9418B-EF96-4063-883D-A983E131C6A4}"/>
    <cellStyle name="Comma 4 2 2 5 10 2" xfId="18526" xr:uid="{7BFE1E99-7288-43EC-87A1-4CDAE83251FD}"/>
    <cellStyle name="Comma 4 2 2 5 11" xfId="9716" xr:uid="{921884EB-1DC7-494D-BA80-DC120A1E739D}"/>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70FB083E-00D9-49C5-B2E9-6F24DDD7ED9D}"/>
    <cellStyle name="Comma 4 2 2 5 2 2 3" xfId="12275" xr:uid="{52C19A8E-3A98-4D92-9CEF-BE9547096911}"/>
    <cellStyle name="Comma 4 2 2 5 2 3" xfId="5021" xr:uid="{00000000-0005-0000-0000-000045080000}"/>
    <cellStyle name="Comma 4 2 2 5 2 3 2" xfId="14347" xr:uid="{09FCCECF-5066-4024-AD36-9B737938372F}"/>
    <cellStyle name="Comma 4 2 2 5 2 4" xfId="9593" xr:uid="{3B41C66E-2108-4CBE-9776-211459781E55}"/>
    <cellStyle name="Comma 4 2 2 5 2 4 2" xfId="18897" xr:uid="{7901FC47-DD70-48FC-88E5-4F32ACD1F4AF}"/>
    <cellStyle name="Comma 4 2 2 5 2 5" xfId="10130" xr:uid="{41E5DCC5-CF7C-421F-A85C-1108C483F571}"/>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A30CA62C-B5DB-4A89-BFB7-1D15B383911E}"/>
    <cellStyle name="Comma 4 2 2 5 3 2 3" xfId="12688" xr:uid="{E571F81D-AE08-49ED-819C-A7D55F0CB953}"/>
    <cellStyle name="Comma 4 2 2 5 3 3" xfId="5434" xr:uid="{00000000-0005-0000-0000-000049080000}"/>
    <cellStyle name="Comma 4 2 2 5 3 3 2" xfId="14760" xr:uid="{D4AE86A9-939B-4C5A-9EFC-E9EFD370E8BB}"/>
    <cellStyle name="Comma 4 2 2 5 3 4" xfId="10543" xr:uid="{9A811DB9-F3C7-49A7-83CD-BBA62D00D90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4437144A-07BC-4917-A9B2-4B6CFF80B461}"/>
    <cellStyle name="Comma 4 2 2 5 4 2 3" xfId="13101" xr:uid="{CE3DF411-1AE2-4391-8DCD-D60D7A54DF9B}"/>
    <cellStyle name="Comma 4 2 2 5 4 3" xfId="5847" xr:uid="{00000000-0005-0000-0000-00004D080000}"/>
    <cellStyle name="Comma 4 2 2 5 4 3 2" xfId="15173" xr:uid="{B12D2272-84EC-482D-8538-D26E6D5658E6}"/>
    <cellStyle name="Comma 4 2 2 5 4 4" xfId="10956" xr:uid="{D0CD9421-69FA-4C72-878E-DFC75D82952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95D7EB6C-52FA-4039-BFC4-02010563043B}"/>
    <cellStyle name="Comma 4 2 2 5 5 2 3" xfId="13514" xr:uid="{A667B9AE-C7BA-4D57-84B0-70F47F4FE47A}"/>
    <cellStyle name="Comma 4 2 2 5 5 3" xfId="6260" xr:uid="{00000000-0005-0000-0000-000051080000}"/>
    <cellStyle name="Comma 4 2 2 5 5 3 2" xfId="15586" xr:uid="{6C2B92F2-BB6B-4BB8-8AB3-C631B6C44AE6}"/>
    <cellStyle name="Comma 4 2 2 5 5 4" xfId="11369" xr:uid="{1736E02A-B22B-4400-8E0E-718B8ED830A4}"/>
    <cellStyle name="Comma 4 2 2 5 6" xfId="2389" xr:uid="{00000000-0005-0000-0000-000052080000}"/>
    <cellStyle name="Comma 4 2 2 5 6 2" xfId="6673" xr:uid="{00000000-0005-0000-0000-000053080000}"/>
    <cellStyle name="Comma 4 2 2 5 6 2 2" xfId="15999" xr:uid="{B097D1EB-9C34-48BA-9AFF-377A460C5C3C}"/>
    <cellStyle name="Comma 4 2 2 5 6 3" xfId="11782" xr:uid="{EBCDA2C3-804A-4B33-9661-C45898FB9A48}"/>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95A5A210-01D4-4D3C-9634-23E0BD392F9A}"/>
    <cellStyle name="Comma 4 2 2 5 8 3" xfId="12099" xr:uid="{659AF034-1809-4D3B-A02F-7E7BE6039C99}"/>
    <cellStyle name="Comma 4 2 2 5 9" xfId="4607" xr:uid="{00000000-0005-0000-0000-000057080000}"/>
    <cellStyle name="Comma 4 2 2 5 9 2" xfId="13933" xr:uid="{B96AD327-941C-45FA-8A64-26B48AE1BAC3}"/>
    <cellStyle name="Comma 4 2 2 6" xfId="9228" xr:uid="{49D8FCED-23A7-48B2-8D10-F90787B2F62D}"/>
    <cellStyle name="Comma 4 2 2 7" xfId="8786" xr:uid="{8FDBE9F4-5F27-4B1B-A262-D62BF874EF16}"/>
    <cellStyle name="Comma 4 2 2 7 2" xfId="18110" xr:uid="{3E08181B-821C-4272-BB11-F8EAF53F4FAF}"/>
    <cellStyle name="Comma 4 2 3" xfId="136" xr:uid="{00000000-0005-0000-0000-000058080000}"/>
    <cellStyle name="Comma 4 2 3 10" xfId="2768" xr:uid="{00000000-0005-0000-0000-000059080000}"/>
    <cellStyle name="Comma 4 2 3 10 2" xfId="6991" xr:uid="{00000000-0005-0000-0000-00005A080000}"/>
    <cellStyle name="Comma 4 2 3 10 2 2" xfId="16317" xr:uid="{2B46FEB5-BCE8-4132-A26F-5AAA5FAAE8DB}"/>
    <cellStyle name="Comma 4 2 3 10 3" xfId="12100" xr:uid="{1E0A7086-3735-4124-BCA6-70410B1D95FA}"/>
    <cellStyle name="Comma 4 2 3 11" xfId="4608" xr:uid="{00000000-0005-0000-0000-00005B080000}"/>
    <cellStyle name="Comma 4 2 3 11 2" xfId="13934" xr:uid="{7EBD449C-C611-484E-AC3E-8B96FB28795E}"/>
    <cellStyle name="Comma 4 2 3 12" xfId="8805" xr:uid="{C45527F6-07B7-4887-BAF3-A6424444BA3B}"/>
    <cellStyle name="Comma 4 2 3 12 2" xfId="18129" xr:uid="{FE6EDFBA-1C49-4E72-BAC2-CBA87779FC10}"/>
    <cellStyle name="Comma 4 2 3 13" xfId="9717" xr:uid="{663068DE-448F-49C6-A90F-A04F1522C2FD}"/>
    <cellStyle name="Comma 4 2 3 2" xfId="137" xr:uid="{00000000-0005-0000-0000-00005C080000}"/>
    <cellStyle name="Comma 4 2 3 2 10" xfId="4609" xr:uid="{00000000-0005-0000-0000-00005D080000}"/>
    <cellStyle name="Comma 4 2 3 2 10 2" xfId="13935" xr:uid="{2520F112-080D-4637-B6CC-328AFCE8A01E}"/>
    <cellStyle name="Comma 4 2 3 2 11" xfId="8908" xr:uid="{E7021C11-E6EB-4392-A0AD-2A78F42B4BB7}"/>
    <cellStyle name="Comma 4 2 3 2 11 2" xfId="18232" xr:uid="{CF772BC5-FB2D-4196-A3CE-5C21CA685F21}"/>
    <cellStyle name="Comma 4 2 3 2 12" xfId="9718" xr:uid="{C33D8630-5468-4999-ADFC-3490731C6883}"/>
    <cellStyle name="Comma 4 2 3 2 2" xfId="138" xr:uid="{00000000-0005-0000-0000-00005E080000}"/>
    <cellStyle name="Comma 4 2 3 2 2 10" xfId="9115" xr:uid="{1A31CCC4-B2C0-4E0C-B714-855521500FE8}"/>
    <cellStyle name="Comma 4 2 3 2 2 10 2" xfId="18439" xr:uid="{8452B7D6-F88A-4F07-B5E5-C9971265CCB6}"/>
    <cellStyle name="Comma 4 2 3 2 2 11" xfId="9719" xr:uid="{DCA05D85-3F6B-45C5-A94E-8F300426B266}"/>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4F717B1C-C25E-4229-BC67-50D920CA1095}"/>
    <cellStyle name="Comma 4 2 3 2 2 2 2 3" xfId="12278" xr:uid="{66F6BBA1-EE3D-4939-B53D-CD7A194268D5}"/>
    <cellStyle name="Comma 4 2 3 2 2 2 3" xfId="5024" xr:uid="{00000000-0005-0000-0000-000062080000}"/>
    <cellStyle name="Comma 4 2 3 2 2 2 3 2" xfId="14350" xr:uid="{6D0F7F3F-1A98-41CB-A47A-91C20191F42E}"/>
    <cellStyle name="Comma 4 2 3 2 2 2 4" xfId="9540" xr:uid="{F922DD27-FEAE-4DB6-894F-26CD58815668}"/>
    <cellStyle name="Comma 4 2 3 2 2 2 4 2" xfId="18855" xr:uid="{86B76FBE-D78B-443B-9EE1-5395EEA44D5F}"/>
    <cellStyle name="Comma 4 2 3 2 2 2 5" xfId="10133" xr:uid="{3267B1DA-AA3D-48C6-838D-DAD6545B2749}"/>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2B7257E2-0F1C-44C7-A5E5-9191AA12D084}"/>
    <cellStyle name="Comma 4 2 3 2 2 3 2 3" xfId="12691" xr:uid="{D4EA4EB6-5118-475A-9331-DE837D601236}"/>
    <cellStyle name="Comma 4 2 3 2 2 3 3" xfId="5437" xr:uid="{00000000-0005-0000-0000-000066080000}"/>
    <cellStyle name="Comma 4 2 3 2 2 3 3 2" xfId="14763" xr:uid="{C0C11F54-3D59-4412-957B-5D276071C605}"/>
    <cellStyle name="Comma 4 2 3 2 2 3 4" xfId="10546" xr:uid="{13A970EB-4230-426A-9798-4EECA843CB3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280BF2F2-7003-4F8B-BCD8-A57BF4AA1173}"/>
    <cellStyle name="Comma 4 2 3 2 2 4 2 3" xfId="13104" xr:uid="{B9BCE5C7-D57E-437A-B40D-3CED3AEF9080}"/>
    <cellStyle name="Comma 4 2 3 2 2 4 3" xfId="5850" xr:uid="{00000000-0005-0000-0000-00006A080000}"/>
    <cellStyle name="Comma 4 2 3 2 2 4 3 2" xfId="15176" xr:uid="{8C267D4E-F2A1-46BA-A4CD-768FB467B90E}"/>
    <cellStyle name="Comma 4 2 3 2 2 4 4" xfId="10959" xr:uid="{4DD8330B-3D41-4A7A-9555-EE1CAF554919}"/>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03C61455-9E94-4992-B9D6-5F93F7BAD994}"/>
    <cellStyle name="Comma 4 2 3 2 2 5 2 3" xfId="13517" xr:uid="{56EEA2AC-6E6E-4F0B-BD4B-57DE6B327545}"/>
    <cellStyle name="Comma 4 2 3 2 2 5 3" xfId="6263" xr:uid="{00000000-0005-0000-0000-00006E080000}"/>
    <cellStyle name="Comma 4 2 3 2 2 5 3 2" xfId="15589" xr:uid="{01E766A9-E34A-4758-ACBB-63ECFCF09941}"/>
    <cellStyle name="Comma 4 2 3 2 2 5 4" xfId="11372" xr:uid="{B382A344-F3F6-4A61-B6FF-53F2911A6B0B}"/>
    <cellStyle name="Comma 4 2 3 2 2 6" xfId="2392" xr:uid="{00000000-0005-0000-0000-00006F080000}"/>
    <cellStyle name="Comma 4 2 3 2 2 6 2" xfId="6676" xr:uid="{00000000-0005-0000-0000-000070080000}"/>
    <cellStyle name="Comma 4 2 3 2 2 6 2 2" xfId="16002" xr:uid="{642CC956-6E5C-4C9A-80C7-26F5F4D87BD1}"/>
    <cellStyle name="Comma 4 2 3 2 2 6 3" xfId="11785" xr:uid="{B7E6FD7F-6D71-4EDB-A40B-EEBE8630474E}"/>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B72E5147-674F-4BD0-B271-50879E92D2C3}"/>
    <cellStyle name="Comma 4 2 3 2 2 8 3" xfId="12102" xr:uid="{83F292FC-9ACD-4BCC-B6C3-F67CE2522314}"/>
    <cellStyle name="Comma 4 2 3 2 2 9" xfId="4610" xr:uid="{00000000-0005-0000-0000-000074080000}"/>
    <cellStyle name="Comma 4 2 3 2 2 9 2" xfId="13936" xr:uid="{09056E91-4345-48AE-B97C-F079E2CA3BFE}"/>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42E1847C-40F8-4DF6-A90A-915182ECAD29}"/>
    <cellStyle name="Comma 4 2 3 2 3 2 3" xfId="12277" xr:uid="{B5D06955-9784-420F-910B-18E897087D7C}"/>
    <cellStyle name="Comma 4 2 3 2 3 3" xfId="5023" xr:uid="{00000000-0005-0000-0000-000078080000}"/>
    <cellStyle name="Comma 4 2 3 2 3 3 2" xfId="14349" xr:uid="{40589AEE-2569-4937-B965-EF8CA24F9115}"/>
    <cellStyle name="Comma 4 2 3 2 3 4" xfId="9333" xr:uid="{5C974796-1B06-4FA8-AB2A-F6B34628ACD4}"/>
    <cellStyle name="Comma 4 2 3 2 3 4 2" xfId="18648" xr:uid="{8606C85F-F84B-4CE2-920E-56F713460FDF}"/>
    <cellStyle name="Comma 4 2 3 2 3 5" xfId="10132" xr:uid="{B8EF7FA0-3207-4FA2-9C52-77C59DA0965F}"/>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B12CE996-40E6-4C54-85CA-C875240BAC9F}"/>
    <cellStyle name="Comma 4 2 3 2 4 2 3" xfId="12690" xr:uid="{3BABD5ED-847B-4A76-8282-89544257FF32}"/>
    <cellStyle name="Comma 4 2 3 2 4 3" xfId="5436" xr:uid="{00000000-0005-0000-0000-00007C080000}"/>
    <cellStyle name="Comma 4 2 3 2 4 3 2" xfId="14762" xr:uid="{28039040-E3E4-49EA-9980-C81FB6D92C2C}"/>
    <cellStyle name="Comma 4 2 3 2 4 4" xfId="10545" xr:uid="{746C92D3-37CA-480C-B77E-11B41E969E66}"/>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7CA9DB7A-F39A-437C-B012-CDF72D85447A}"/>
    <cellStyle name="Comma 4 2 3 2 5 2 3" xfId="13103" xr:uid="{4FFEF5C1-147F-4A03-B044-F2AFAAFD3ACF}"/>
    <cellStyle name="Comma 4 2 3 2 5 3" xfId="5849" xr:uid="{00000000-0005-0000-0000-000080080000}"/>
    <cellStyle name="Comma 4 2 3 2 5 3 2" xfId="15175" xr:uid="{B79DA56E-73D4-4034-B5A5-3CC45B70EF41}"/>
    <cellStyle name="Comma 4 2 3 2 5 4" xfId="10958" xr:uid="{460E67F1-FFFD-42D7-B489-2BDCA3FDE527}"/>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FC9255E9-B632-44B6-AB3B-B50F0E653902}"/>
    <cellStyle name="Comma 4 2 3 2 6 2 3" xfId="13516" xr:uid="{B3699900-EF67-4968-87CD-E698AD628653}"/>
    <cellStyle name="Comma 4 2 3 2 6 3" xfId="6262" xr:uid="{00000000-0005-0000-0000-000084080000}"/>
    <cellStyle name="Comma 4 2 3 2 6 3 2" xfId="15588" xr:uid="{FCEF75A6-A200-4D06-822C-76A7FFE90B56}"/>
    <cellStyle name="Comma 4 2 3 2 6 4" xfId="11371" xr:uid="{9EC91358-7183-4024-98E4-286325A728F3}"/>
    <cellStyle name="Comma 4 2 3 2 7" xfId="2391" xr:uid="{00000000-0005-0000-0000-000085080000}"/>
    <cellStyle name="Comma 4 2 3 2 7 2" xfId="6675" xr:uid="{00000000-0005-0000-0000-000086080000}"/>
    <cellStyle name="Comma 4 2 3 2 7 2 2" xfId="16001" xr:uid="{0D1D4363-BD3C-4B80-936A-F5DF238446C7}"/>
    <cellStyle name="Comma 4 2 3 2 7 3" xfId="11784" xr:uid="{507A927E-90D0-4D8D-9519-2AF456AB3A66}"/>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01CA8545-D3BB-4D58-B59A-705BEA93EDC3}"/>
    <cellStyle name="Comma 4 2 3 2 9 3" xfId="12101" xr:uid="{D4ADA679-1AFF-481C-AF01-9D48B725B4BF}"/>
    <cellStyle name="Comma 4 2 3 3" xfId="139" xr:uid="{00000000-0005-0000-0000-00008A080000}"/>
    <cellStyle name="Comma 4 2 3 3 10" xfId="9012" xr:uid="{61C0F117-76A9-43CA-B381-88B2CFF6294C}"/>
    <cellStyle name="Comma 4 2 3 3 10 2" xfId="18336" xr:uid="{1EB655C9-34F8-4407-9AB7-141CFD1513D6}"/>
    <cellStyle name="Comma 4 2 3 3 11" xfId="9720" xr:uid="{061E5AE5-A51D-45D5-A3BF-E27BB6F8FF4D}"/>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39F13EC0-D769-41A0-8B92-3F61752C1FBF}"/>
    <cellStyle name="Comma 4 2 3 3 2 2 3" xfId="12279" xr:uid="{BA9D1A9D-6624-4E0C-9600-14995EFFFB59}"/>
    <cellStyle name="Comma 4 2 3 3 2 3" xfId="5025" xr:uid="{00000000-0005-0000-0000-00008E080000}"/>
    <cellStyle name="Comma 4 2 3 3 2 3 2" xfId="14351" xr:uid="{EA6D68EA-E567-4698-A0F1-3607CECBA768}"/>
    <cellStyle name="Comma 4 2 3 3 2 4" xfId="9437" xr:uid="{35C6809B-E49F-4A7F-8CB1-650474E72B0A}"/>
    <cellStyle name="Comma 4 2 3 3 2 4 2" xfId="18752" xr:uid="{08017AF9-FA5C-4299-82E6-33B51E3DEABD}"/>
    <cellStyle name="Comma 4 2 3 3 2 5" xfId="10134" xr:uid="{6125F22B-F8A7-47DA-AAD2-BADB5B52A9BC}"/>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62AE9684-E59A-4D3D-A123-7F3B9EEF30B8}"/>
    <cellStyle name="Comma 4 2 3 3 3 2 3" xfId="12692" xr:uid="{98823626-32C9-4730-905B-62115E801311}"/>
    <cellStyle name="Comma 4 2 3 3 3 3" xfId="5438" xr:uid="{00000000-0005-0000-0000-000092080000}"/>
    <cellStyle name="Comma 4 2 3 3 3 3 2" xfId="14764" xr:uid="{F977601D-616B-4A2E-B421-43F26F6B26A6}"/>
    <cellStyle name="Comma 4 2 3 3 3 4" xfId="10547" xr:uid="{F697E752-11FF-4700-924E-E315F562237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AD324A9F-E071-4EFE-9352-996656B74C8C}"/>
    <cellStyle name="Comma 4 2 3 3 4 2 3" xfId="13105" xr:uid="{EAC16BA1-A16C-4C68-AA2D-3DA29C94AB97}"/>
    <cellStyle name="Comma 4 2 3 3 4 3" xfId="5851" xr:uid="{00000000-0005-0000-0000-000096080000}"/>
    <cellStyle name="Comma 4 2 3 3 4 3 2" xfId="15177" xr:uid="{56AC8E8B-69D9-4A9B-8652-9C3178F19688}"/>
    <cellStyle name="Comma 4 2 3 3 4 4" xfId="10960" xr:uid="{F77C0493-D5C0-42BA-BE86-FACAF7CEB6AD}"/>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B91D12B8-0405-4A5C-8401-6C97083D3C03}"/>
    <cellStyle name="Comma 4 2 3 3 5 2 3" xfId="13518" xr:uid="{D3D1C712-7C78-4DB9-8DF2-5AEB23643C41}"/>
    <cellStyle name="Comma 4 2 3 3 5 3" xfId="6264" xr:uid="{00000000-0005-0000-0000-00009A080000}"/>
    <cellStyle name="Comma 4 2 3 3 5 3 2" xfId="15590" xr:uid="{7B8E1480-60DF-4A16-B8B1-8E09665710F8}"/>
    <cellStyle name="Comma 4 2 3 3 5 4" xfId="11373" xr:uid="{E236C3D5-D246-4EFD-9EE2-E357F24FB72A}"/>
    <cellStyle name="Comma 4 2 3 3 6" xfId="2393" xr:uid="{00000000-0005-0000-0000-00009B080000}"/>
    <cellStyle name="Comma 4 2 3 3 6 2" xfId="6677" xr:uid="{00000000-0005-0000-0000-00009C080000}"/>
    <cellStyle name="Comma 4 2 3 3 6 2 2" xfId="16003" xr:uid="{6A06224B-FBD3-431F-AF16-70E4222F6F83}"/>
    <cellStyle name="Comma 4 2 3 3 6 3" xfId="11786" xr:uid="{02FCDCAE-07AC-4CE7-96D5-7ADF99002AFD}"/>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088AB137-DD83-4034-971E-C34ABC7AC00C}"/>
    <cellStyle name="Comma 4 2 3 3 8 3" xfId="12103" xr:uid="{5C615353-7B87-4EAD-979D-070BD8653821}"/>
    <cellStyle name="Comma 4 2 3 3 9" xfId="4611" xr:uid="{00000000-0005-0000-0000-0000A0080000}"/>
    <cellStyle name="Comma 4 2 3 3 9 2" xfId="13937" xr:uid="{5BA48FED-B793-400E-AB9D-C3E7F80D1687}"/>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29002AD6-FEDB-442F-917B-E35BE803DE80}"/>
    <cellStyle name="Comma 4 2 3 4 2 3" xfId="12276" xr:uid="{5BC2F3D0-80F6-4068-B50B-8F1E20D9B8C0}"/>
    <cellStyle name="Comma 4 2 3 4 3" xfId="5022" xr:uid="{00000000-0005-0000-0000-0000A4080000}"/>
    <cellStyle name="Comma 4 2 3 4 3 2" xfId="14348" xr:uid="{EFAAF29D-810F-42D2-ADF6-B7A52DE698F2}"/>
    <cellStyle name="Comma 4 2 3 4 4" xfId="9230" xr:uid="{24B6B749-023F-4009-8785-C6CFE1098E24}"/>
    <cellStyle name="Comma 4 2 3 4 4 2" xfId="18545" xr:uid="{3536A4B2-19BB-4265-B0F4-F572A0F77D2A}"/>
    <cellStyle name="Comma 4 2 3 4 5" xfId="10131" xr:uid="{6AC20FE6-1309-4629-AE32-E5EF2BEEE9CF}"/>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61C2E634-70D1-49CA-9E13-7404E6472075}"/>
    <cellStyle name="Comma 4 2 3 5 2 3" xfId="12689" xr:uid="{4E9D7572-6A9E-4FD2-96A9-8FCD6B884F68}"/>
    <cellStyle name="Comma 4 2 3 5 3" xfId="5435" xr:uid="{00000000-0005-0000-0000-0000A8080000}"/>
    <cellStyle name="Comma 4 2 3 5 3 2" xfId="14761" xr:uid="{49961D0B-77ED-46B7-9944-44602C7803E3}"/>
    <cellStyle name="Comma 4 2 3 5 4" xfId="10544" xr:uid="{55239AE8-DD35-4A76-BB59-B63EEDA6963E}"/>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930A8A39-1D2D-4223-BCC8-DA2431133759}"/>
    <cellStyle name="Comma 4 2 3 6 2 3" xfId="13102" xr:uid="{F001E081-4B59-47B8-9821-C454C00D45E4}"/>
    <cellStyle name="Comma 4 2 3 6 3" xfId="5848" xr:uid="{00000000-0005-0000-0000-0000AC080000}"/>
    <cellStyle name="Comma 4 2 3 6 3 2" xfId="15174" xr:uid="{4D92BE96-00CF-4514-9045-88BC50D0D81F}"/>
    <cellStyle name="Comma 4 2 3 6 4" xfId="10957" xr:uid="{C0127678-6F2A-479F-8072-404DB6540A4E}"/>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CD138E12-D4E0-4423-85AB-AEB6130F64A5}"/>
    <cellStyle name="Comma 4 2 3 7 2 3" xfId="13515" xr:uid="{41E81EDF-ED65-496E-9194-74A70B974BDE}"/>
    <cellStyle name="Comma 4 2 3 7 3" xfId="6261" xr:uid="{00000000-0005-0000-0000-0000B0080000}"/>
    <cellStyle name="Comma 4 2 3 7 3 2" xfId="15587" xr:uid="{257AB54C-E56F-44BA-BB7D-EB70CF85488E}"/>
    <cellStyle name="Comma 4 2 3 7 4" xfId="11370" xr:uid="{96145997-29DE-4F11-808C-3495F81E75E2}"/>
    <cellStyle name="Comma 4 2 3 8" xfId="2390" xr:uid="{00000000-0005-0000-0000-0000B1080000}"/>
    <cellStyle name="Comma 4 2 3 8 2" xfId="6674" xr:uid="{00000000-0005-0000-0000-0000B2080000}"/>
    <cellStyle name="Comma 4 2 3 8 2 2" xfId="16000" xr:uid="{86968726-4EA7-45AA-AE4E-029361F18DEA}"/>
    <cellStyle name="Comma 4 2 3 8 3" xfId="11783" xr:uid="{313428A8-D116-451B-AA83-C49A3D02FF61}"/>
    <cellStyle name="Comma 4 2 3 9" xfId="2373" xr:uid="{00000000-0005-0000-0000-0000B3080000}"/>
    <cellStyle name="Comma 4 2 4" xfId="140" xr:uid="{00000000-0005-0000-0000-0000B4080000}"/>
    <cellStyle name="Comma 4 2 4 10" xfId="4612" xr:uid="{00000000-0005-0000-0000-0000B5080000}"/>
    <cellStyle name="Comma 4 2 4 10 2" xfId="13938" xr:uid="{E4A778AF-2200-4100-B100-35747FD443CF}"/>
    <cellStyle name="Comma 4 2 4 11" xfId="8858" xr:uid="{B6A00C95-D04C-44B2-B8AF-67540882256C}"/>
    <cellStyle name="Comma 4 2 4 11 2" xfId="18182" xr:uid="{BEFB6EFF-61A9-420A-B052-76657946ECA5}"/>
    <cellStyle name="Comma 4 2 4 12" xfId="9721" xr:uid="{B9BAAC61-2829-4E88-9537-BE4DF356597B}"/>
    <cellStyle name="Comma 4 2 4 2" xfId="141" xr:uid="{00000000-0005-0000-0000-0000B6080000}"/>
    <cellStyle name="Comma 4 2 4 2 10" xfId="9065" xr:uid="{961AA06A-D943-447E-AADB-49B440E7E7CE}"/>
    <cellStyle name="Comma 4 2 4 2 10 2" xfId="18389" xr:uid="{D0DA80F9-38CC-4B80-A9F6-3B168F0492FA}"/>
    <cellStyle name="Comma 4 2 4 2 11" xfId="9722" xr:uid="{52E562F5-4C72-4C0D-9C16-12E77969C498}"/>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0EDF3FCE-7467-4E73-8A04-65317851CAB5}"/>
    <cellStyle name="Comma 4 2 4 2 2 2 3" xfId="12281" xr:uid="{9EC3DAC5-1907-4CFF-9A18-E519550952EB}"/>
    <cellStyle name="Comma 4 2 4 2 2 3" xfId="5027" xr:uid="{00000000-0005-0000-0000-0000BA080000}"/>
    <cellStyle name="Comma 4 2 4 2 2 3 2" xfId="14353" xr:uid="{0CA0B244-BFD3-49D0-A3CC-F7CD7F20D90B}"/>
    <cellStyle name="Comma 4 2 4 2 2 4" xfId="9490" xr:uid="{2FAEB1E6-7B41-437B-B2A9-4352AB4F4B98}"/>
    <cellStyle name="Comma 4 2 4 2 2 4 2" xfId="18805" xr:uid="{B79F3ECA-0995-40B7-8C0B-6413A90142E5}"/>
    <cellStyle name="Comma 4 2 4 2 2 5" xfId="10136" xr:uid="{8E3C7120-7AFB-4E72-82D1-8CDBD534CBDE}"/>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CF55888E-D0E0-4639-BB85-EF42C63B09AC}"/>
    <cellStyle name="Comma 4 2 4 2 3 2 3" xfId="12694" xr:uid="{036776AF-A894-4F6B-A0EA-62AD7784D707}"/>
    <cellStyle name="Comma 4 2 4 2 3 3" xfId="5440" xr:uid="{00000000-0005-0000-0000-0000BE080000}"/>
    <cellStyle name="Comma 4 2 4 2 3 3 2" xfId="14766" xr:uid="{9F5DA194-54A5-43CC-8665-FCB2A6F19905}"/>
    <cellStyle name="Comma 4 2 4 2 3 4" xfId="10549" xr:uid="{4384F093-6BAB-482C-95B6-932CEC9D4577}"/>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36F2303B-0CB0-41CF-AC45-AA82F3CEDEF2}"/>
    <cellStyle name="Comma 4 2 4 2 4 2 3" xfId="13107" xr:uid="{30A1FF31-5B7E-4396-914C-4AA8F1998810}"/>
    <cellStyle name="Comma 4 2 4 2 4 3" xfId="5853" xr:uid="{00000000-0005-0000-0000-0000C2080000}"/>
    <cellStyle name="Comma 4 2 4 2 4 3 2" xfId="15179" xr:uid="{02E5AC58-17EA-4E35-99CC-FB9C48FFF9AA}"/>
    <cellStyle name="Comma 4 2 4 2 4 4" xfId="10962" xr:uid="{AF3BD3E2-4B53-422C-859D-4388AF6B9788}"/>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6723504D-EE4D-4A1B-AFA5-C86D58519988}"/>
    <cellStyle name="Comma 4 2 4 2 5 2 3" xfId="13520" xr:uid="{DB507814-4058-4604-BC51-DB46288F72D6}"/>
    <cellStyle name="Comma 4 2 4 2 5 3" xfId="6266" xr:uid="{00000000-0005-0000-0000-0000C6080000}"/>
    <cellStyle name="Comma 4 2 4 2 5 3 2" xfId="15592" xr:uid="{BD4A17BB-1B70-4967-9AB5-58F3425C133C}"/>
    <cellStyle name="Comma 4 2 4 2 5 4" xfId="11375" xr:uid="{E17242F3-6373-46FE-BD9D-2A97A3ADC7E9}"/>
    <cellStyle name="Comma 4 2 4 2 6" xfId="2395" xr:uid="{00000000-0005-0000-0000-0000C7080000}"/>
    <cellStyle name="Comma 4 2 4 2 6 2" xfId="6679" xr:uid="{00000000-0005-0000-0000-0000C8080000}"/>
    <cellStyle name="Comma 4 2 4 2 6 2 2" xfId="16005" xr:uid="{58943AFA-6B39-4A19-BBE5-62D97454277C}"/>
    <cellStyle name="Comma 4 2 4 2 6 3" xfId="11788" xr:uid="{D7C63019-946C-4883-A86A-8BE33B648929}"/>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0C48F07B-95F1-4046-A7FC-AC1B45F0D313}"/>
    <cellStyle name="Comma 4 2 4 2 8 3" xfId="12105" xr:uid="{EF68B52B-E15F-4C07-9CFB-8842E2048FE2}"/>
    <cellStyle name="Comma 4 2 4 2 9" xfId="4613" xr:uid="{00000000-0005-0000-0000-0000CC080000}"/>
    <cellStyle name="Comma 4 2 4 2 9 2" xfId="13939" xr:uid="{D5431FDE-3117-42BA-A36F-2CC737203BCE}"/>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25F79245-6D0E-4221-AFBE-254544978B55}"/>
    <cellStyle name="Comma 4 2 4 3 2 3" xfId="12280" xr:uid="{B49C1AFF-98CA-420E-A9E2-99559ABB95CB}"/>
    <cellStyle name="Comma 4 2 4 3 3" xfId="5026" xr:uid="{00000000-0005-0000-0000-0000D0080000}"/>
    <cellStyle name="Comma 4 2 4 3 3 2" xfId="14352" xr:uid="{2A0DF870-72DA-4793-BECE-09C9077B9549}"/>
    <cellStyle name="Comma 4 2 4 3 4" xfId="9283" xr:uid="{7E46ED3C-A8F4-4512-93D9-5F41F1AC397C}"/>
    <cellStyle name="Comma 4 2 4 3 4 2" xfId="18598" xr:uid="{1265BFB4-7412-42B9-8C4A-FCFE4BC8D0DF}"/>
    <cellStyle name="Comma 4 2 4 3 5" xfId="10135" xr:uid="{8E6AA496-DA76-414D-B96A-69C3C27FCA26}"/>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765413E9-44AB-4336-8E6A-4CE3946127DF}"/>
    <cellStyle name="Comma 4 2 4 4 2 3" xfId="12693" xr:uid="{DE2DBCA9-9265-4C9F-9BB5-FE844E1802FF}"/>
    <cellStyle name="Comma 4 2 4 4 3" xfId="5439" xr:uid="{00000000-0005-0000-0000-0000D4080000}"/>
    <cellStyle name="Comma 4 2 4 4 3 2" xfId="14765" xr:uid="{DE2E04D0-BA2F-4906-85DD-2BC8B446B6A5}"/>
    <cellStyle name="Comma 4 2 4 4 4" xfId="10548" xr:uid="{5B530E81-6DEC-4DC9-A19F-4F41F0EDC3B6}"/>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D3946594-51FC-4B82-AD13-8393180C4DA8}"/>
    <cellStyle name="Comma 4 2 4 5 2 3" xfId="13106" xr:uid="{F40782B0-C25A-49A5-8752-1E997EA4E6E7}"/>
    <cellStyle name="Comma 4 2 4 5 3" xfId="5852" xr:uid="{00000000-0005-0000-0000-0000D8080000}"/>
    <cellStyle name="Comma 4 2 4 5 3 2" xfId="15178" xr:uid="{6AC56659-F67B-4364-BDBB-FD1E9981E650}"/>
    <cellStyle name="Comma 4 2 4 5 4" xfId="10961" xr:uid="{8BD6B597-0C2A-4C8B-8409-D50020BAF05D}"/>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5EF2DF2E-0796-4D74-8B05-00307FAC4761}"/>
    <cellStyle name="Comma 4 2 4 6 2 3" xfId="13519" xr:uid="{B6E6829F-AAB1-4553-8A57-36476DEB8DF8}"/>
    <cellStyle name="Comma 4 2 4 6 3" xfId="6265" xr:uid="{00000000-0005-0000-0000-0000DC080000}"/>
    <cellStyle name="Comma 4 2 4 6 3 2" xfId="15591" xr:uid="{DEECFD1E-19B8-48CF-8681-88F5181C0FD1}"/>
    <cellStyle name="Comma 4 2 4 6 4" xfId="11374" xr:uid="{C8C2452D-51D3-4A05-9711-997FD3B25216}"/>
    <cellStyle name="Comma 4 2 4 7" xfId="2394" xr:uid="{00000000-0005-0000-0000-0000DD080000}"/>
    <cellStyle name="Comma 4 2 4 7 2" xfId="6678" xr:uid="{00000000-0005-0000-0000-0000DE080000}"/>
    <cellStyle name="Comma 4 2 4 7 2 2" xfId="16004" xr:uid="{40E8977B-D36B-47E4-B40E-6A80A2468185}"/>
    <cellStyle name="Comma 4 2 4 7 3" xfId="11787" xr:uid="{26BC185E-5CDC-424F-A077-C42BC5DDB4C3}"/>
    <cellStyle name="Comma 4 2 4 8" xfId="2369" xr:uid="{00000000-0005-0000-0000-0000DF080000}"/>
    <cellStyle name="Comma 4 2 4 9" xfId="2772" xr:uid="{00000000-0005-0000-0000-0000E0080000}"/>
    <cellStyle name="Comma 4 2 4 9 2" xfId="6995" xr:uid="{00000000-0005-0000-0000-0000E1080000}"/>
    <cellStyle name="Comma 4 2 4 9 2 2" xfId="16321" xr:uid="{CC1096B7-ED0A-40DB-A3E5-2B3E3D87CE8B}"/>
    <cellStyle name="Comma 4 2 4 9 3" xfId="12104" xr:uid="{12747EB8-CD76-4525-B413-20009E81A3A5}"/>
    <cellStyle name="Comma 4 2 5" xfId="142" xr:uid="{00000000-0005-0000-0000-0000E2080000}"/>
    <cellStyle name="Comma 4 2 5 10" xfId="8974" xr:uid="{86B0C89A-8A2D-4755-B15D-84E412E1D380}"/>
    <cellStyle name="Comma 4 2 5 10 2" xfId="18298" xr:uid="{023EC472-EBA5-4E7C-A9B6-F126B7245E30}"/>
    <cellStyle name="Comma 4 2 5 11" xfId="9723" xr:uid="{9360A206-0219-4B51-830B-5B979424C0AB}"/>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D50E857F-78F8-4C63-9872-5542C4143805}"/>
    <cellStyle name="Comma 4 2 5 2 2 3" xfId="12282" xr:uid="{7217B6EA-081B-4605-B0DA-3CA46F5ACEAE}"/>
    <cellStyle name="Comma 4 2 5 2 3" xfId="5028" xr:uid="{00000000-0005-0000-0000-0000E6080000}"/>
    <cellStyle name="Comma 4 2 5 2 3 2" xfId="14354" xr:uid="{39C99311-0C44-4D5C-AF36-907CD04A08A7}"/>
    <cellStyle name="Comma 4 2 5 2 4" xfId="9399" xr:uid="{1B388BC7-1FC6-4DC3-B345-755F61B57864}"/>
    <cellStyle name="Comma 4 2 5 2 4 2" xfId="18714" xr:uid="{1450FFF1-C98D-4FE0-8166-0F38767E6CFE}"/>
    <cellStyle name="Comma 4 2 5 2 5" xfId="10137" xr:uid="{1309EB03-59B7-4FA0-8851-96001F0614D4}"/>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756E31F5-4CD4-4284-8F0B-CDADB5F15FD9}"/>
    <cellStyle name="Comma 4 2 5 3 2 3" xfId="12695" xr:uid="{40382E12-DFEC-450E-94B5-9F150F55D35C}"/>
    <cellStyle name="Comma 4 2 5 3 3" xfId="5441" xr:uid="{00000000-0005-0000-0000-0000EA080000}"/>
    <cellStyle name="Comma 4 2 5 3 3 2" xfId="14767" xr:uid="{265F769D-CDB5-432D-A219-1E1F62E0820A}"/>
    <cellStyle name="Comma 4 2 5 3 4" xfId="10550" xr:uid="{DF96AC75-6240-4748-B4A2-D34C33240967}"/>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0E7A9FBC-4AD0-4AC3-B0F3-8F42D158E823}"/>
    <cellStyle name="Comma 4 2 5 4 2 3" xfId="13108" xr:uid="{2D2EBF24-2A9D-40A7-9647-78E9EC71C454}"/>
    <cellStyle name="Comma 4 2 5 4 3" xfId="5854" xr:uid="{00000000-0005-0000-0000-0000EE080000}"/>
    <cellStyle name="Comma 4 2 5 4 3 2" xfId="15180" xr:uid="{508DE748-DAD8-4655-B9A5-F25298E456F4}"/>
    <cellStyle name="Comma 4 2 5 4 4" xfId="10963" xr:uid="{94544DDF-3DF4-4BDF-BF6D-F94232ECCB8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E7C9B43A-EAD7-4895-ADD3-D2BEC2AC4240}"/>
    <cellStyle name="Comma 4 2 5 5 2 3" xfId="13521" xr:uid="{854E7EA2-AC00-4762-8EDC-4B66431F2C78}"/>
    <cellStyle name="Comma 4 2 5 5 3" xfId="6267" xr:uid="{00000000-0005-0000-0000-0000F2080000}"/>
    <cellStyle name="Comma 4 2 5 5 3 2" xfId="15593" xr:uid="{7007E013-6200-426D-93CA-DFEE501BAA32}"/>
    <cellStyle name="Comma 4 2 5 5 4" xfId="11376" xr:uid="{D4BFCC46-07DE-4008-9DCE-C2AA6A1FFFF8}"/>
    <cellStyle name="Comma 4 2 5 6" xfId="2396" xr:uid="{00000000-0005-0000-0000-0000F3080000}"/>
    <cellStyle name="Comma 4 2 5 6 2" xfId="6680" xr:uid="{00000000-0005-0000-0000-0000F4080000}"/>
    <cellStyle name="Comma 4 2 5 6 2 2" xfId="16006" xr:uid="{BAD17682-69D8-46F3-9F5A-8DCC51D2A816}"/>
    <cellStyle name="Comma 4 2 5 6 3" xfId="11789" xr:uid="{41A44A80-867B-46AB-83B5-7F2531349B7C}"/>
    <cellStyle name="Comma 4 2 5 7" xfId="2367" xr:uid="{00000000-0005-0000-0000-0000F5080000}"/>
    <cellStyle name="Comma 4 2 5 8" xfId="2774" xr:uid="{00000000-0005-0000-0000-0000F6080000}"/>
    <cellStyle name="Comma 4 2 5 8 2" xfId="6997" xr:uid="{00000000-0005-0000-0000-0000F7080000}"/>
    <cellStyle name="Comma 4 2 5 8 2 2" xfId="16323" xr:uid="{25327661-4C3D-48A1-AA88-40AD56BB4052}"/>
    <cellStyle name="Comma 4 2 5 8 3" xfId="12106" xr:uid="{0FA51940-6FAF-44E6-BA15-804046EDF59A}"/>
    <cellStyle name="Comma 4 2 5 9" xfId="4614" xr:uid="{00000000-0005-0000-0000-0000F8080000}"/>
    <cellStyle name="Comma 4 2 5 9 2" xfId="13940" xr:uid="{F7FDACD3-9BCA-4AFB-9C58-3DEC262D8C00}"/>
    <cellStyle name="Comma 4 2 6" xfId="143" xr:uid="{00000000-0005-0000-0000-0000F9080000}"/>
    <cellStyle name="Comma 4 2 6 10" xfId="9177" xr:uid="{A20A3B72-7630-464F-8E57-DA2B9D6E44FB}"/>
    <cellStyle name="Comma 4 2 6 10 2" xfId="18495" xr:uid="{AE79955C-21CC-4BEF-B0FD-E41D793CA0CD}"/>
    <cellStyle name="Comma 4 2 6 11" xfId="9724" xr:uid="{2117EE19-5E8D-44BC-8542-CD2E895EE008}"/>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AF96914D-24F2-41D3-9E3F-6A0CF849E012}"/>
    <cellStyle name="Comma 4 2 6 2 2 3" xfId="12283" xr:uid="{9FEA4C6F-334B-4EA0-99C7-DC4930594DAF}"/>
    <cellStyle name="Comma 4 2 6 2 3" xfId="5029" xr:uid="{00000000-0005-0000-0000-0000FD080000}"/>
    <cellStyle name="Comma 4 2 6 2 3 2" xfId="14355" xr:uid="{FE37B702-D10D-4739-8661-D9A82E9265E1}"/>
    <cellStyle name="Comma 4 2 6 2 4" xfId="9594" xr:uid="{CCB8D3FE-19FC-4F7F-9966-44FD23A1A32A}"/>
    <cellStyle name="Comma 4 2 6 2 4 2" xfId="18898" xr:uid="{7E95469D-0E88-46F3-8D9A-117966D4247F}"/>
    <cellStyle name="Comma 4 2 6 2 5" xfId="10138" xr:uid="{4FD7BFD2-50FE-4082-B35A-5C3236FB0282}"/>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2450ACCF-2C88-4835-B50E-0CDD7CBEC091}"/>
    <cellStyle name="Comma 4 2 6 3 2 3" xfId="12696" xr:uid="{D67A94D1-BFBC-4A8C-A262-D07ABF51CABA}"/>
    <cellStyle name="Comma 4 2 6 3 3" xfId="5442" xr:uid="{00000000-0005-0000-0000-000001090000}"/>
    <cellStyle name="Comma 4 2 6 3 3 2" xfId="14768" xr:uid="{5C5DBA83-6B5D-4586-80CF-46FA3E18B60E}"/>
    <cellStyle name="Comma 4 2 6 3 4" xfId="10551" xr:uid="{DAB2162B-2042-451F-9A7D-6D86DF09FD28}"/>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0F7916F7-7EE3-4513-9E78-A2E7837B9DC2}"/>
    <cellStyle name="Comma 4 2 6 4 2 3" xfId="13109" xr:uid="{428881F1-F545-4C29-AC04-1B204E34A500}"/>
    <cellStyle name="Comma 4 2 6 4 3" xfId="5855" xr:uid="{00000000-0005-0000-0000-000005090000}"/>
    <cellStyle name="Comma 4 2 6 4 3 2" xfId="15181" xr:uid="{FAA5E8CF-C3A8-4CE0-AB8D-567F128E2DFF}"/>
    <cellStyle name="Comma 4 2 6 4 4" xfId="10964" xr:uid="{7C9A1E16-5CA9-4312-B3D9-47538EA87581}"/>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BC3406FB-02E5-4CBD-BEAA-D51D54D6202C}"/>
    <cellStyle name="Comma 4 2 6 5 2 3" xfId="13522" xr:uid="{30A48DEA-62CE-4DCB-A88E-D4E6D8109EEF}"/>
    <cellStyle name="Comma 4 2 6 5 3" xfId="6268" xr:uid="{00000000-0005-0000-0000-000009090000}"/>
    <cellStyle name="Comma 4 2 6 5 3 2" xfId="15594" xr:uid="{6E53B2CA-9829-4F79-B1E1-F2FECCB93AC9}"/>
    <cellStyle name="Comma 4 2 6 5 4" xfId="11377" xr:uid="{CCA7784D-C62F-4727-A1C4-B7EF135AF3EE}"/>
    <cellStyle name="Comma 4 2 6 6" xfId="2397" xr:uid="{00000000-0005-0000-0000-00000A090000}"/>
    <cellStyle name="Comma 4 2 6 6 2" xfId="6681" xr:uid="{00000000-0005-0000-0000-00000B090000}"/>
    <cellStyle name="Comma 4 2 6 6 2 2" xfId="16007" xr:uid="{094D323F-058E-4988-8F48-AA53D0286145}"/>
    <cellStyle name="Comma 4 2 6 6 3" xfId="11790" xr:uid="{AB22C674-8EF5-46D1-A9D0-8D95773FB958}"/>
    <cellStyle name="Comma 4 2 6 7" xfId="2366" xr:uid="{00000000-0005-0000-0000-00000C090000}"/>
    <cellStyle name="Comma 4 2 6 8" xfId="2775" xr:uid="{00000000-0005-0000-0000-00000D090000}"/>
    <cellStyle name="Comma 4 2 6 8 2" xfId="6998" xr:uid="{00000000-0005-0000-0000-00000E090000}"/>
    <cellStyle name="Comma 4 2 6 8 2 2" xfId="16324" xr:uid="{318E4F02-4A81-4387-9D91-ED4F174C7AB4}"/>
    <cellStyle name="Comma 4 2 6 8 3" xfId="12107" xr:uid="{B1D9B383-5A9C-4433-9408-E0F42A6D7408}"/>
    <cellStyle name="Comma 4 2 6 9" xfId="4615" xr:uid="{00000000-0005-0000-0000-00000F090000}"/>
    <cellStyle name="Comma 4 2 6 9 2" xfId="13941" xr:uid="{EFC038E5-0D9E-4676-8C2A-FB1E57CC327E}"/>
    <cellStyle name="Comma 4 2 7" xfId="9190" xr:uid="{C8B7F6BD-E2DD-41C7-A6AF-A5C7B900A7ED}"/>
    <cellStyle name="Comma 4 2 8" xfId="8755" xr:uid="{40286204-C766-4116-8542-387551AD6364}"/>
    <cellStyle name="Comma 4 2 8 2" xfId="18079" xr:uid="{50733FEF-CDD1-402B-B00F-F95AB8CC560E}"/>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08774E7D-0CC7-4C02-91A3-826B377163B1}"/>
    <cellStyle name="Comma 4 3 2 10 3" xfId="12108" xr:uid="{65613401-5C8A-4EBF-863C-285B1AFF27AB}"/>
    <cellStyle name="Comma 4 3 2 11" xfId="4616" xr:uid="{00000000-0005-0000-0000-000014090000}"/>
    <cellStyle name="Comma 4 3 2 11 2" xfId="13942" xr:uid="{581A680E-956D-4855-AA5A-AE2B03734FD6}"/>
    <cellStyle name="Comma 4 3 2 12" xfId="8807" xr:uid="{5C5EF314-D0DB-425B-AE7D-D52FEEE90EC1}"/>
    <cellStyle name="Comma 4 3 2 12 2" xfId="18131" xr:uid="{F9B4466C-DB46-4FAB-9C74-1BAE7B1ACD28}"/>
    <cellStyle name="Comma 4 3 2 13" xfId="9725" xr:uid="{518F1B5C-0D4D-4C29-8ED0-630E9CCF9EF5}"/>
    <cellStyle name="Comma 4 3 2 2" xfId="146" xr:uid="{00000000-0005-0000-0000-000015090000}"/>
    <cellStyle name="Comma 4 3 2 2 10" xfId="4617" xr:uid="{00000000-0005-0000-0000-000016090000}"/>
    <cellStyle name="Comma 4 3 2 2 10 2" xfId="13943" xr:uid="{3061EED3-C790-4B09-B9D7-9E8DA7D7AA1A}"/>
    <cellStyle name="Comma 4 3 2 2 11" xfId="8910" xr:uid="{15019DD0-71A0-438D-B796-68DE42B22692}"/>
    <cellStyle name="Comma 4 3 2 2 11 2" xfId="18234" xr:uid="{E09BED7D-BB18-4CBA-B7A3-00562977D200}"/>
    <cellStyle name="Comma 4 3 2 2 12" xfId="9726" xr:uid="{6E11230B-D3EB-4067-8417-F6C4CD1B43BD}"/>
    <cellStyle name="Comma 4 3 2 2 2" xfId="147" xr:uid="{00000000-0005-0000-0000-000017090000}"/>
    <cellStyle name="Comma 4 3 2 2 2 10" xfId="9117" xr:uid="{1409F531-DBF2-41E0-9C74-F9317358BA15}"/>
    <cellStyle name="Comma 4 3 2 2 2 10 2" xfId="18441" xr:uid="{CDEFBF23-904B-4CD2-941B-2DA274F1BFA8}"/>
    <cellStyle name="Comma 4 3 2 2 2 11" xfId="9727" xr:uid="{842F45DF-FC4E-490A-BE21-2FAB40A2B9D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5209CD05-0ED6-4D5E-90F7-873730BC192F}"/>
    <cellStyle name="Comma 4 3 2 2 2 2 2 3" xfId="12286" xr:uid="{A3D1B20E-FBE6-46E6-8642-6C36F22C0DE0}"/>
    <cellStyle name="Comma 4 3 2 2 2 2 3" xfId="5032" xr:uid="{00000000-0005-0000-0000-00001B090000}"/>
    <cellStyle name="Comma 4 3 2 2 2 2 3 2" xfId="14358" xr:uid="{BC548035-D6F8-453A-AA7E-82286A6CCA55}"/>
    <cellStyle name="Comma 4 3 2 2 2 2 4" xfId="9542" xr:uid="{26CD77CC-F017-4839-8245-BBF245D45E53}"/>
    <cellStyle name="Comma 4 3 2 2 2 2 4 2" xfId="18857" xr:uid="{9235A618-2026-4724-909D-FF82C719D76D}"/>
    <cellStyle name="Comma 4 3 2 2 2 2 5" xfId="10141" xr:uid="{ABC25826-DF88-4AE3-B7CA-62665811F1A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B5045667-5069-4185-BD52-36DBA9842583}"/>
    <cellStyle name="Comma 4 3 2 2 2 3 2 3" xfId="12699" xr:uid="{ADACD9F9-C986-4C5C-8BC1-10F369D319D7}"/>
    <cellStyle name="Comma 4 3 2 2 2 3 3" xfId="5445" xr:uid="{00000000-0005-0000-0000-00001F090000}"/>
    <cellStyle name="Comma 4 3 2 2 2 3 3 2" xfId="14771" xr:uid="{AA06BD76-9F50-4752-A3AE-B0AE2F997AC8}"/>
    <cellStyle name="Comma 4 3 2 2 2 3 4" xfId="10554" xr:uid="{A3BD355A-A745-434A-8A90-CB92A07EB2A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9C99CC5-E6DE-4A0D-9E85-405EFDB8F752}"/>
    <cellStyle name="Comma 4 3 2 2 2 4 2 3" xfId="13112" xr:uid="{847F826A-D8D5-41EE-BCE3-DB3CBE161AC8}"/>
    <cellStyle name="Comma 4 3 2 2 2 4 3" xfId="5858" xr:uid="{00000000-0005-0000-0000-000023090000}"/>
    <cellStyle name="Comma 4 3 2 2 2 4 3 2" xfId="15184" xr:uid="{BE6B6947-6130-41AA-A2ED-59050DE93484}"/>
    <cellStyle name="Comma 4 3 2 2 2 4 4" xfId="10967" xr:uid="{0829BBAC-DB84-4505-BBE1-FCA84D4B624C}"/>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404C02CF-6733-41A5-9619-F4A1CF0DA77B}"/>
    <cellStyle name="Comma 4 3 2 2 2 5 2 3" xfId="13525" xr:uid="{0CE58C1E-C911-4C02-BE56-BD8D261DFD9E}"/>
    <cellStyle name="Comma 4 3 2 2 2 5 3" xfId="6271" xr:uid="{00000000-0005-0000-0000-000027090000}"/>
    <cellStyle name="Comma 4 3 2 2 2 5 3 2" xfId="15597" xr:uid="{9DBA3C5E-2C99-421E-92AA-E15D82C50A9F}"/>
    <cellStyle name="Comma 4 3 2 2 2 5 4" xfId="11380" xr:uid="{ECD13FA6-4224-4CB3-AC86-DAFA303744D6}"/>
    <cellStyle name="Comma 4 3 2 2 2 6" xfId="2400" xr:uid="{00000000-0005-0000-0000-000028090000}"/>
    <cellStyle name="Comma 4 3 2 2 2 6 2" xfId="6684" xr:uid="{00000000-0005-0000-0000-000029090000}"/>
    <cellStyle name="Comma 4 3 2 2 2 6 2 2" xfId="16010" xr:uid="{DF747957-6B60-4E77-B629-849A8B13E754}"/>
    <cellStyle name="Comma 4 3 2 2 2 6 3" xfId="11793" xr:uid="{FA445422-885A-473E-9D5A-34A668CEE60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0429E501-0D61-4CB3-B079-DE384BC201F5}"/>
    <cellStyle name="Comma 4 3 2 2 2 8 3" xfId="12110" xr:uid="{5C871D9D-2184-478B-9489-64EAAF5951D7}"/>
    <cellStyle name="Comma 4 3 2 2 2 9" xfId="4618" xr:uid="{00000000-0005-0000-0000-00002D090000}"/>
    <cellStyle name="Comma 4 3 2 2 2 9 2" xfId="13944" xr:uid="{FF2B43F1-95BC-4880-9A02-5F1ED839B9EC}"/>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35503CE3-7B6E-446E-89E9-06FBC5A2F7E3}"/>
    <cellStyle name="Comma 4 3 2 2 3 2 3" xfId="12285" xr:uid="{4FC6D22B-8DB5-4AD9-89E3-C574C0796439}"/>
    <cellStyle name="Comma 4 3 2 2 3 3" xfId="5031" xr:uid="{00000000-0005-0000-0000-000031090000}"/>
    <cellStyle name="Comma 4 3 2 2 3 3 2" xfId="14357" xr:uid="{DB090A02-8EFC-493F-BBCE-9DFCA119CF03}"/>
    <cellStyle name="Comma 4 3 2 2 3 4" xfId="9335" xr:uid="{BACD532B-C811-4076-B107-03E74D1B7113}"/>
    <cellStyle name="Comma 4 3 2 2 3 4 2" xfId="18650" xr:uid="{D73D0295-D355-4DC6-8E49-25C2C43536BC}"/>
    <cellStyle name="Comma 4 3 2 2 3 5" xfId="10140" xr:uid="{1D0CAD16-E873-41D8-BC43-4608A3393AE9}"/>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672F239F-4082-4A35-9A02-6CA8CEACBC8A}"/>
    <cellStyle name="Comma 4 3 2 2 4 2 3" xfId="12698" xr:uid="{D3D27BCA-D893-4889-A5E1-1945E0528B27}"/>
    <cellStyle name="Comma 4 3 2 2 4 3" xfId="5444" xr:uid="{00000000-0005-0000-0000-000035090000}"/>
    <cellStyle name="Comma 4 3 2 2 4 3 2" xfId="14770" xr:uid="{B8B8BA5B-A4B0-49C8-8ED8-EF61F23D4126}"/>
    <cellStyle name="Comma 4 3 2 2 4 4" xfId="10553" xr:uid="{89565C63-359D-4D9B-9681-8F6CC8C2A557}"/>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B54AEA49-A768-4955-9BEB-E4728EA359F9}"/>
    <cellStyle name="Comma 4 3 2 2 5 2 3" xfId="13111" xr:uid="{FAB63BA0-0956-42C4-A241-4E2AE95EF1A0}"/>
    <cellStyle name="Comma 4 3 2 2 5 3" xfId="5857" xr:uid="{00000000-0005-0000-0000-000039090000}"/>
    <cellStyle name="Comma 4 3 2 2 5 3 2" xfId="15183" xr:uid="{BA5A4971-2DE9-4932-A3AC-4F3BF41ED1F7}"/>
    <cellStyle name="Comma 4 3 2 2 5 4" xfId="10966" xr:uid="{F0672DCF-F3E9-4FEF-9DB6-50725CB2B2DE}"/>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DC29ADCA-7F31-4291-B69F-119091319E35}"/>
    <cellStyle name="Comma 4 3 2 2 6 2 3" xfId="13524" xr:uid="{65B19E5D-77CF-4BD6-9319-FB40CE96ED8B}"/>
    <cellStyle name="Comma 4 3 2 2 6 3" xfId="6270" xr:uid="{00000000-0005-0000-0000-00003D090000}"/>
    <cellStyle name="Comma 4 3 2 2 6 3 2" xfId="15596" xr:uid="{EE270C62-2DC6-4E4E-A824-F7C0BDF477A6}"/>
    <cellStyle name="Comma 4 3 2 2 6 4" xfId="11379" xr:uid="{FDB5AADE-9EBC-4A0C-A912-ED40BC77B72B}"/>
    <cellStyle name="Comma 4 3 2 2 7" xfId="2399" xr:uid="{00000000-0005-0000-0000-00003E090000}"/>
    <cellStyle name="Comma 4 3 2 2 7 2" xfId="6683" xr:uid="{00000000-0005-0000-0000-00003F090000}"/>
    <cellStyle name="Comma 4 3 2 2 7 2 2" xfId="16009" xr:uid="{A89B3C6B-C578-4DE5-9033-612B8C6BB9DC}"/>
    <cellStyle name="Comma 4 3 2 2 7 3" xfId="11792" xr:uid="{EFA76B7D-4790-46A5-A67E-F19CF7F106A4}"/>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85C5AD2A-483F-4E1E-9C7D-FAA9B5F6C917}"/>
    <cellStyle name="Comma 4 3 2 2 9 3" xfId="12109" xr:uid="{12274254-0A6F-498C-8280-EA42A06E9D06}"/>
    <cellStyle name="Comma 4 3 2 3" xfId="148" xr:uid="{00000000-0005-0000-0000-000043090000}"/>
    <cellStyle name="Comma 4 3 2 3 10" xfId="9014" xr:uid="{46568903-2C47-4BC3-8E78-5A47F62B319C}"/>
    <cellStyle name="Comma 4 3 2 3 10 2" xfId="18338" xr:uid="{CBA8BE98-3A3F-4126-A24C-E389738AB6A0}"/>
    <cellStyle name="Comma 4 3 2 3 11" xfId="9728" xr:uid="{DBB6CA2C-8FC2-4E3C-8D08-F2AB59553C57}"/>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0930D726-7F49-480B-B4F6-7C9F333B720F}"/>
    <cellStyle name="Comma 4 3 2 3 2 2 3" xfId="12287" xr:uid="{328E4584-AF83-49AE-9B2B-FD8E04342110}"/>
    <cellStyle name="Comma 4 3 2 3 2 3" xfId="5033" xr:uid="{00000000-0005-0000-0000-000047090000}"/>
    <cellStyle name="Comma 4 3 2 3 2 3 2" xfId="14359" xr:uid="{5C29EC38-11AE-4310-A74F-D8701D4FC6C3}"/>
    <cellStyle name="Comma 4 3 2 3 2 4" xfId="9439" xr:uid="{2FD116B5-6902-4630-AFC5-CC8B06C5F457}"/>
    <cellStyle name="Comma 4 3 2 3 2 4 2" xfId="18754" xr:uid="{91BAC02C-567D-4861-84E3-A3C398B8F9CE}"/>
    <cellStyle name="Comma 4 3 2 3 2 5" xfId="10142" xr:uid="{C1943663-E46A-4F01-88D8-B7F56F7D1F15}"/>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A40D2966-A89D-440B-95FB-3BBC1E6AC39C}"/>
    <cellStyle name="Comma 4 3 2 3 3 2 3" xfId="12700" xr:uid="{D09E125F-F256-4EF7-A9DD-75345C2C6293}"/>
    <cellStyle name="Comma 4 3 2 3 3 3" xfId="5446" xr:uid="{00000000-0005-0000-0000-00004B090000}"/>
    <cellStyle name="Comma 4 3 2 3 3 3 2" xfId="14772" xr:uid="{FE73549A-892A-4659-9EC2-8498559A1B30}"/>
    <cellStyle name="Comma 4 3 2 3 3 4" xfId="10555" xr:uid="{90B0B1A0-3FFE-4F63-AED7-B2A6F0301392}"/>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A3A61A62-543B-4E17-B25D-49B69B8F3B61}"/>
    <cellStyle name="Comma 4 3 2 3 4 2 3" xfId="13113" xr:uid="{47FCB6AA-5106-4A96-AE9B-9CF291CCC167}"/>
    <cellStyle name="Comma 4 3 2 3 4 3" xfId="5859" xr:uid="{00000000-0005-0000-0000-00004F090000}"/>
    <cellStyle name="Comma 4 3 2 3 4 3 2" xfId="15185" xr:uid="{90075836-6EE7-4F66-ADF1-732EC008C02D}"/>
    <cellStyle name="Comma 4 3 2 3 4 4" xfId="10968" xr:uid="{EF065456-966E-46C0-BBB1-FBE7D5DF06A5}"/>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64552EBE-717E-4ADF-9A17-F3B3330731B8}"/>
    <cellStyle name="Comma 4 3 2 3 5 2 3" xfId="13526" xr:uid="{BCFE8D35-76CA-40FB-B035-8C317123AB3C}"/>
    <cellStyle name="Comma 4 3 2 3 5 3" xfId="6272" xr:uid="{00000000-0005-0000-0000-000053090000}"/>
    <cellStyle name="Comma 4 3 2 3 5 3 2" xfId="15598" xr:uid="{94C057F8-DB25-4C7D-93AD-88619D3B41A1}"/>
    <cellStyle name="Comma 4 3 2 3 5 4" xfId="11381" xr:uid="{26954800-E5F6-4041-8502-3DCD78D47385}"/>
    <cellStyle name="Comma 4 3 2 3 6" xfId="2401" xr:uid="{00000000-0005-0000-0000-000054090000}"/>
    <cellStyle name="Comma 4 3 2 3 6 2" xfId="6685" xr:uid="{00000000-0005-0000-0000-000055090000}"/>
    <cellStyle name="Comma 4 3 2 3 6 2 2" xfId="16011" xr:uid="{07BA99FB-6299-4F91-8875-058C972F95F9}"/>
    <cellStyle name="Comma 4 3 2 3 6 3" xfId="11794" xr:uid="{30FA5C95-DDE9-47A5-8131-97BDBB881EBF}"/>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19B6BFC2-BDA3-4583-9561-7B0C1A57B6F4}"/>
    <cellStyle name="Comma 4 3 2 3 8 3" xfId="12111" xr:uid="{8AECAF10-4690-4703-BAC0-4CEB7170555D}"/>
    <cellStyle name="Comma 4 3 2 3 9" xfId="4619" xr:uid="{00000000-0005-0000-0000-000059090000}"/>
    <cellStyle name="Comma 4 3 2 3 9 2" xfId="13945" xr:uid="{BB1C1F81-84EF-4265-8293-6B301FFA98D2}"/>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E5869A86-13C3-4790-BF15-82EBBCBF8338}"/>
    <cellStyle name="Comma 4 3 2 4 2 3" xfId="12284" xr:uid="{690B3228-9AD1-4329-A5DA-DEE6F9B8BB36}"/>
    <cellStyle name="Comma 4 3 2 4 3" xfId="5030" xr:uid="{00000000-0005-0000-0000-00005D090000}"/>
    <cellStyle name="Comma 4 3 2 4 3 2" xfId="14356" xr:uid="{3FAC1DBA-9A70-4BD5-861F-A51243A8BDBB}"/>
    <cellStyle name="Comma 4 3 2 4 4" xfId="9232" xr:uid="{8193451B-D8F0-40BD-91ED-34E7041117F6}"/>
    <cellStyle name="Comma 4 3 2 4 4 2" xfId="18547" xr:uid="{904F0E4C-0DDF-4429-A02D-B8E4BB96BC11}"/>
    <cellStyle name="Comma 4 3 2 4 5" xfId="10139" xr:uid="{427166D4-F4A6-40B7-AC98-DEAC6924CA71}"/>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DCA7EB83-E5A5-4E31-9F7C-BB89CBECF7C0}"/>
    <cellStyle name="Comma 4 3 2 5 2 3" xfId="12697" xr:uid="{0B7B79B8-401A-4616-B4A2-CAE6AB77C937}"/>
    <cellStyle name="Comma 4 3 2 5 3" xfId="5443" xr:uid="{00000000-0005-0000-0000-000061090000}"/>
    <cellStyle name="Comma 4 3 2 5 3 2" xfId="14769" xr:uid="{EFB9579F-7A7F-403B-9801-702C19B39CCE}"/>
    <cellStyle name="Comma 4 3 2 5 4" xfId="10552" xr:uid="{846FD6B8-5C13-4AE8-9766-D01D66EBDCA3}"/>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E9DA7256-4D05-4037-9949-C924C425609D}"/>
    <cellStyle name="Comma 4 3 2 6 2 3" xfId="13110" xr:uid="{87B63E67-3C05-4FE3-9EE0-B6046D4D9E6C}"/>
    <cellStyle name="Comma 4 3 2 6 3" xfId="5856" xr:uid="{00000000-0005-0000-0000-000065090000}"/>
    <cellStyle name="Comma 4 3 2 6 3 2" xfId="15182" xr:uid="{F54660F5-C9D9-40A2-A2DD-1056CD4F18C3}"/>
    <cellStyle name="Comma 4 3 2 6 4" xfId="10965" xr:uid="{FC389AFB-D6B8-4630-A3C2-69DC609DC937}"/>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C919BB7D-F224-4A1C-9E98-D2D370C845DC}"/>
    <cellStyle name="Comma 4 3 2 7 2 3" xfId="13523" xr:uid="{EFC6218B-47A6-4AEE-B0AE-C2FCFDBDE81B}"/>
    <cellStyle name="Comma 4 3 2 7 3" xfId="6269" xr:uid="{00000000-0005-0000-0000-000069090000}"/>
    <cellStyle name="Comma 4 3 2 7 3 2" xfId="15595" xr:uid="{8E939A60-E73A-4F9B-8CC1-92DD2C65807F}"/>
    <cellStyle name="Comma 4 3 2 7 4" xfId="11378" xr:uid="{856D0DAC-A9EF-4880-B797-F5AB6DAE5B82}"/>
    <cellStyle name="Comma 4 3 2 8" xfId="2398" xr:uid="{00000000-0005-0000-0000-00006A090000}"/>
    <cellStyle name="Comma 4 3 2 8 2" xfId="6682" xr:uid="{00000000-0005-0000-0000-00006B090000}"/>
    <cellStyle name="Comma 4 3 2 8 2 2" xfId="16008" xr:uid="{5A640682-CDCE-426A-8E62-A61499ED9883}"/>
    <cellStyle name="Comma 4 3 2 8 3" xfId="11791" xr:uid="{C4A5338F-0B2E-4FD6-8B66-E6D731708666}"/>
    <cellStyle name="Comma 4 3 2 9" xfId="2365" xr:uid="{00000000-0005-0000-0000-00006C090000}"/>
    <cellStyle name="Comma 4 3 3" xfId="149" xr:uid="{00000000-0005-0000-0000-00006D090000}"/>
    <cellStyle name="Comma 4 3 3 10" xfId="4620" xr:uid="{00000000-0005-0000-0000-00006E090000}"/>
    <cellStyle name="Comma 4 3 3 10 2" xfId="13946" xr:uid="{0BD564E6-B771-420B-BB03-71C91C8618D7}"/>
    <cellStyle name="Comma 4 3 3 11" xfId="8881" xr:uid="{ACA3BC7C-CED7-49C2-9DC3-E2A3989962E9}"/>
    <cellStyle name="Comma 4 3 3 11 2" xfId="18205" xr:uid="{6F39D581-657A-4A97-84CF-D0B083233232}"/>
    <cellStyle name="Comma 4 3 3 12" xfId="9729" xr:uid="{18338454-FC5F-4B31-82F9-56E8DE775833}"/>
    <cellStyle name="Comma 4 3 3 2" xfId="150" xr:uid="{00000000-0005-0000-0000-00006F090000}"/>
    <cellStyle name="Comma 4 3 3 2 10" xfId="9088" xr:uid="{D40CFC42-DEA3-4A4C-8532-2B6CFC29229D}"/>
    <cellStyle name="Comma 4 3 3 2 10 2" xfId="18412" xr:uid="{E6623012-E9BA-47E8-ADB3-D25E5F2E0D6C}"/>
    <cellStyle name="Comma 4 3 3 2 11" xfId="9730" xr:uid="{0EB88B97-C700-4B65-AAF1-A0D981ECC5E4}"/>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349A8FF0-D6CC-401D-9713-326CADAECEA1}"/>
    <cellStyle name="Comma 4 3 3 2 2 2 3" xfId="12289" xr:uid="{06D7F3A2-4FC9-4455-B060-4390ACD7A43F}"/>
    <cellStyle name="Comma 4 3 3 2 2 3" xfId="5035" xr:uid="{00000000-0005-0000-0000-000073090000}"/>
    <cellStyle name="Comma 4 3 3 2 2 3 2" xfId="14361" xr:uid="{E75ABC35-AB32-470F-83D7-B7E810071E41}"/>
    <cellStyle name="Comma 4 3 3 2 2 4" xfId="9513" xr:uid="{986E0DAD-8ABC-4DAC-9C56-EF87B6B3B829}"/>
    <cellStyle name="Comma 4 3 3 2 2 4 2" xfId="18828" xr:uid="{323A2C5D-A166-4F83-8E5E-10D3EFE819AD}"/>
    <cellStyle name="Comma 4 3 3 2 2 5" xfId="10144" xr:uid="{EF491AA2-BE67-4934-A4CA-A58978AAB99D}"/>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97FDA599-C51C-4B51-8820-F5808B05C7C8}"/>
    <cellStyle name="Comma 4 3 3 2 3 2 3" xfId="12702" xr:uid="{9ACFFC3A-5B14-43ED-A5A3-C5FC0BCF8138}"/>
    <cellStyle name="Comma 4 3 3 2 3 3" xfId="5448" xr:uid="{00000000-0005-0000-0000-000077090000}"/>
    <cellStyle name="Comma 4 3 3 2 3 3 2" xfId="14774" xr:uid="{FDECC571-53B1-49F4-8507-C3D336037D57}"/>
    <cellStyle name="Comma 4 3 3 2 3 4" xfId="10557" xr:uid="{A70D5526-7297-405A-93D2-DA0ED97E9374}"/>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CBF75F40-89B4-484E-A3B3-9216DBF6A84B}"/>
    <cellStyle name="Comma 4 3 3 2 4 2 3" xfId="13115" xr:uid="{F4907116-6325-4892-8FF7-C0158FE3BAA2}"/>
    <cellStyle name="Comma 4 3 3 2 4 3" xfId="5861" xr:uid="{00000000-0005-0000-0000-00007B090000}"/>
    <cellStyle name="Comma 4 3 3 2 4 3 2" xfId="15187" xr:uid="{82D3DE5F-C54F-4FFF-B707-2C396A08108A}"/>
    <cellStyle name="Comma 4 3 3 2 4 4" xfId="10970" xr:uid="{B085E547-62B4-4C35-AACD-CA05FFF365E8}"/>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2019A8FA-237E-44F2-B0A5-BF93623EBF58}"/>
    <cellStyle name="Comma 4 3 3 2 5 2 3" xfId="13528" xr:uid="{12839A6A-E273-4DEA-861B-1F679DF8E9CB}"/>
    <cellStyle name="Comma 4 3 3 2 5 3" xfId="6274" xr:uid="{00000000-0005-0000-0000-00007F090000}"/>
    <cellStyle name="Comma 4 3 3 2 5 3 2" xfId="15600" xr:uid="{46CDF5FC-8216-4AE9-80B3-B040102F394F}"/>
    <cellStyle name="Comma 4 3 3 2 5 4" xfId="11383" xr:uid="{54D6745E-A215-4037-9D8C-5F1AF0A1B7DB}"/>
    <cellStyle name="Comma 4 3 3 2 6" xfId="2403" xr:uid="{00000000-0005-0000-0000-000080090000}"/>
    <cellStyle name="Comma 4 3 3 2 6 2" xfId="6687" xr:uid="{00000000-0005-0000-0000-000081090000}"/>
    <cellStyle name="Comma 4 3 3 2 6 2 2" xfId="16013" xr:uid="{D6DBFFA2-26CF-4B80-886D-30DAF84ABBE3}"/>
    <cellStyle name="Comma 4 3 3 2 6 3" xfId="11796" xr:uid="{81510175-E4C0-4D37-A017-AFDEE5D36898}"/>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94CD3F2D-A28F-44F4-A93B-71418AD92044}"/>
    <cellStyle name="Comma 4 3 3 2 8 3" xfId="12113" xr:uid="{B24BD5B9-84A1-4499-AAA9-59778CC064B2}"/>
    <cellStyle name="Comma 4 3 3 2 9" xfId="4621" xr:uid="{00000000-0005-0000-0000-000085090000}"/>
    <cellStyle name="Comma 4 3 3 2 9 2" xfId="13947" xr:uid="{C378143B-02ED-4106-BC6B-9F7CB8E0EE48}"/>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35624E19-5E2F-4EF8-B597-E980E7FF0813}"/>
    <cellStyle name="Comma 4 3 3 3 2 3" xfId="12288" xr:uid="{9A04E0CE-D412-476D-BD05-59553F4246F1}"/>
    <cellStyle name="Comma 4 3 3 3 3" xfId="5034" xr:uid="{00000000-0005-0000-0000-000089090000}"/>
    <cellStyle name="Comma 4 3 3 3 3 2" xfId="14360" xr:uid="{D23EABAD-C43A-4DFA-B933-1A3ACE1CA28E}"/>
    <cellStyle name="Comma 4 3 3 3 4" xfId="9306" xr:uid="{6AC2749B-EC1D-4760-AD4B-F36381A669B6}"/>
    <cellStyle name="Comma 4 3 3 3 4 2" xfId="18621" xr:uid="{E078378B-6BB2-4A31-A2C9-1673AD743710}"/>
    <cellStyle name="Comma 4 3 3 3 5" xfId="10143" xr:uid="{1192D66F-17CC-40D7-AF61-E934B7C02DF7}"/>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6AE6AF0F-AEF6-4FEE-9061-8313D12C0F79}"/>
    <cellStyle name="Comma 4 3 3 4 2 3" xfId="12701" xr:uid="{D975596B-3DA2-44E2-9A81-FCB9B3168795}"/>
    <cellStyle name="Comma 4 3 3 4 3" xfId="5447" xr:uid="{00000000-0005-0000-0000-00008D090000}"/>
    <cellStyle name="Comma 4 3 3 4 3 2" xfId="14773" xr:uid="{DDFF5E01-6AE2-4BC7-A1E2-C461FEEAE356}"/>
    <cellStyle name="Comma 4 3 3 4 4" xfId="10556" xr:uid="{A0E7396C-F3B5-4567-BF59-064EA496AA08}"/>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6A3CACDD-1885-497D-AFA4-63E351CF0BD9}"/>
    <cellStyle name="Comma 4 3 3 5 2 3" xfId="13114" xr:uid="{A1EB33B9-61CC-42A4-82F0-A8BC561E304B}"/>
    <cellStyle name="Comma 4 3 3 5 3" xfId="5860" xr:uid="{00000000-0005-0000-0000-000091090000}"/>
    <cellStyle name="Comma 4 3 3 5 3 2" xfId="15186" xr:uid="{A5434F7D-30FE-4B65-9A8E-9D0859A7963C}"/>
    <cellStyle name="Comma 4 3 3 5 4" xfId="10969" xr:uid="{51F5D932-E045-4220-AF16-F7C0AC27A61E}"/>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E304E924-01E4-4851-BE3C-0A75CCE40B05}"/>
    <cellStyle name="Comma 4 3 3 6 2 3" xfId="13527" xr:uid="{D6BB403F-2E82-4311-9665-F47383C29C92}"/>
    <cellStyle name="Comma 4 3 3 6 3" xfId="6273" xr:uid="{00000000-0005-0000-0000-000095090000}"/>
    <cellStyle name="Comma 4 3 3 6 3 2" xfId="15599" xr:uid="{2E8F60E3-AB30-4CB0-AFE5-E610A2B9676F}"/>
    <cellStyle name="Comma 4 3 3 6 4" xfId="11382" xr:uid="{BB048AA6-E3DA-40F1-9D53-DCE42853B604}"/>
    <cellStyle name="Comma 4 3 3 7" xfId="2402" xr:uid="{00000000-0005-0000-0000-000096090000}"/>
    <cellStyle name="Comma 4 3 3 7 2" xfId="6686" xr:uid="{00000000-0005-0000-0000-000097090000}"/>
    <cellStyle name="Comma 4 3 3 7 2 2" xfId="16012" xr:uid="{F8320ECF-BF78-4869-97B1-857753D2D45A}"/>
    <cellStyle name="Comma 4 3 3 7 3" xfId="11795" xr:uid="{1C5CC0C1-A668-4671-8F9B-E317C915394A}"/>
    <cellStyle name="Comma 4 3 3 8" xfId="2361" xr:uid="{00000000-0005-0000-0000-000098090000}"/>
    <cellStyle name="Comma 4 3 3 9" xfId="2780" xr:uid="{00000000-0005-0000-0000-000099090000}"/>
    <cellStyle name="Comma 4 3 3 9 2" xfId="7003" xr:uid="{00000000-0005-0000-0000-00009A090000}"/>
    <cellStyle name="Comma 4 3 3 9 2 2" xfId="16329" xr:uid="{891AF740-3C49-448E-9406-3074D36102D3}"/>
    <cellStyle name="Comma 4 3 3 9 3" xfId="12112" xr:uid="{30D91EE3-86F6-4E8A-A35C-149C28D86746}"/>
    <cellStyle name="Comma 4 3 4" xfId="151" xr:uid="{00000000-0005-0000-0000-00009B090000}"/>
    <cellStyle name="Comma 4 3 4 10" xfId="8985" xr:uid="{E965CEC1-A932-4F91-9E18-794CBF7DC7FC}"/>
    <cellStyle name="Comma 4 3 4 10 2" xfId="18309" xr:uid="{12A81E99-09FF-4D7D-9196-5145D2EDEA4D}"/>
    <cellStyle name="Comma 4 3 4 11" xfId="9731" xr:uid="{B751EC5C-17E6-4284-9D6A-39205BE20AFA}"/>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8C5F8702-D6BE-405E-9D7C-CC3349530C16}"/>
    <cellStyle name="Comma 4 3 4 2 2 3" xfId="12290" xr:uid="{F5EB4A64-ADF6-486E-9D84-F45BE44245CD}"/>
    <cellStyle name="Comma 4 3 4 2 3" xfId="5036" xr:uid="{00000000-0005-0000-0000-00009F090000}"/>
    <cellStyle name="Comma 4 3 4 2 3 2" xfId="14362" xr:uid="{6527DBC4-E256-42F0-9378-75DC6AF13BA2}"/>
    <cellStyle name="Comma 4 3 4 2 4" xfId="9410" xr:uid="{54DEC146-6204-4AAF-A15F-BAC0A12B5984}"/>
    <cellStyle name="Comma 4 3 4 2 4 2" xfId="18725" xr:uid="{1C5014D4-3F13-4632-B283-2597ECBE0F8E}"/>
    <cellStyle name="Comma 4 3 4 2 5" xfId="10145" xr:uid="{0CAA63AC-4570-4668-87ED-ABD1E8F43880}"/>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15D14BAA-A5EB-465C-8E15-297CF032CBEB}"/>
    <cellStyle name="Comma 4 3 4 3 2 3" xfId="12703" xr:uid="{7993D63C-7FE7-4B0D-A5A5-BCC41426C9D7}"/>
    <cellStyle name="Comma 4 3 4 3 3" xfId="5449" xr:uid="{00000000-0005-0000-0000-0000A3090000}"/>
    <cellStyle name="Comma 4 3 4 3 3 2" xfId="14775" xr:uid="{66F27A86-A880-4D7D-B01A-393E2C3B27F9}"/>
    <cellStyle name="Comma 4 3 4 3 4" xfId="10558" xr:uid="{FD57DFD1-2C2B-4E2C-979D-6B4B94A14D5A}"/>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67C5872E-B1DE-424D-B40D-117DAA0772DC}"/>
    <cellStyle name="Comma 4 3 4 4 2 3" xfId="13116" xr:uid="{D451A2AB-6428-4676-A9FD-DC9B5F6BE420}"/>
    <cellStyle name="Comma 4 3 4 4 3" xfId="5862" xr:uid="{00000000-0005-0000-0000-0000A7090000}"/>
    <cellStyle name="Comma 4 3 4 4 3 2" xfId="15188" xr:uid="{E196A100-4918-4535-B24F-154FFBE286B0}"/>
    <cellStyle name="Comma 4 3 4 4 4" xfId="10971" xr:uid="{E1DECA88-20F3-4191-913B-36964168BA1A}"/>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EF1034EF-42BB-4C94-86F0-798208957DBF}"/>
    <cellStyle name="Comma 4 3 4 5 2 3" xfId="13529" xr:uid="{059300B9-588D-470D-A96E-DC743AC9618E}"/>
    <cellStyle name="Comma 4 3 4 5 3" xfId="6275" xr:uid="{00000000-0005-0000-0000-0000AB090000}"/>
    <cellStyle name="Comma 4 3 4 5 3 2" xfId="15601" xr:uid="{059B310E-9C9A-4FFA-9359-F26776F7F09F}"/>
    <cellStyle name="Comma 4 3 4 5 4" xfId="11384" xr:uid="{B2006FBD-9EFA-4088-B00D-16AA0C6446F3}"/>
    <cellStyle name="Comma 4 3 4 6" xfId="2404" xr:uid="{00000000-0005-0000-0000-0000AC090000}"/>
    <cellStyle name="Comma 4 3 4 6 2" xfId="6688" xr:uid="{00000000-0005-0000-0000-0000AD090000}"/>
    <cellStyle name="Comma 4 3 4 6 2 2" xfId="16014" xr:uid="{2F35B4F1-3DA4-48AD-BCE2-5B8277EE64FB}"/>
    <cellStyle name="Comma 4 3 4 6 3" xfId="11797" xr:uid="{DA029A63-AB3B-4048-A712-D7C6613D3017}"/>
    <cellStyle name="Comma 4 3 4 7" xfId="2700" xr:uid="{00000000-0005-0000-0000-0000AE090000}"/>
    <cellStyle name="Comma 4 3 4 8" xfId="2782" xr:uid="{00000000-0005-0000-0000-0000AF090000}"/>
    <cellStyle name="Comma 4 3 4 8 2" xfId="7005" xr:uid="{00000000-0005-0000-0000-0000B0090000}"/>
    <cellStyle name="Comma 4 3 4 8 2 2" xfId="16331" xr:uid="{DE5E5A73-9F3A-4301-A842-6E56A5F755B8}"/>
    <cellStyle name="Comma 4 3 4 8 3" xfId="12114" xr:uid="{35504C1E-2C65-4E3D-A32D-07A912688AD6}"/>
    <cellStyle name="Comma 4 3 4 9" xfId="4622" xr:uid="{00000000-0005-0000-0000-0000B1090000}"/>
    <cellStyle name="Comma 4 3 4 9 2" xfId="13948" xr:uid="{5846448A-4A97-4394-B03C-A158761B75CD}"/>
    <cellStyle name="Comma 4 3 5" xfId="152" xr:uid="{00000000-0005-0000-0000-0000B2090000}"/>
    <cellStyle name="Comma 4 3 5 10" xfId="9202" xr:uid="{BF5456DA-E11C-47BD-8210-21F45D9E5F79}"/>
    <cellStyle name="Comma 4 3 5 10 2" xfId="18518" xr:uid="{26B856D7-E648-4D3A-BE91-8BE1EF8BF445}"/>
    <cellStyle name="Comma 4 3 5 11" xfId="9732" xr:uid="{6D755879-CAAD-471E-A831-892140DFDBA7}"/>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1F20A445-8C92-4530-9CFD-86107EC44BC3}"/>
    <cellStyle name="Comma 4 3 5 2 2 3" xfId="12291" xr:uid="{092AB69C-905A-4772-AFCD-74847D39B1AB}"/>
    <cellStyle name="Comma 4 3 5 2 3" xfId="5037" xr:uid="{00000000-0005-0000-0000-0000B6090000}"/>
    <cellStyle name="Comma 4 3 5 2 3 2" xfId="14363" xr:uid="{70245E48-A247-4748-8FD4-014D1BB67D0B}"/>
    <cellStyle name="Comma 4 3 5 2 4" xfId="9595" xr:uid="{3E6BF710-D2EA-4AFB-83F1-C6BF1C2192FF}"/>
    <cellStyle name="Comma 4 3 5 2 4 2" xfId="18899" xr:uid="{FDE85396-D86C-41FD-9A69-00583C6F48A0}"/>
    <cellStyle name="Comma 4 3 5 2 5" xfId="10146" xr:uid="{3EE2E6DC-32EC-4528-8EAE-237767656395}"/>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701ABCB4-4CA6-492B-AFFF-AF173B5DE519}"/>
    <cellStyle name="Comma 4 3 5 3 2 3" xfId="12704" xr:uid="{CED86AD3-C252-4515-80B3-01ADDA7E7C7E}"/>
    <cellStyle name="Comma 4 3 5 3 3" xfId="5450" xr:uid="{00000000-0005-0000-0000-0000BA090000}"/>
    <cellStyle name="Comma 4 3 5 3 3 2" xfId="14776" xr:uid="{30A771B5-9358-44CE-B0EB-9745B936A082}"/>
    <cellStyle name="Comma 4 3 5 3 4" xfId="10559" xr:uid="{9DB98B30-367C-4019-9402-194FB8912A8B}"/>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42371D5C-416B-41AB-BE3F-BE8E9F46CF33}"/>
    <cellStyle name="Comma 4 3 5 4 2 3" xfId="13117" xr:uid="{582D53D9-112A-45CA-B74E-89C6168874AB}"/>
    <cellStyle name="Comma 4 3 5 4 3" xfId="5863" xr:uid="{00000000-0005-0000-0000-0000BE090000}"/>
    <cellStyle name="Comma 4 3 5 4 3 2" xfId="15189" xr:uid="{8DB79DEB-3B1B-4F08-ACBD-27B106BAD33C}"/>
    <cellStyle name="Comma 4 3 5 4 4" xfId="10972" xr:uid="{35C70D99-C6E0-42B9-A370-AFCBE41C57D1}"/>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C9EE86FE-E184-49EA-B2E5-CBD314BA1DDB}"/>
    <cellStyle name="Comma 4 3 5 5 2 3" xfId="13530" xr:uid="{91626261-97E4-4F79-B990-62A296DB7459}"/>
    <cellStyle name="Comma 4 3 5 5 3" xfId="6276" xr:uid="{00000000-0005-0000-0000-0000C2090000}"/>
    <cellStyle name="Comma 4 3 5 5 3 2" xfId="15602" xr:uid="{7F0503E6-5D59-4BF0-BA16-99E3D04BBF66}"/>
    <cellStyle name="Comma 4 3 5 5 4" xfId="11385" xr:uid="{769EAC43-F14E-4C13-9D25-20D3FA074DD9}"/>
    <cellStyle name="Comma 4 3 5 6" xfId="2405" xr:uid="{00000000-0005-0000-0000-0000C3090000}"/>
    <cellStyle name="Comma 4 3 5 6 2" xfId="6689" xr:uid="{00000000-0005-0000-0000-0000C4090000}"/>
    <cellStyle name="Comma 4 3 5 6 2 2" xfId="16015" xr:uid="{50F4A58C-FE7D-47FB-ADC4-22C51673A503}"/>
    <cellStyle name="Comma 4 3 5 6 3" xfId="11798" xr:uid="{4A4C5412-7B8B-47B0-92D0-CD69E338BE31}"/>
    <cellStyle name="Comma 4 3 5 7" xfId="2701" xr:uid="{00000000-0005-0000-0000-0000C5090000}"/>
    <cellStyle name="Comma 4 3 5 8" xfId="2783" xr:uid="{00000000-0005-0000-0000-0000C6090000}"/>
    <cellStyle name="Comma 4 3 5 8 2" xfId="7006" xr:uid="{00000000-0005-0000-0000-0000C7090000}"/>
    <cellStyle name="Comma 4 3 5 8 2 2" xfId="16332" xr:uid="{DEA70E56-3D52-4932-80C2-2050B4E04008}"/>
    <cellStyle name="Comma 4 3 5 8 3" xfId="12115" xr:uid="{BD5DF34A-ABAC-4D21-87D4-200C9C74B6D7}"/>
    <cellStyle name="Comma 4 3 5 9" xfId="4623" xr:uid="{00000000-0005-0000-0000-0000C8090000}"/>
    <cellStyle name="Comma 4 3 5 9 2" xfId="13949" xr:uid="{47CE8E42-55E9-4257-8379-D3EAF1156A26}"/>
    <cellStyle name="Comma 4 3 6" xfId="9582" xr:uid="{F1B74700-6F25-44D3-B4B6-1EFC63A6078B}"/>
    <cellStyle name="Comma 4 3 7" xfId="8778" xr:uid="{01CB0168-3495-42C5-9A13-F25D4D0EF35E}"/>
    <cellStyle name="Comma 4 3 7 2" xfId="18102" xr:uid="{D2163E26-25DD-4147-937C-5B85A5FD808E}"/>
    <cellStyle name="Comma 4 4" xfId="153" xr:uid="{00000000-0005-0000-0000-0000C9090000}"/>
    <cellStyle name="Comma 4 4 10" xfId="2784" xr:uid="{00000000-0005-0000-0000-0000CA090000}"/>
    <cellStyle name="Comma 4 4 10 2" xfId="7007" xr:uid="{00000000-0005-0000-0000-0000CB090000}"/>
    <cellStyle name="Comma 4 4 10 2 2" xfId="16333" xr:uid="{BE8A6C90-F630-4D39-AF87-74CFF0651D03}"/>
    <cellStyle name="Comma 4 4 10 3" xfId="12116" xr:uid="{49B3425A-AC29-4EA4-8857-9DFFA0C96873}"/>
    <cellStyle name="Comma 4 4 11" xfId="4624" xr:uid="{00000000-0005-0000-0000-0000CC090000}"/>
    <cellStyle name="Comma 4 4 11 2" xfId="13950" xr:uid="{ED55ACDB-C3C2-4BAA-BE93-F0EEF8EDE391}"/>
    <cellStyle name="Comma 4 4 12" xfId="8804" xr:uid="{A2BB6322-7771-45CD-845C-77E2FE03AC7A}"/>
    <cellStyle name="Comma 4 4 12 2" xfId="18128" xr:uid="{660343E7-388B-4244-B044-DCC876A93F71}"/>
    <cellStyle name="Comma 4 4 13" xfId="9733" xr:uid="{E403AFF8-30E6-43A9-AFD1-4BAB3675D45B}"/>
    <cellStyle name="Comma 4 4 2" xfId="154" xr:uid="{00000000-0005-0000-0000-0000CD090000}"/>
    <cellStyle name="Comma 4 4 2 10" xfId="4625" xr:uid="{00000000-0005-0000-0000-0000CE090000}"/>
    <cellStyle name="Comma 4 4 2 10 2" xfId="13951" xr:uid="{92E02057-00DD-4B61-BE47-4561572A45C7}"/>
    <cellStyle name="Comma 4 4 2 11" xfId="8907" xr:uid="{F9F87618-3BA1-4211-A686-62CF5BBA5770}"/>
    <cellStyle name="Comma 4 4 2 11 2" xfId="18231" xr:uid="{45B98231-D660-4223-BA05-DC6A9A083F44}"/>
    <cellStyle name="Comma 4 4 2 12" xfId="9734" xr:uid="{00654DA7-E32D-4633-BFFE-880D60CDB4F1}"/>
    <cellStyle name="Comma 4 4 2 2" xfId="155" xr:uid="{00000000-0005-0000-0000-0000CF090000}"/>
    <cellStyle name="Comma 4 4 2 2 10" xfId="9114" xr:uid="{871FAC03-A44E-4C24-806C-3CC0605FD124}"/>
    <cellStyle name="Comma 4 4 2 2 10 2" xfId="18438" xr:uid="{A1EAA67F-2020-4C78-8159-1E5BABBBD96A}"/>
    <cellStyle name="Comma 4 4 2 2 11" xfId="9735" xr:uid="{F318CCAA-EDC0-4179-994F-DEC4A715FC23}"/>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60F65840-0659-4469-A60F-2755544263F8}"/>
    <cellStyle name="Comma 4 4 2 2 2 2 3" xfId="12294" xr:uid="{F861B88B-344E-479F-AE7E-A51798D89CFD}"/>
    <cellStyle name="Comma 4 4 2 2 2 3" xfId="5040" xr:uid="{00000000-0005-0000-0000-0000D3090000}"/>
    <cellStyle name="Comma 4 4 2 2 2 3 2" xfId="14366" xr:uid="{14FE54EA-7A5F-4399-BE1C-12A3C80FF0DA}"/>
    <cellStyle name="Comma 4 4 2 2 2 4" xfId="9539" xr:uid="{6209A471-8158-46C6-9ADA-C828BB6621B2}"/>
    <cellStyle name="Comma 4 4 2 2 2 4 2" xfId="18854" xr:uid="{1207064D-2EE1-472A-B60B-864BF5B7ED20}"/>
    <cellStyle name="Comma 4 4 2 2 2 5" xfId="10149" xr:uid="{6862FE15-156F-4E8C-851D-041A3A42C853}"/>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58B76B6F-E070-41D0-BC5B-DAAF4320F1C4}"/>
    <cellStyle name="Comma 4 4 2 2 3 2 3" xfId="12707" xr:uid="{AB9DCE19-E255-4E66-8F02-E6DC9595CE98}"/>
    <cellStyle name="Comma 4 4 2 2 3 3" xfId="5453" xr:uid="{00000000-0005-0000-0000-0000D7090000}"/>
    <cellStyle name="Comma 4 4 2 2 3 3 2" xfId="14779" xr:uid="{31E7FB6E-1D6D-48FF-B5AD-259643AA2A41}"/>
    <cellStyle name="Comma 4 4 2 2 3 4" xfId="10562" xr:uid="{70BEBE88-AEC2-46C7-99EF-133713B7F92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5CB3C168-B20F-40E3-8A8A-91DF04F75D56}"/>
    <cellStyle name="Comma 4 4 2 2 4 2 3" xfId="13120" xr:uid="{B3CB6335-6AAB-4EDF-AF88-FAC1612A367C}"/>
    <cellStyle name="Comma 4 4 2 2 4 3" xfId="5866" xr:uid="{00000000-0005-0000-0000-0000DB090000}"/>
    <cellStyle name="Comma 4 4 2 2 4 3 2" xfId="15192" xr:uid="{42DD0854-ABD1-43FD-A486-D32420110B65}"/>
    <cellStyle name="Comma 4 4 2 2 4 4" xfId="10975" xr:uid="{74C8B1E0-C553-444D-A849-A47FDC106919}"/>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F986459E-BD5E-4A4B-AE80-8F75C44AB0B3}"/>
    <cellStyle name="Comma 4 4 2 2 5 2 3" xfId="13533" xr:uid="{73A9DFE4-2C4E-4F84-8A8A-AF1C77533365}"/>
    <cellStyle name="Comma 4 4 2 2 5 3" xfId="6279" xr:uid="{00000000-0005-0000-0000-0000DF090000}"/>
    <cellStyle name="Comma 4 4 2 2 5 3 2" xfId="15605" xr:uid="{7DBADD6D-A0B7-49C9-B405-06F10BF58840}"/>
    <cellStyle name="Comma 4 4 2 2 5 4" xfId="11388" xr:uid="{EAEB2D32-A612-4FC0-8819-888562E13D75}"/>
    <cellStyle name="Comma 4 4 2 2 6" xfId="2408" xr:uid="{00000000-0005-0000-0000-0000E0090000}"/>
    <cellStyle name="Comma 4 4 2 2 6 2" xfId="6692" xr:uid="{00000000-0005-0000-0000-0000E1090000}"/>
    <cellStyle name="Comma 4 4 2 2 6 2 2" xfId="16018" xr:uid="{938EDE37-6CF9-467B-BC04-899BC5A7E256}"/>
    <cellStyle name="Comma 4 4 2 2 6 3" xfId="11801" xr:uid="{CF6EC676-C185-4909-88D8-AB4D4D19F5FB}"/>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EB215B85-BF7A-4DE9-8A97-FEB522F01CBB}"/>
    <cellStyle name="Comma 4 4 2 2 8 3" xfId="12118" xr:uid="{6BB40D9F-D5F6-4A1F-A825-3A4EDC81A835}"/>
    <cellStyle name="Comma 4 4 2 2 9" xfId="4626" xr:uid="{00000000-0005-0000-0000-0000E5090000}"/>
    <cellStyle name="Comma 4 4 2 2 9 2" xfId="13952" xr:uid="{534CE279-D059-4A4A-A2D2-D8E80248CD29}"/>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8ADB057A-280A-43D3-9124-8B8FBED71299}"/>
    <cellStyle name="Comma 4 4 2 3 2 3" xfId="12293" xr:uid="{E4FC106D-98DD-4B96-A9E0-DC787E30CE18}"/>
    <cellStyle name="Comma 4 4 2 3 3" xfId="5039" xr:uid="{00000000-0005-0000-0000-0000E9090000}"/>
    <cellStyle name="Comma 4 4 2 3 3 2" xfId="14365" xr:uid="{1C17236C-B893-4619-BDEA-8CC23637D444}"/>
    <cellStyle name="Comma 4 4 2 3 4" xfId="9332" xr:uid="{00F59ECD-64D7-476B-90FD-CD86F054AE4D}"/>
    <cellStyle name="Comma 4 4 2 3 4 2" xfId="18647" xr:uid="{6BC5DB50-BD58-4000-9717-14EDB2E7C75E}"/>
    <cellStyle name="Comma 4 4 2 3 5" xfId="10148" xr:uid="{23620CB2-8FF8-4CFF-9895-C887254EF1EA}"/>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A42362BD-D923-4372-8314-E445F7FDACDB}"/>
    <cellStyle name="Comma 4 4 2 4 2 3" xfId="12706" xr:uid="{597EA4C8-8C16-4987-9290-AEA8272B3EDF}"/>
    <cellStyle name="Comma 4 4 2 4 3" xfId="5452" xr:uid="{00000000-0005-0000-0000-0000ED090000}"/>
    <cellStyle name="Comma 4 4 2 4 3 2" xfId="14778" xr:uid="{0DBBB0AA-39C4-4B22-B168-57307ED30A4C}"/>
    <cellStyle name="Comma 4 4 2 4 4" xfId="10561" xr:uid="{9A5D107B-0E1E-46F1-9D50-AFC10CE1B460}"/>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17446C15-FEBD-4CD3-993A-B207784EE6B1}"/>
    <cellStyle name="Comma 4 4 2 5 2 3" xfId="13119" xr:uid="{165CBED3-6BC3-4DEE-B85E-C2280160EFAF}"/>
    <cellStyle name="Comma 4 4 2 5 3" xfId="5865" xr:uid="{00000000-0005-0000-0000-0000F1090000}"/>
    <cellStyle name="Comma 4 4 2 5 3 2" xfId="15191" xr:uid="{DC0E7E20-4AA0-461D-8EDE-1AF1F53741A9}"/>
    <cellStyle name="Comma 4 4 2 5 4" xfId="10974" xr:uid="{593E11DE-2081-49BD-8597-EFC6447D8D09}"/>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CC370BAE-0953-4330-A2E6-AC43A9F0A51A}"/>
    <cellStyle name="Comma 4 4 2 6 2 3" xfId="13532" xr:uid="{0E736D7D-2D3C-4970-ABF3-8551C3D59AA8}"/>
    <cellStyle name="Comma 4 4 2 6 3" xfId="6278" xr:uid="{00000000-0005-0000-0000-0000F5090000}"/>
    <cellStyle name="Comma 4 4 2 6 3 2" xfId="15604" xr:uid="{98BB76A7-FF67-418C-9625-0F1FC5CAA048}"/>
    <cellStyle name="Comma 4 4 2 6 4" xfId="11387" xr:uid="{765F98DF-1BD1-4ABE-8C62-B324AD407ACF}"/>
    <cellStyle name="Comma 4 4 2 7" xfId="2407" xr:uid="{00000000-0005-0000-0000-0000F6090000}"/>
    <cellStyle name="Comma 4 4 2 7 2" xfId="6691" xr:uid="{00000000-0005-0000-0000-0000F7090000}"/>
    <cellStyle name="Comma 4 4 2 7 2 2" xfId="16017" xr:uid="{44159382-047E-4366-A0B0-F4C283AD7B9B}"/>
    <cellStyle name="Comma 4 4 2 7 3" xfId="11800" xr:uid="{D86B6BA2-D0A5-4024-A6F8-D3C9377CD540}"/>
    <cellStyle name="Comma 4 4 2 8" xfId="2703" xr:uid="{00000000-0005-0000-0000-0000F8090000}"/>
    <cellStyle name="Comma 4 4 2 9" xfId="2785" xr:uid="{00000000-0005-0000-0000-0000F9090000}"/>
    <cellStyle name="Comma 4 4 2 9 2" xfId="7008" xr:uid="{00000000-0005-0000-0000-0000FA090000}"/>
    <cellStyle name="Comma 4 4 2 9 2 2" xfId="16334" xr:uid="{479D4D2C-3879-4829-A7E8-2CB15450BC35}"/>
    <cellStyle name="Comma 4 4 2 9 3" xfId="12117" xr:uid="{A1F8208E-B072-4C53-B1CA-834753CD61BD}"/>
    <cellStyle name="Comma 4 4 3" xfId="156" xr:uid="{00000000-0005-0000-0000-0000FB090000}"/>
    <cellStyle name="Comma 4 4 3 10" xfId="9011" xr:uid="{31ED03AD-AB12-49AF-9AD4-B783F0BF7322}"/>
    <cellStyle name="Comma 4 4 3 10 2" xfId="18335" xr:uid="{474DF1B7-0CC9-4713-AD31-F6AD5BEAE9D0}"/>
    <cellStyle name="Comma 4 4 3 11" xfId="9736" xr:uid="{1B8DC3DE-1C79-4615-A5DD-AB1DC698C804}"/>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70BB7C3A-7B61-4B18-9DBE-D29967C803D8}"/>
    <cellStyle name="Comma 4 4 3 2 2 3" xfId="12295" xr:uid="{BDFE405A-BEBC-4E91-9F86-D92E1B64D53A}"/>
    <cellStyle name="Comma 4 4 3 2 3" xfId="5041" xr:uid="{00000000-0005-0000-0000-0000FF090000}"/>
    <cellStyle name="Comma 4 4 3 2 3 2" xfId="14367" xr:uid="{882BA99D-208B-4FD0-B602-AD2CAF63B72E}"/>
    <cellStyle name="Comma 4 4 3 2 4" xfId="9436" xr:uid="{5B7DDC25-9095-4E8E-BD31-668F46BBD33F}"/>
    <cellStyle name="Comma 4 4 3 2 4 2" xfId="18751" xr:uid="{7A5A6B99-77B5-4E69-9B75-81BCA354AD1E}"/>
    <cellStyle name="Comma 4 4 3 2 5" xfId="10150" xr:uid="{86FEE326-61DA-4A6E-AEBB-70D2FC08DC45}"/>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A8CAE5DC-B18E-479D-8C20-C81603E2D64D}"/>
    <cellStyle name="Comma 4 4 3 3 2 3" xfId="12708" xr:uid="{DDC9A363-919C-49BA-855A-E37780DDD610}"/>
    <cellStyle name="Comma 4 4 3 3 3" xfId="5454" xr:uid="{00000000-0005-0000-0000-0000030A0000}"/>
    <cellStyle name="Comma 4 4 3 3 3 2" xfId="14780" xr:uid="{6C6C2A43-2424-4521-A4E7-F52261D2517D}"/>
    <cellStyle name="Comma 4 4 3 3 4" xfId="10563" xr:uid="{860C0738-AA0F-4F34-8149-273C981A4E0A}"/>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AF5BDD11-0727-4DD7-B519-731DE0F319F7}"/>
    <cellStyle name="Comma 4 4 3 4 2 3" xfId="13121" xr:uid="{0D2E5ECB-F2E7-4A84-B81E-D56F556B01CE}"/>
    <cellStyle name="Comma 4 4 3 4 3" xfId="5867" xr:uid="{00000000-0005-0000-0000-0000070A0000}"/>
    <cellStyle name="Comma 4 4 3 4 3 2" xfId="15193" xr:uid="{63628ED5-36C3-4049-B43F-37D0E85ADB1D}"/>
    <cellStyle name="Comma 4 4 3 4 4" xfId="10976" xr:uid="{BBE65C37-F4F8-4C8F-BC09-360DB8CEA297}"/>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2BCF96DB-3E05-47B6-849C-FE6155B07FC7}"/>
    <cellStyle name="Comma 4 4 3 5 2 3" xfId="13534" xr:uid="{9B104493-59AC-4529-A09D-7F56432552B4}"/>
    <cellStyle name="Comma 4 4 3 5 3" xfId="6280" xr:uid="{00000000-0005-0000-0000-00000B0A0000}"/>
    <cellStyle name="Comma 4 4 3 5 3 2" xfId="15606" xr:uid="{AAB359B3-ED5D-4088-BC7D-59AB88E0ABC9}"/>
    <cellStyle name="Comma 4 4 3 5 4" xfId="11389" xr:uid="{A8126156-1D21-4AF4-B050-B554FD7236C0}"/>
    <cellStyle name="Comma 4 4 3 6" xfId="2409" xr:uid="{00000000-0005-0000-0000-00000C0A0000}"/>
    <cellStyle name="Comma 4 4 3 6 2" xfId="6693" xr:uid="{00000000-0005-0000-0000-00000D0A0000}"/>
    <cellStyle name="Comma 4 4 3 6 2 2" xfId="16019" xr:uid="{2F40A5A5-D657-4844-BFB4-D0D2EB6A9652}"/>
    <cellStyle name="Comma 4 4 3 6 3" xfId="11802" xr:uid="{0E29E2A1-3DBD-439C-90D0-52C1E61B8061}"/>
    <cellStyle name="Comma 4 4 3 7" xfId="2705" xr:uid="{00000000-0005-0000-0000-00000E0A0000}"/>
    <cellStyle name="Comma 4 4 3 8" xfId="2787" xr:uid="{00000000-0005-0000-0000-00000F0A0000}"/>
    <cellStyle name="Comma 4 4 3 8 2" xfId="7010" xr:uid="{00000000-0005-0000-0000-0000100A0000}"/>
    <cellStyle name="Comma 4 4 3 8 2 2" xfId="16336" xr:uid="{5CAE7BD0-FEB7-4332-B70B-43909B5D7959}"/>
    <cellStyle name="Comma 4 4 3 8 3" xfId="12119" xr:uid="{5F21DBFA-33C5-40E3-8161-14DC51ADD49E}"/>
    <cellStyle name="Comma 4 4 3 9" xfId="4627" xr:uid="{00000000-0005-0000-0000-0000110A0000}"/>
    <cellStyle name="Comma 4 4 3 9 2" xfId="13953" xr:uid="{B2885BBE-1C86-403E-B5F5-097098AC6003}"/>
    <cellStyle name="Comma 4 4 4" xfId="690" xr:uid="{00000000-0005-0000-0000-0000120A0000}"/>
    <cellStyle name="Comma 4 4 4 2" xfId="2961" xr:uid="{00000000-0005-0000-0000-0000130A0000}"/>
    <cellStyle name="Comma 4 4 4 2 2" xfId="7183" xr:uid="{00000000-0005-0000-0000-0000140A0000}"/>
    <cellStyle name="Comma 4 4 4 2 2 2" xfId="16509" xr:uid="{685B4CFA-AE5A-48DC-9692-F9E23159B571}"/>
    <cellStyle name="Comma 4 4 4 2 3" xfId="12292" xr:uid="{9D15A149-6B28-4A7B-B4C9-741CDE675CD5}"/>
    <cellStyle name="Comma 4 4 4 3" xfId="5038" xr:uid="{00000000-0005-0000-0000-0000150A0000}"/>
    <cellStyle name="Comma 4 4 4 3 2" xfId="14364" xr:uid="{74605198-563C-4CA2-9019-1E2B4AD74654}"/>
    <cellStyle name="Comma 4 4 4 4" xfId="9229" xr:uid="{5D655A80-2199-4116-9BF2-7327D5827395}"/>
    <cellStyle name="Comma 4 4 4 4 2" xfId="18544" xr:uid="{AF056528-4AE6-4801-8CE2-C5136FFD2DD3}"/>
    <cellStyle name="Comma 4 4 4 5" xfId="10147" xr:uid="{92C26CB9-E925-4DE8-9E01-D091704634E1}"/>
    <cellStyle name="Comma 4 4 5" xfId="1143" xr:uid="{00000000-0005-0000-0000-0000160A0000}"/>
    <cellStyle name="Comma 4 4 5 2" xfId="3374" xr:uid="{00000000-0005-0000-0000-0000170A0000}"/>
    <cellStyle name="Comma 4 4 5 2 2" xfId="7596" xr:uid="{00000000-0005-0000-0000-0000180A0000}"/>
    <cellStyle name="Comma 4 4 5 2 2 2" xfId="16922" xr:uid="{920AB7AB-4307-442E-AD9B-C585E15C360A}"/>
    <cellStyle name="Comma 4 4 5 2 3" xfId="12705" xr:uid="{F6F2EB9A-9D15-435E-B45E-D02F6D0871C4}"/>
    <cellStyle name="Comma 4 4 5 3" xfId="5451" xr:uid="{00000000-0005-0000-0000-0000190A0000}"/>
    <cellStyle name="Comma 4 4 5 3 2" xfId="14777" xr:uid="{18FCF550-A651-4385-95AA-2710AE860916}"/>
    <cellStyle name="Comma 4 4 5 4" xfId="10560" xr:uid="{BA7352E8-6D71-4C1A-B6EE-74876678B426}"/>
    <cellStyle name="Comma 4 4 6" xfId="1557" xr:uid="{00000000-0005-0000-0000-00001A0A0000}"/>
    <cellStyle name="Comma 4 4 6 2" xfId="3787" xr:uid="{00000000-0005-0000-0000-00001B0A0000}"/>
    <cellStyle name="Comma 4 4 6 2 2" xfId="8009" xr:uid="{00000000-0005-0000-0000-00001C0A0000}"/>
    <cellStyle name="Comma 4 4 6 2 2 2" xfId="17335" xr:uid="{6B74C97E-C6FD-4F94-8B19-3889BCF97CDE}"/>
    <cellStyle name="Comma 4 4 6 2 3" xfId="13118" xr:uid="{3E1D50D5-1603-46A8-BBA5-BE22898E2C1B}"/>
    <cellStyle name="Comma 4 4 6 3" xfId="5864" xr:uid="{00000000-0005-0000-0000-00001D0A0000}"/>
    <cellStyle name="Comma 4 4 6 3 2" xfId="15190" xr:uid="{87ED34EA-FC1B-4EA6-830D-1F14D442CCD5}"/>
    <cellStyle name="Comma 4 4 6 4" xfId="10973" xr:uid="{74BCA561-D50A-407E-A346-A79033A4593F}"/>
    <cellStyle name="Comma 4 4 7" xfId="1971" xr:uid="{00000000-0005-0000-0000-00001E0A0000}"/>
    <cellStyle name="Comma 4 4 7 2" xfId="4200" xr:uid="{00000000-0005-0000-0000-00001F0A0000}"/>
    <cellStyle name="Comma 4 4 7 2 2" xfId="8422" xr:uid="{00000000-0005-0000-0000-0000200A0000}"/>
    <cellStyle name="Comma 4 4 7 2 2 2" xfId="17748" xr:uid="{971DFD36-21F2-4167-A6E0-94137F0FCE39}"/>
    <cellStyle name="Comma 4 4 7 2 3" xfId="13531" xr:uid="{88C39F71-D88D-4751-A723-28EBB8E0E04C}"/>
    <cellStyle name="Comma 4 4 7 3" xfId="6277" xr:uid="{00000000-0005-0000-0000-0000210A0000}"/>
    <cellStyle name="Comma 4 4 7 3 2" xfId="15603" xr:uid="{E88B97A8-2FA8-4891-91F7-E076A134D59E}"/>
    <cellStyle name="Comma 4 4 7 4" xfId="11386" xr:uid="{01314F1F-0C0F-4BF8-A03A-E98127A6C692}"/>
    <cellStyle name="Comma 4 4 8" xfId="2406" xr:uid="{00000000-0005-0000-0000-0000220A0000}"/>
    <cellStyle name="Comma 4 4 8 2" xfId="6690" xr:uid="{00000000-0005-0000-0000-0000230A0000}"/>
    <cellStyle name="Comma 4 4 8 2 2" xfId="16016" xr:uid="{C5BECDA7-F3BB-4E13-83C1-CD8D86EBBCCF}"/>
    <cellStyle name="Comma 4 4 8 3" xfId="11799" xr:uid="{B5778FAB-E9E9-487F-8F71-2226D7F24AEC}"/>
    <cellStyle name="Comma 4 4 9" xfId="2702" xr:uid="{00000000-0005-0000-0000-0000240A0000}"/>
    <cellStyle name="Comma 4 5" xfId="157" xr:uid="{00000000-0005-0000-0000-0000250A0000}"/>
    <cellStyle name="Comma 4 5 10" xfId="4628" xr:uid="{00000000-0005-0000-0000-0000260A0000}"/>
    <cellStyle name="Comma 4 5 10 2" xfId="13954" xr:uid="{3BE18B98-A9DB-4C38-95CD-A8588AAC89CF}"/>
    <cellStyle name="Comma 4 5 11" xfId="8849" xr:uid="{344CCE08-63E3-41E8-B38A-00347480820F}"/>
    <cellStyle name="Comma 4 5 11 2" xfId="18173" xr:uid="{B85050C6-EA21-45CF-9784-80B4AD71D72A}"/>
    <cellStyle name="Comma 4 5 12" xfId="9737" xr:uid="{3B1F4FB0-C016-496F-846D-15F55F84FCCE}"/>
    <cellStyle name="Comma 4 5 2" xfId="158" xr:uid="{00000000-0005-0000-0000-0000270A0000}"/>
    <cellStyle name="Comma 4 5 2 10" xfId="9056" xr:uid="{C7C2153B-7EAA-4A13-9C28-1151ACD100A8}"/>
    <cellStyle name="Comma 4 5 2 10 2" xfId="18380" xr:uid="{DD3AB6C1-9BF5-47A1-BCBB-80CEBF366C9D}"/>
    <cellStyle name="Comma 4 5 2 11" xfId="9738" xr:uid="{704D4D5A-7AF9-46ED-9B4D-45FE52C1FF6A}"/>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FC4FB98E-4206-4B74-AE9F-27CDCE68C649}"/>
    <cellStyle name="Comma 4 5 2 2 2 3" xfId="12297" xr:uid="{5160859A-EB47-4449-AD44-21F5E67104D3}"/>
    <cellStyle name="Comma 4 5 2 2 3" xfId="5043" xr:uid="{00000000-0005-0000-0000-00002B0A0000}"/>
    <cellStyle name="Comma 4 5 2 2 3 2" xfId="14369" xr:uid="{236F3BDB-E430-49BE-88E2-5DFFF10F71BE}"/>
    <cellStyle name="Comma 4 5 2 2 4" xfId="9481" xr:uid="{47C88F6D-21B1-4457-908C-FFAB8FF83BD1}"/>
    <cellStyle name="Comma 4 5 2 2 4 2" xfId="18796" xr:uid="{30972643-591E-440F-8268-8F7C13B6F96E}"/>
    <cellStyle name="Comma 4 5 2 2 5" xfId="10152" xr:uid="{18BCB54F-E14E-4A67-9306-E298BD2C9E6F}"/>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4BCFE961-1A3A-44A0-8FE0-9577E6963C60}"/>
    <cellStyle name="Comma 4 5 2 3 2 3" xfId="12710" xr:uid="{1143254E-9211-4066-9F00-4DAC294C2996}"/>
    <cellStyle name="Comma 4 5 2 3 3" xfId="5456" xr:uid="{00000000-0005-0000-0000-00002F0A0000}"/>
    <cellStyle name="Comma 4 5 2 3 3 2" xfId="14782" xr:uid="{C2B20600-B5E9-4E15-BD31-3918C36D64D2}"/>
    <cellStyle name="Comma 4 5 2 3 4" xfId="10565" xr:uid="{D01F7D06-9956-409D-BB5A-9E77364C76C5}"/>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9FB67CC1-D781-4F49-B123-E538885C355A}"/>
    <cellStyle name="Comma 4 5 2 4 2 3" xfId="13123" xr:uid="{3BA8727B-1666-4926-BA8D-9846A1A07A67}"/>
    <cellStyle name="Comma 4 5 2 4 3" xfId="5869" xr:uid="{00000000-0005-0000-0000-0000330A0000}"/>
    <cellStyle name="Comma 4 5 2 4 3 2" xfId="15195" xr:uid="{032E4124-B81C-4BC8-8FD6-56D2B08FD279}"/>
    <cellStyle name="Comma 4 5 2 4 4" xfId="10978" xr:uid="{676EACE3-9FE1-4592-A26E-4720C5CB1BE3}"/>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815530DE-AA60-4EAE-B678-FB88AC68B514}"/>
    <cellStyle name="Comma 4 5 2 5 2 3" xfId="13536" xr:uid="{AEFD0CF1-AE7F-4D50-AB5F-67BE0A5AAA36}"/>
    <cellStyle name="Comma 4 5 2 5 3" xfId="6282" xr:uid="{00000000-0005-0000-0000-0000370A0000}"/>
    <cellStyle name="Comma 4 5 2 5 3 2" xfId="15608" xr:uid="{D3CD8326-3F53-4641-BE79-106D32C30E56}"/>
    <cellStyle name="Comma 4 5 2 5 4" xfId="11391" xr:uid="{7945C78C-FD80-4510-9008-50A2032ECBEB}"/>
    <cellStyle name="Comma 4 5 2 6" xfId="2411" xr:uid="{00000000-0005-0000-0000-0000380A0000}"/>
    <cellStyle name="Comma 4 5 2 6 2" xfId="6695" xr:uid="{00000000-0005-0000-0000-0000390A0000}"/>
    <cellStyle name="Comma 4 5 2 6 2 2" xfId="16021" xr:uid="{4D118EA0-DF4C-41CC-AFF9-9D43EE278D9A}"/>
    <cellStyle name="Comma 4 5 2 6 3" xfId="11804" xr:uid="{F3DEFF6B-07BA-4B0C-8310-E367DB106332}"/>
    <cellStyle name="Comma 4 5 2 7" xfId="2707" xr:uid="{00000000-0005-0000-0000-00003A0A0000}"/>
    <cellStyle name="Comma 4 5 2 8" xfId="2789" xr:uid="{00000000-0005-0000-0000-00003B0A0000}"/>
    <cellStyle name="Comma 4 5 2 8 2" xfId="7012" xr:uid="{00000000-0005-0000-0000-00003C0A0000}"/>
    <cellStyle name="Comma 4 5 2 8 2 2" xfId="16338" xr:uid="{6973E601-8002-4DAE-8D87-844956E1D3AD}"/>
    <cellStyle name="Comma 4 5 2 8 3" xfId="12121" xr:uid="{191A4E49-D0A7-476D-9442-0CFDC67B22EF}"/>
    <cellStyle name="Comma 4 5 2 9" xfId="4629" xr:uid="{00000000-0005-0000-0000-00003D0A0000}"/>
    <cellStyle name="Comma 4 5 2 9 2" xfId="13955" xr:uid="{36D55E23-36A0-4CAE-9F49-DEAE37E013E0}"/>
    <cellStyle name="Comma 4 5 3" xfId="694" xr:uid="{00000000-0005-0000-0000-00003E0A0000}"/>
    <cellStyle name="Comma 4 5 3 2" xfId="2965" xr:uid="{00000000-0005-0000-0000-00003F0A0000}"/>
    <cellStyle name="Comma 4 5 3 2 2" xfId="7187" xr:uid="{00000000-0005-0000-0000-0000400A0000}"/>
    <cellStyle name="Comma 4 5 3 2 2 2" xfId="16513" xr:uid="{AC48CDDD-D654-4B93-A3F7-88F301E5D75E}"/>
    <cellStyle name="Comma 4 5 3 2 3" xfId="12296" xr:uid="{36F47EE2-9D26-411B-BF84-8F99B3842859}"/>
    <cellStyle name="Comma 4 5 3 3" xfId="5042" xr:uid="{00000000-0005-0000-0000-0000410A0000}"/>
    <cellStyle name="Comma 4 5 3 3 2" xfId="14368" xr:uid="{1CBBC503-2901-4203-8A05-A28BA1EFF566}"/>
    <cellStyle name="Comma 4 5 3 4" xfId="9274" xr:uid="{04AC3EF2-4A78-4DC5-BAB4-87936023C7E5}"/>
    <cellStyle name="Comma 4 5 3 4 2" xfId="18589" xr:uid="{7CA9242F-E552-4E8A-A9FE-B47A96E472A0}"/>
    <cellStyle name="Comma 4 5 3 5" xfId="10151" xr:uid="{42128481-515A-49EB-B384-015D776CDD1D}"/>
    <cellStyle name="Comma 4 5 4" xfId="1147" xr:uid="{00000000-0005-0000-0000-0000420A0000}"/>
    <cellStyle name="Comma 4 5 4 2" xfId="3378" xr:uid="{00000000-0005-0000-0000-0000430A0000}"/>
    <cellStyle name="Comma 4 5 4 2 2" xfId="7600" xr:uid="{00000000-0005-0000-0000-0000440A0000}"/>
    <cellStyle name="Comma 4 5 4 2 2 2" xfId="16926" xr:uid="{00B930CE-F95F-490E-80F0-F395A84FC403}"/>
    <cellStyle name="Comma 4 5 4 2 3" xfId="12709" xr:uid="{18026A95-4D4E-4B29-B1A7-6ECE94D7A4FD}"/>
    <cellStyle name="Comma 4 5 4 3" xfId="5455" xr:uid="{00000000-0005-0000-0000-0000450A0000}"/>
    <cellStyle name="Comma 4 5 4 3 2" xfId="14781" xr:uid="{E99F05BE-A688-43B9-A551-9989D0D8D403}"/>
    <cellStyle name="Comma 4 5 4 4" xfId="10564" xr:uid="{753D8784-C6CA-4DF8-9DA5-1C65A570D41B}"/>
    <cellStyle name="Comma 4 5 5" xfId="1561" xr:uid="{00000000-0005-0000-0000-0000460A0000}"/>
    <cellStyle name="Comma 4 5 5 2" xfId="3791" xr:uid="{00000000-0005-0000-0000-0000470A0000}"/>
    <cellStyle name="Comma 4 5 5 2 2" xfId="8013" xr:uid="{00000000-0005-0000-0000-0000480A0000}"/>
    <cellStyle name="Comma 4 5 5 2 2 2" xfId="17339" xr:uid="{919995A2-FECF-4CBB-B67E-DAF2C2A9E94E}"/>
    <cellStyle name="Comma 4 5 5 2 3" xfId="13122" xr:uid="{39596912-5F56-4703-A023-A5375F583B6E}"/>
    <cellStyle name="Comma 4 5 5 3" xfId="5868" xr:uid="{00000000-0005-0000-0000-0000490A0000}"/>
    <cellStyle name="Comma 4 5 5 3 2" xfId="15194" xr:uid="{D8527ACD-E3D9-4C90-9637-C05415A554EE}"/>
    <cellStyle name="Comma 4 5 5 4" xfId="10977" xr:uid="{EB23D301-2E60-414A-AD81-2ED8C2E2FFB6}"/>
    <cellStyle name="Comma 4 5 6" xfId="1975" xr:uid="{00000000-0005-0000-0000-00004A0A0000}"/>
    <cellStyle name="Comma 4 5 6 2" xfId="4204" xr:uid="{00000000-0005-0000-0000-00004B0A0000}"/>
    <cellStyle name="Comma 4 5 6 2 2" xfId="8426" xr:uid="{00000000-0005-0000-0000-00004C0A0000}"/>
    <cellStyle name="Comma 4 5 6 2 2 2" xfId="17752" xr:uid="{B143F114-923F-44F1-B9BB-597B2C61E1A9}"/>
    <cellStyle name="Comma 4 5 6 2 3" xfId="13535" xr:uid="{C47DAE43-F26C-4928-BD05-8BE68467BC53}"/>
    <cellStyle name="Comma 4 5 6 3" xfId="6281" xr:uid="{00000000-0005-0000-0000-00004D0A0000}"/>
    <cellStyle name="Comma 4 5 6 3 2" xfId="15607" xr:uid="{A0BE532F-9FF9-4645-B1E5-B55028C633B9}"/>
    <cellStyle name="Comma 4 5 6 4" xfId="11390" xr:uid="{B21F702F-B7C9-4E4D-A038-C7F3AC0ECAA0}"/>
    <cellStyle name="Comma 4 5 7" xfId="2410" xr:uid="{00000000-0005-0000-0000-00004E0A0000}"/>
    <cellStyle name="Comma 4 5 7 2" xfId="6694" xr:uid="{00000000-0005-0000-0000-00004F0A0000}"/>
    <cellStyle name="Comma 4 5 7 2 2" xfId="16020" xr:uid="{613AB87F-A0EE-4879-9391-72E982115F34}"/>
    <cellStyle name="Comma 4 5 7 3" xfId="11803" xr:uid="{EFD8FDE2-7100-441B-82EE-AA2FD3D13566}"/>
    <cellStyle name="Comma 4 5 8" xfId="2706" xr:uid="{00000000-0005-0000-0000-0000500A0000}"/>
    <cellStyle name="Comma 4 5 9" xfId="2788" xr:uid="{00000000-0005-0000-0000-0000510A0000}"/>
    <cellStyle name="Comma 4 5 9 2" xfId="7011" xr:uid="{00000000-0005-0000-0000-0000520A0000}"/>
    <cellStyle name="Comma 4 5 9 2 2" xfId="16337" xr:uid="{BC2F93AE-C26B-45C1-9E2D-BEC1E3912911}"/>
    <cellStyle name="Comma 4 5 9 3" xfId="12120" xr:uid="{ACFF0565-E083-4176-81A7-0DB7CBC1F3D6}"/>
    <cellStyle name="Comma 4 6" xfId="159" xr:uid="{00000000-0005-0000-0000-0000530A0000}"/>
    <cellStyle name="Comma 4 6 10" xfId="8965" xr:uid="{FDA33E7D-96B8-46F2-87D8-5CB6C30A4CC6}"/>
    <cellStyle name="Comma 4 6 10 2" xfId="18289" xr:uid="{CFABAAB1-DB38-4FFE-852E-F4684745DB0E}"/>
    <cellStyle name="Comma 4 6 11" xfId="9739" xr:uid="{1DA15BBB-61C4-4A98-9A1B-EF0D094FAD1A}"/>
    <cellStyle name="Comma 4 6 2" xfId="696" xr:uid="{00000000-0005-0000-0000-0000540A0000}"/>
    <cellStyle name="Comma 4 6 2 2" xfId="2967" xr:uid="{00000000-0005-0000-0000-0000550A0000}"/>
    <cellStyle name="Comma 4 6 2 2 2" xfId="7189" xr:uid="{00000000-0005-0000-0000-0000560A0000}"/>
    <cellStyle name="Comma 4 6 2 2 2 2" xfId="16515" xr:uid="{215E9992-174B-4A0E-A013-486C6F9E0C84}"/>
    <cellStyle name="Comma 4 6 2 2 3" xfId="12298" xr:uid="{448CA887-C327-4369-AC32-59F65E917396}"/>
    <cellStyle name="Comma 4 6 2 3" xfId="5044" xr:uid="{00000000-0005-0000-0000-0000570A0000}"/>
    <cellStyle name="Comma 4 6 2 3 2" xfId="14370" xr:uid="{E3A0AC9C-1784-448B-85D5-413F1DF929BF}"/>
    <cellStyle name="Comma 4 6 2 4" xfId="9390" xr:uid="{F8012948-A58F-476A-B4CF-A63C8F36D5B6}"/>
    <cellStyle name="Comma 4 6 2 4 2" xfId="18705" xr:uid="{B49AED1D-AEF0-4CFB-8790-E9C692E54AE7}"/>
    <cellStyle name="Comma 4 6 2 5" xfId="10153" xr:uid="{A0461E96-B70B-4D6F-AD1F-5C91CBD1F332}"/>
    <cellStyle name="Comma 4 6 3" xfId="1149" xr:uid="{00000000-0005-0000-0000-0000580A0000}"/>
    <cellStyle name="Comma 4 6 3 2" xfId="3380" xr:uid="{00000000-0005-0000-0000-0000590A0000}"/>
    <cellStyle name="Comma 4 6 3 2 2" xfId="7602" xr:uid="{00000000-0005-0000-0000-00005A0A0000}"/>
    <cellStyle name="Comma 4 6 3 2 2 2" xfId="16928" xr:uid="{E4855FAA-42BF-4D6C-8E2E-2D289359FD63}"/>
    <cellStyle name="Comma 4 6 3 2 3" xfId="12711" xr:uid="{551BF1FA-BED3-4956-A5B7-27789E6F4320}"/>
    <cellStyle name="Comma 4 6 3 3" xfId="5457" xr:uid="{00000000-0005-0000-0000-00005B0A0000}"/>
    <cellStyle name="Comma 4 6 3 3 2" xfId="14783" xr:uid="{DCBD4B75-CB57-4F5C-A3F7-452CD2DC58A0}"/>
    <cellStyle name="Comma 4 6 3 4" xfId="10566" xr:uid="{9453C3EF-22C5-4639-A210-66D85FFD91F4}"/>
    <cellStyle name="Comma 4 6 4" xfId="1563" xr:uid="{00000000-0005-0000-0000-00005C0A0000}"/>
    <cellStyle name="Comma 4 6 4 2" xfId="3793" xr:uid="{00000000-0005-0000-0000-00005D0A0000}"/>
    <cellStyle name="Comma 4 6 4 2 2" xfId="8015" xr:uid="{00000000-0005-0000-0000-00005E0A0000}"/>
    <cellStyle name="Comma 4 6 4 2 2 2" xfId="17341" xr:uid="{C0C44EAE-390F-49BD-97B2-3CA64785C449}"/>
    <cellStyle name="Comma 4 6 4 2 3" xfId="13124" xr:uid="{858A8935-0362-4BCB-B2F1-BD3B842240CA}"/>
    <cellStyle name="Comma 4 6 4 3" xfId="5870" xr:uid="{00000000-0005-0000-0000-00005F0A0000}"/>
    <cellStyle name="Comma 4 6 4 3 2" xfId="15196" xr:uid="{4A66CFA2-8F6C-4AFF-BC2E-D0248BCFF93A}"/>
    <cellStyle name="Comma 4 6 4 4" xfId="10979" xr:uid="{30AA4A8D-4CCB-4C70-84A7-6718B69CDF16}"/>
    <cellStyle name="Comma 4 6 5" xfId="1977" xr:uid="{00000000-0005-0000-0000-0000600A0000}"/>
    <cellStyle name="Comma 4 6 5 2" xfId="4206" xr:uid="{00000000-0005-0000-0000-0000610A0000}"/>
    <cellStyle name="Comma 4 6 5 2 2" xfId="8428" xr:uid="{00000000-0005-0000-0000-0000620A0000}"/>
    <cellStyle name="Comma 4 6 5 2 2 2" xfId="17754" xr:uid="{1B42608F-2418-480F-B031-1E90853A23ED}"/>
    <cellStyle name="Comma 4 6 5 2 3" xfId="13537" xr:uid="{1D2DA607-F75E-4D2E-A10A-F15F3CFF5166}"/>
    <cellStyle name="Comma 4 6 5 3" xfId="6283" xr:uid="{00000000-0005-0000-0000-0000630A0000}"/>
    <cellStyle name="Comma 4 6 5 3 2" xfId="15609" xr:uid="{D4F6899E-F630-405E-B758-9FB6EF03D15F}"/>
    <cellStyle name="Comma 4 6 5 4" xfId="11392" xr:uid="{D1B40F94-31DB-4387-8371-D1A30B3009C3}"/>
    <cellStyle name="Comma 4 6 6" xfId="2412" xr:uid="{00000000-0005-0000-0000-0000640A0000}"/>
    <cellStyle name="Comma 4 6 6 2" xfId="6696" xr:uid="{00000000-0005-0000-0000-0000650A0000}"/>
    <cellStyle name="Comma 4 6 6 2 2" xfId="16022" xr:uid="{CF36C024-C92A-430A-970D-EE5377FBC7F7}"/>
    <cellStyle name="Comma 4 6 6 3" xfId="11805" xr:uid="{0D91C8D8-4DEA-4330-868D-3674443FAEAB}"/>
    <cellStyle name="Comma 4 6 7" xfId="2708" xr:uid="{00000000-0005-0000-0000-0000660A0000}"/>
    <cellStyle name="Comma 4 6 8" xfId="2790" xr:uid="{00000000-0005-0000-0000-0000670A0000}"/>
    <cellStyle name="Comma 4 6 8 2" xfId="7013" xr:uid="{00000000-0005-0000-0000-0000680A0000}"/>
    <cellStyle name="Comma 4 6 8 2 2" xfId="16339" xr:uid="{8FAA837D-453B-43C4-A977-FDA37F9D29EC}"/>
    <cellStyle name="Comma 4 6 8 3" xfId="12122" xr:uid="{1EBA3836-6535-431D-9365-A52658F79253}"/>
    <cellStyle name="Comma 4 6 9" xfId="4630" xr:uid="{00000000-0005-0000-0000-0000690A0000}"/>
    <cellStyle name="Comma 4 6 9 2" xfId="13956" xr:uid="{5BF5BC36-4569-4B62-B67B-844F8322F698}"/>
    <cellStyle name="Comma 4 7" xfId="160" xr:uid="{00000000-0005-0000-0000-00006A0A0000}"/>
    <cellStyle name="Comma 4 7 10" xfId="9168" xr:uid="{C5EF0C72-87BD-43A9-8A23-92F9D9423F50}"/>
    <cellStyle name="Comma 4 7 10 2" xfId="18486" xr:uid="{62BC41DB-7435-42D4-B253-3D68E038A125}"/>
    <cellStyle name="Comma 4 7 11" xfId="9740" xr:uid="{B56B7365-74C0-41A3-9135-919D0A42D95F}"/>
    <cellStyle name="Comma 4 7 2" xfId="697" xr:uid="{00000000-0005-0000-0000-00006B0A0000}"/>
    <cellStyle name="Comma 4 7 2 2" xfId="2968" xr:uid="{00000000-0005-0000-0000-00006C0A0000}"/>
    <cellStyle name="Comma 4 7 2 2 2" xfId="7190" xr:uid="{00000000-0005-0000-0000-00006D0A0000}"/>
    <cellStyle name="Comma 4 7 2 2 2 2" xfId="16516" xr:uid="{1855144B-72CF-4B92-9EA9-DCFF6D6972A8}"/>
    <cellStyle name="Comma 4 7 2 2 3" xfId="12299" xr:uid="{2B9C20A2-E5CB-43B5-A172-ED765EE8FF36}"/>
    <cellStyle name="Comma 4 7 2 3" xfId="5045" xr:uid="{00000000-0005-0000-0000-00006E0A0000}"/>
    <cellStyle name="Comma 4 7 2 3 2" xfId="14371" xr:uid="{9148E78F-3A6D-4314-8FC1-78D1FBFC7D17}"/>
    <cellStyle name="Comma 4 7 2 4" xfId="9596" xr:uid="{F4A1C070-02C1-4F2A-89F2-15465D9BEBB2}"/>
    <cellStyle name="Comma 4 7 2 4 2" xfId="18900" xr:uid="{426FDD7B-7995-47CD-9947-63436F9454B8}"/>
    <cellStyle name="Comma 4 7 2 5" xfId="10154" xr:uid="{4CB84EFB-27C9-4449-8C44-CA6234AE9B47}"/>
    <cellStyle name="Comma 4 7 3" xfId="1150" xr:uid="{00000000-0005-0000-0000-00006F0A0000}"/>
    <cellStyle name="Comma 4 7 3 2" xfId="3381" xr:uid="{00000000-0005-0000-0000-0000700A0000}"/>
    <cellStyle name="Comma 4 7 3 2 2" xfId="7603" xr:uid="{00000000-0005-0000-0000-0000710A0000}"/>
    <cellStyle name="Comma 4 7 3 2 2 2" xfId="16929" xr:uid="{3547AFCD-E0D2-4C7E-880B-B3E2DACE70B6}"/>
    <cellStyle name="Comma 4 7 3 2 3" xfId="12712" xr:uid="{E0E59B84-E71F-4225-8A6A-37DF6DE4D47A}"/>
    <cellStyle name="Comma 4 7 3 3" xfId="5458" xr:uid="{00000000-0005-0000-0000-0000720A0000}"/>
    <cellStyle name="Comma 4 7 3 3 2" xfId="14784" xr:uid="{4D5C8AA2-98FF-4714-8489-94835BFA35DB}"/>
    <cellStyle name="Comma 4 7 3 4" xfId="10567" xr:uid="{98A94EE7-6C0D-40D2-BB4A-E52510567EB0}"/>
    <cellStyle name="Comma 4 7 4" xfId="1564" xr:uid="{00000000-0005-0000-0000-0000730A0000}"/>
    <cellStyle name="Comma 4 7 4 2" xfId="3794" xr:uid="{00000000-0005-0000-0000-0000740A0000}"/>
    <cellStyle name="Comma 4 7 4 2 2" xfId="8016" xr:uid="{00000000-0005-0000-0000-0000750A0000}"/>
    <cellStyle name="Comma 4 7 4 2 2 2" xfId="17342" xr:uid="{3D72EDF8-4A80-4F74-8116-10EF101B37D3}"/>
    <cellStyle name="Comma 4 7 4 2 3" xfId="13125" xr:uid="{700FE1AB-159C-4C35-956C-3771597EDACB}"/>
    <cellStyle name="Comma 4 7 4 3" xfId="5871" xr:uid="{00000000-0005-0000-0000-0000760A0000}"/>
    <cellStyle name="Comma 4 7 4 3 2" xfId="15197" xr:uid="{FFA51944-02EE-45DF-B90D-8E2B94FD2C12}"/>
    <cellStyle name="Comma 4 7 4 4" xfId="10980" xr:uid="{29B1B5C0-E0CE-4E3C-BF3D-0C71EA0D3BBA}"/>
    <cellStyle name="Comma 4 7 5" xfId="1978" xr:uid="{00000000-0005-0000-0000-0000770A0000}"/>
    <cellStyle name="Comma 4 7 5 2" xfId="4207" xr:uid="{00000000-0005-0000-0000-0000780A0000}"/>
    <cellStyle name="Comma 4 7 5 2 2" xfId="8429" xr:uid="{00000000-0005-0000-0000-0000790A0000}"/>
    <cellStyle name="Comma 4 7 5 2 2 2" xfId="17755" xr:uid="{73D1E35E-A2D7-427D-AE79-817C2A6BA3FF}"/>
    <cellStyle name="Comma 4 7 5 2 3" xfId="13538" xr:uid="{32EA1019-2352-4454-8473-023E709C4806}"/>
    <cellStyle name="Comma 4 7 5 3" xfId="6284" xr:uid="{00000000-0005-0000-0000-00007A0A0000}"/>
    <cellStyle name="Comma 4 7 5 3 2" xfId="15610" xr:uid="{4034BD99-EED7-4D61-AC2E-17564506A898}"/>
    <cellStyle name="Comma 4 7 5 4" xfId="11393" xr:uid="{9A397527-4034-434F-AD96-CA13CF152A1B}"/>
    <cellStyle name="Comma 4 7 6" xfId="2413" xr:uid="{00000000-0005-0000-0000-00007B0A0000}"/>
    <cellStyle name="Comma 4 7 6 2" xfId="6697" xr:uid="{00000000-0005-0000-0000-00007C0A0000}"/>
    <cellStyle name="Comma 4 7 6 2 2" xfId="16023" xr:uid="{FF356417-B598-41F9-84BD-65E552F9F311}"/>
    <cellStyle name="Comma 4 7 6 3" xfId="11806" xr:uid="{5C73D835-1C2E-4C9E-A227-F6CE6BDA93E4}"/>
    <cellStyle name="Comma 4 7 7" xfId="2709" xr:uid="{00000000-0005-0000-0000-00007D0A0000}"/>
    <cellStyle name="Comma 4 7 8" xfId="2791" xr:uid="{00000000-0005-0000-0000-00007E0A0000}"/>
    <cellStyle name="Comma 4 7 8 2" xfId="7014" xr:uid="{00000000-0005-0000-0000-00007F0A0000}"/>
    <cellStyle name="Comma 4 7 8 2 2" xfId="16340" xr:uid="{BAFAF06B-3B09-40B3-8EEA-152C17BB64C5}"/>
    <cellStyle name="Comma 4 7 8 3" xfId="12123" xr:uid="{E0CD9941-E3D6-4421-8846-C6D7F25A6650}"/>
    <cellStyle name="Comma 4 7 9" xfId="4631" xr:uid="{00000000-0005-0000-0000-0000800A0000}"/>
    <cellStyle name="Comma 4 7 9 2" xfId="13957" xr:uid="{2206070D-2515-4380-96C5-44FE50BDDAE2}"/>
    <cellStyle name="Comma 4 8" xfId="9193" xr:uid="{D2F7B7D5-1187-4B94-96D8-1D61B28E4E34}"/>
    <cellStyle name="Comma 4 9" xfId="8746" xr:uid="{EB6F8E1D-15EE-4A1C-A7FF-36C2A43F5A26}"/>
    <cellStyle name="Comma 4 9 2" xfId="18070" xr:uid="{8C0B4F6D-FF7C-4216-8F68-2943D951741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9C7B64C1-AE26-49DB-99A3-EBD9947A97E9}"/>
    <cellStyle name="Comma 7 3" xfId="9589" xr:uid="{E5FB568C-33F4-49EE-BE6E-4022B43BCBB9}"/>
    <cellStyle name="Comma 7 4" xfId="13825" xr:uid="{F896F0F2-3ECF-4FA2-8A16-CA40D2FDA5D7}"/>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202E1777-0245-463E-91E9-B91BECA71CF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73A455C4-E79B-4F78-8698-FF05D97D57C6}"/>
    <cellStyle name="Currency 14 3 2 2 2 2 3" xfId="18058" xr:uid="{45C31E73-2B31-4A03-8321-B6152CB59AE8}"/>
    <cellStyle name="Currency 14 3 2 2 2 3" xfId="18055" xr:uid="{F22ECA55-FDB7-4FAA-A546-B872A94720F7}"/>
    <cellStyle name="Currency 14 3 2 2 3" xfId="18051" xr:uid="{311C124F-9D30-450D-97AD-A5AF4F9382BE}"/>
    <cellStyle name="Currency 14 3 2 3" xfId="18048" xr:uid="{EC6AAC1C-D9D8-4681-BBC6-55358E6D4F08}"/>
    <cellStyle name="Currency 14 3 3" xfId="18045" xr:uid="{BA32C178-CCA6-415A-80D7-2FE698F3EA01}"/>
    <cellStyle name="Currency 14 4" xfId="13828" xr:uid="{3C2AC6F3-305C-43CA-8650-A4C5CD2E76A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A9140CF8-C52E-4B01-B6F4-02D670AE203F}"/>
    <cellStyle name="Currency 3 2 2 10 3" xfId="12124" xr:uid="{F3F650F7-312F-41EE-B3C0-790A53E51634}"/>
    <cellStyle name="Currency 3 2 2 11" xfId="4632" xr:uid="{00000000-0005-0000-0000-0000A50A0000}"/>
    <cellStyle name="Currency 3 2 2 11 2" xfId="13958" xr:uid="{2B838951-A59D-4ED9-9D8A-362D1384C9B4}"/>
    <cellStyle name="Currency 3 2 2 12" xfId="8808" xr:uid="{5CD24693-181E-456A-9199-DC057509AC96}"/>
    <cellStyle name="Currency 3 2 2 12 2" xfId="18132" xr:uid="{1B36A1C9-F095-47A3-81EF-430D8F753FD5}"/>
    <cellStyle name="Currency 3 2 2 13" xfId="9741" xr:uid="{BAC8D416-42B7-4C80-AEA7-49F5822F2547}"/>
    <cellStyle name="Currency 3 2 2 2" xfId="179" xr:uid="{00000000-0005-0000-0000-0000A60A0000}"/>
    <cellStyle name="Currency 3 2 2 2 10" xfId="4633" xr:uid="{00000000-0005-0000-0000-0000A70A0000}"/>
    <cellStyle name="Currency 3 2 2 2 10 2" xfId="13959" xr:uid="{7EDA6E03-7878-4B94-B388-794FC4AE0447}"/>
    <cellStyle name="Currency 3 2 2 2 11" xfId="8911" xr:uid="{177A45F7-B130-49DA-829A-AA3BF41B848C}"/>
    <cellStyle name="Currency 3 2 2 2 11 2" xfId="18235" xr:uid="{15EFA277-7475-4C40-9995-A53C5D5B211F}"/>
    <cellStyle name="Currency 3 2 2 2 12" xfId="9742" xr:uid="{28116125-D3B0-474F-9A47-AE2DEAFF6771}"/>
    <cellStyle name="Currency 3 2 2 2 2" xfId="180" xr:uid="{00000000-0005-0000-0000-0000A80A0000}"/>
    <cellStyle name="Currency 3 2 2 2 2 10" xfId="9118" xr:uid="{4DDBDF88-B997-49F5-AF34-322CC93508E5}"/>
    <cellStyle name="Currency 3 2 2 2 2 10 2" xfId="18442" xr:uid="{5F30F7E7-E4D9-4DE6-893C-F8C1934762D2}"/>
    <cellStyle name="Currency 3 2 2 2 2 11" xfId="9743" xr:uid="{9609381F-00FB-4246-AAE8-4218105D0E1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C44CD0CE-C0E5-4E7C-A88D-82A7DC78A333}"/>
    <cellStyle name="Currency 3 2 2 2 2 2 2 3" xfId="12302" xr:uid="{12C2B05B-8D35-4B00-B4CC-042D16CF0770}"/>
    <cellStyle name="Currency 3 2 2 2 2 2 3" xfId="5048" xr:uid="{00000000-0005-0000-0000-0000AC0A0000}"/>
    <cellStyle name="Currency 3 2 2 2 2 2 3 2" xfId="14374" xr:uid="{E34AEDE1-8F50-423D-A3FF-C211CFD19219}"/>
    <cellStyle name="Currency 3 2 2 2 2 2 4" xfId="9543" xr:uid="{08990697-BAC1-4B06-A86B-C554A35267E6}"/>
    <cellStyle name="Currency 3 2 2 2 2 2 4 2" xfId="18858" xr:uid="{D3C3EB57-CCE9-48CE-8EB5-97BA01F5CC59}"/>
    <cellStyle name="Currency 3 2 2 2 2 2 5" xfId="10157" xr:uid="{921DFDDA-8E94-4C06-AAEF-16E085D3916C}"/>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263ED261-FF61-45A4-A3E7-A7DE78C74BA1}"/>
    <cellStyle name="Currency 3 2 2 2 2 3 2 3" xfId="12715" xr:uid="{A7EFEFCB-5B88-463C-A058-A18BA7241F08}"/>
    <cellStyle name="Currency 3 2 2 2 2 3 3" xfId="5461" xr:uid="{00000000-0005-0000-0000-0000B00A0000}"/>
    <cellStyle name="Currency 3 2 2 2 2 3 3 2" xfId="14787" xr:uid="{A35C60BD-A218-4128-B8A2-A938541B61A2}"/>
    <cellStyle name="Currency 3 2 2 2 2 3 4" xfId="10570" xr:uid="{AE9220CD-F18D-4925-A828-147454BF5DAE}"/>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366C702A-8BDE-4E8B-98A8-70607974298A}"/>
    <cellStyle name="Currency 3 2 2 2 2 4 2 3" xfId="13128" xr:uid="{F4011B7F-5787-4C0D-9440-817B53EEFB14}"/>
    <cellStyle name="Currency 3 2 2 2 2 4 3" xfId="5874" xr:uid="{00000000-0005-0000-0000-0000B40A0000}"/>
    <cellStyle name="Currency 3 2 2 2 2 4 3 2" xfId="15200" xr:uid="{47291ABF-71E8-449A-9403-485450A3FBE2}"/>
    <cellStyle name="Currency 3 2 2 2 2 4 4" xfId="10983" xr:uid="{3B6218F9-35BE-492A-AF07-7D2CAB2B2D2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9161E85F-937F-4333-94A3-A41C187829CF}"/>
    <cellStyle name="Currency 3 2 2 2 2 5 2 3" xfId="13541" xr:uid="{66CEF9E8-02C7-4417-A0D3-2AF443F0EDAA}"/>
    <cellStyle name="Currency 3 2 2 2 2 5 3" xfId="6287" xr:uid="{00000000-0005-0000-0000-0000B80A0000}"/>
    <cellStyle name="Currency 3 2 2 2 2 5 3 2" xfId="15613" xr:uid="{038159B2-1FBA-4A6D-922B-EBD97471AEB8}"/>
    <cellStyle name="Currency 3 2 2 2 2 5 4" xfId="11396" xr:uid="{6356584C-3642-49F9-BA01-2426423CFEA5}"/>
    <cellStyle name="Currency 3 2 2 2 2 6" xfId="2416" xr:uid="{00000000-0005-0000-0000-0000B90A0000}"/>
    <cellStyle name="Currency 3 2 2 2 2 6 2" xfId="6700" xr:uid="{00000000-0005-0000-0000-0000BA0A0000}"/>
    <cellStyle name="Currency 3 2 2 2 2 6 2 2" xfId="16026" xr:uid="{A17C0B59-087B-47A3-9677-788B500D3360}"/>
    <cellStyle name="Currency 3 2 2 2 2 6 3" xfId="11809" xr:uid="{4686CD40-C7AD-4FC7-9B9B-39A5139ED0B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89B290B4-12CC-4D76-9FE4-4E08014BCDB6}"/>
    <cellStyle name="Currency 3 2 2 2 2 8 3" xfId="12126" xr:uid="{8C1B9673-A435-45CA-9A20-81728F451245}"/>
    <cellStyle name="Currency 3 2 2 2 2 9" xfId="4634" xr:uid="{00000000-0005-0000-0000-0000BE0A0000}"/>
    <cellStyle name="Currency 3 2 2 2 2 9 2" xfId="13960" xr:uid="{7F6BDA01-1883-46D5-AEB4-34C56D11B07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475074D8-667B-4ABF-9291-21B604504B01}"/>
    <cellStyle name="Currency 3 2 2 2 3 2 3" xfId="12301" xr:uid="{D7C805AC-742F-45FB-81D6-B9115FFAD55E}"/>
    <cellStyle name="Currency 3 2 2 2 3 3" xfId="5047" xr:uid="{00000000-0005-0000-0000-0000C20A0000}"/>
    <cellStyle name="Currency 3 2 2 2 3 3 2" xfId="14373" xr:uid="{93F4EB82-1553-4302-AD6D-A98673D620C1}"/>
    <cellStyle name="Currency 3 2 2 2 3 4" xfId="9336" xr:uid="{F86D5454-A503-484B-B8F3-81FF219E49D0}"/>
    <cellStyle name="Currency 3 2 2 2 3 4 2" xfId="18651" xr:uid="{5AD2CE65-0DBD-405A-B837-C0E65474B50C}"/>
    <cellStyle name="Currency 3 2 2 2 3 5" xfId="10156" xr:uid="{C3AE041D-02F9-4BF7-B796-978F03C1EBA9}"/>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F0E02312-EFD3-4FEF-BCD8-C8CE4D5C7EFE}"/>
    <cellStyle name="Currency 3 2 2 2 4 2 3" xfId="12714" xr:uid="{9250C221-DE6E-4BE8-9FFE-97D5AAF871DB}"/>
    <cellStyle name="Currency 3 2 2 2 4 3" xfId="5460" xr:uid="{00000000-0005-0000-0000-0000C60A0000}"/>
    <cellStyle name="Currency 3 2 2 2 4 3 2" xfId="14786" xr:uid="{799FCB5F-2788-431F-858C-2C2A218B37C3}"/>
    <cellStyle name="Currency 3 2 2 2 4 4" xfId="10569" xr:uid="{F6554692-4A22-4B1B-B21C-7999D42D098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F600061F-11C8-461A-ABDA-C28C5987614C}"/>
    <cellStyle name="Currency 3 2 2 2 5 2 3" xfId="13127" xr:uid="{28472B41-F4B7-4B19-9DBF-12E2F783AA51}"/>
    <cellStyle name="Currency 3 2 2 2 5 3" xfId="5873" xr:uid="{00000000-0005-0000-0000-0000CA0A0000}"/>
    <cellStyle name="Currency 3 2 2 2 5 3 2" xfId="15199" xr:uid="{01B09D0D-ABD7-4683-91D9-3915A71106FA}"/>
    <cellStyle name="Currency 3 2 2 2 5 4" xfId="10982" xr:uid="{07314155-01CC-4B77-BC6F-8210C5091C5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7CAB8CDF-1183-4A90-8B78-23EC7890EF41}"/>
    <cellStyle name="Currency 3 2 2 2 6 2 3" xfId="13540" xr:uid="{07F11988-AFBD-4542-A68D-268B4770E4AA}"/>
    <cellStyle name="Currency 3 2 2 2 6 3" xfId="6286" xr:uid="{00000000-0005-0000-0000-0000CE0A0000}"/>
    <cellStyle name="Currency 3 2 2 2 6 3 2" xfId="15612" xr:uid="{0B8FFAB8-DB13-4DB1-B6E4-A20ABE69F177}"/>
    <cellStyle name="Currency 3 2 2 2 6 4" xfId="11395" xr:uid="{A1C3165B-B368-4470-AFDC-538E477553DD}"/>
    <cellStyle name="Currency 3 2 2 2 7" xfId="2415" xr:uid="{00000000-0005-0000-0000-0000CF0A0000}"/>
    <cellStyle name="Currency 3 2 2 2 7 2" xfId="6699" xr:uid="{00000000-0005-0000-0000-0000D00A0000}"/>
    <cellStyle name="Currency 3 2 2 2 7 2 2" xfId="16025" xr:uid="{9EE84C47-C561-4370-B8C2-9F5362C263D7}"/>
    <cellStyle name="Currency 3 2 2 2 7 3" xfId="11808" xr:uid="{5167BD42-4472-4FFC-84EE-1F4B57E3F20A}"/>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87E5556E-87A4-4A65-AA3D-5D8794259647}"/>
    <cellStyle name="Currency 3 2 2 2 9 3" xfId="12125" xr:uid="{2FDEE7BE-2966-4DF5-965E-6231B1AA84B4}"/>
    <cellStyle name="Currency 3 2 2 3" xfId="181" xr:uid="{00000000-0005-0000-0000-0000D40A0000}"/>
    <cellStyle name="Currency 3 2 2 3 10" xfId="9015" xr:uid="{A1C3FAFC-6FB9-45C5-A279-C90E61794A63}"/>
    <cellStyle name="Currency 3 2 2 3 10 2" xfId="18339" xr:uid="{7E3BB955-6787-4585-85C3-56B986E3536D}"/>
    <cellStyle name="Currency 3 2 2 3 11" xfId="9744" xr:uid="{A61E9690-1D70-4172-8319-B0EA76AA66C1}"/>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C54D6A72-1F60-471E-B70C-F44969CA0D72}"/>
    <cellStyle name="Currency 3 2 2 3 2 2 3" xfId="12303" xr:uid="{974B239C-3B29-401C-8BB3-D5CDC03C1375}"/>
    <cellStyle name="Currency 3 2 2 3 2 3" xfId="5049" xr:uid="{00000000-0005-0000-0000-0000D80A0000}"/>
    <cellStyle name="Currency 3 2 2 3 2 3 2" xfId="14375" xr:uid="{679DDA9A-8899-4652-A741-B6B51D47C733}"/>
    <cellStyle name="Currency 3 2 2 3 2 4" xfId="9440" xr:uid="{774D5512-BCA5-4224-A909-3336A63369C8}"/>
    <cellStyle name="Currency 3 2 2 3 2 4 2" xfId="18755" xr:uid="{35E4549C-EC89-40BC-A4C0-C2C24DDB9002}"/>
    <cellStyle name="Currency 3 2 2 3 2 5" xfId="10158" xr:uid="{E001044D-57A1-48D2-AD63-1C89281B865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087A0D09-7DB9-486D-896C-6E77F7DCF70E}"/>
    <cellStyle name="Currency 3 2 2 3 3 2 3" xfId="12716" xr:uid="{5AAA3494-979C-425F-A663-E797DAB71AE9}"/>
    <cellStyle name="Currency 3 2 2 3 3 3" xfId="5462" xr:uid="{00000000-0005-0000-0000-0000DC0A0000}"/>
    <cellStyle name="Currency 3 2 2 3 3 3 2" xfId="14788" xr:uid="{DE4B4EED-4708-45EC-80E3-691DD28C6AE3}"/>
    <cellStyle name="Currency 3 2 2 3 3 4" xfId="10571" xr:uid="{929CBB59-3458-432B-B208-62FA6EA8CCCD}"/>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1E79CA63-5A6B-4F23-B45F-491D9AEB7262}"/>
    <cellStyle name="Currency 3 2 2 3 4 2 3" xfId="13129" xr:uid="{3A349BC1-75B6-49FC-97E0-CEE9E0D7172E}"/>
    <cellStyle name="Currency 3 2 2 3 4 3" xfId="5875" xr:uid="{00000000-0005-0000-0000-0000E00A0000}"/>
    <cellStyle name="Currency 3 2 2 3 4 3 2" xfId="15201" xr:uid="{9530A1E9-62E4-4DE4-B4D1-A6E20B2CE991}"/>
    <cellStyle name="Currency 3 2 2 3 4 4" xfId="10984" xr:uid="{AD1FB0DC-9585-48EE-A297-251D5FAEB0B3}"/>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5F23C906-66E2-4B58-ABD9-FDA3C04416E3}"/>
    <cellStyle name="Currency 3 2 2 3 5 2 3" xfId="13542" xr:uid="{3C797761-7211-445D-9217-E53AD6246ED6}"/>
    <cellStyle name="Currency 3 2 2 3 5 3" xfId="6288" xr:uid="{00000000-0005-0000-0000-0000E40A0000}"/>
    <cellStyle name="Currency 3 2 2 3 5 3 2" xfId="15614" xr:uid="{06FC45DD-1450-4E1C-91A1-72AD40AFA838}"/>
    <cellStyle name="Currency 3 2 2 3 5 4" xfId="11397" xr:uid="{508D1B0C-39D1-4548-A44D-CB1421BF75D2}"/>
    <cellStyle name="Currency 3 2 2 3 6" xfId="2417" xr:uid="{00000000-0005-0000-0000-0000E50A0000}"/>
    <cellStyle name="Currency 3 2 2 3 6 2" xfId="6701" xr:uid="{00000000-0005-0000-0000-0000E60A0000}"/>
    <cellStyle name="Currency 3 2 2 3 6 2 2" xfId="16027" xr:uid="{268D884C-276D-4C3D-A9BD-64E64EDD6F1A}"/>
    <cellStyle name="Currency 3 2 2 3 6 3" xfId="11810" xr:uid="{73BDB7F3-A800-4557-894D-83AD73577D4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EF7B49F3-B086-49EE-B6B3-14BD71C65651}"/>
    <cellStyle name="Currency 3 2 2 3 8 3" xfId="12127" xr:uid="{BDAF99F7-4EC2-40D7-8F9B-032D8FC9ACB1}"/>
    <cellStyle name="Currency 3 2 2 3 9" xfId="4635" xr:uid="{00000000-0005-0000-0000-0000EA0A0000}"/>
    <cellStyle name="Currency 3 2 2 3 9 2" xfId="13961" xr:uid="{A3CBF5E7-CFF3-4175-B1CC-2405CAC6296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D94D6626-390C-4CDE-B947-FEC5E655081F}"/>
    <cellStyle name="Currency 3 2 2 4 2 3" xfId="12300" xr:uid="{58AA9A01-8F5D-413B-99CA-CF9D59CE2B47}"/>
    <cellStyle name="Currency 3 2 2 4 3" xfId="5046" xr:uid="{00000000-0005-0000-0000-0000EE0A0000}"/>
    <cellStyle name="Currency 3 2 2 4 3 2" xfId="14372" xr:uid="{A7CC1C9E-7534-4AA8-B159-BA9A8AA6B91E}"/>
    <cellStyle name="Currency 3 2 2 4 4" xfId="9233" xr:uid="{A90843BF-65B1-48E5-9C93-A2651D7B4B13}"/>
    <cellStyle name="Currency 3 2 2 4 4 2" xfId="18548" xr:uid="{7D591B72-47D8-4327-AF85-7710A8C72820}"/>
    <cellStyle name="Currency 3 2 2 4 5" xfId="10155" xr:uid="{51B25D80-473A-421D-A0D3-A49A8BCABDC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43B5E25E-1FBE-4976-9A07-9E7F902B3F57}"/>
    <cellStyle name="Currency 3 2 2 5 2 3" xfId="12713" xr:uid="{CC2787D7-C670-4E39-B1E6-48C3C3191613}"/>
    <cellStyle name="Currency 3 2 2 5 3" xfId="5459" xr:uid="{00000000-0005-0000-0000-0000F20A0000}"/>
    <cellStyle name="Currency 3 2 2 5 3 2" xfId="14785" xr:uid="{57F4E8F5-1BBE-4DAE-9A0F-02BD602FEB91}"/>
    <cellStyle name="Currency 3 2 2 5 4" xfId="10568" xr:uid="{224A293F-EF4A-4CF3-BBDC-A6F359004321}"/>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1B55CBBD-1DCF-4221-9EE1-C745E6D34951}"/>
    <cellStyle name="Currency 3 2 2 6 2 3" xfId="13126" xr:uid="{88A3655C-9D70-4BE3-A7C4-DD7331C08E61}"/>
    <cellStyle name="Currency 3 2 2 6 3" xfId="5872" xr:uid="{00000000-0005-0000-0000-0000F60A0000}"/>
    <cellStyle name="Currency 3 2 2 6 3 2" xfId="15198" xr:uid="{AE20FC9B-DF16-44CF-9490-BE6B9CB6FA72}"/>
    <cellStyle name="Currency 3 2 2 6 4" xfId="10981" xr:uid="{F7FE8AB9-4391-4E5D-848A-BEB15C33994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C96A4F6C-F038-4E02-A25B-8B232A019F1E}"/>
    <cellStyle name="Currency 3 2 2 7 2 3" xfId="13539" xr:uid="{9E24B9F0-5E1D-4936-A6A4-5DF1736A8A1A}"/>
    <cellStyle name="Currency 3 2 2 7 3" xfId="6285" xr:uid="{00000000-0005-0000-0000-0000FA0A0000}"/>
    <cellStyle name="Currency 3 2 2 7 3 2" xfId="15611" xr:uid="{AD3DCE48-03C0-4843-959C-0171AAD6B0A9}"/>
    <cellStyle name="Currency 3 2 2 7 4" xfId="11394" xr:uid="{9CB5B1C5-B908-43DE-8A6C-6CF9965A6206}"/>
    <cellStyle name="Currency 3 2 2 8" xfId="2414" xr:uid="{00000000-0005-0000-0000-0000FB0A0000}"/>
    <cellStyle name="Currency 3 2 2 8 2" xfId="6698" xr:uid="{00000000-0005-0000-0000-0000FC0A0000}"/>
    <cellStyle name="Currency 3 2 2 8 2 2" xfId="16024" xr:uid="{FBFB4E5E-9803-475B-BB76-6491E71646E6}"/>
    <cellStyle name="Currency 3 2 2 8 3" xfId="11807" xr:uid="{4808B8AA-24C5-41E3-A4B6-CDA874E6318C}"/>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1C10AC19-0246-4248-9B42-0CC49BA0AEA7}"/>
    <cellStyle name="Currency 3 2 3 11" xfId="8893" xr:uid="{8CE28714-D587-402C-9A17-1A08799662D4}"/>
    <cellStyle name="Currency 3 2 3 11 2" xfId="18217" xr:uid="{7D6BA3D7-AD21-4C82-ABD0-7FFE4D2ED40E}"/>
    <cellStyle name="Currency 3 2 3 12" xfId="9745" xr:uid="{87725B8F-C2E6-45FD-917F-82409F4DC72B}"/>
    <cellStyle name="Currency 3 2 3 2" xfId="183" xr:uid="{00000000-0005-0000-0000-0000000B0000}"/>
    <cellStyle name="Currency 3 2 3 2 10" xfId="9100" xr:uid="{CEBE1F40-0923-46C6-AB84-DD4DAB20CD81}"/>
    <cellStyle name="Currency 3 2 3 2 10 2" xfId="18424" xr:uid="{DAE10EF1-FF0C-48CD-92C5-D6372F0CD9DB}"/>
    <cellStyle name="Currency 3 2 3 2 11" xfId="9746" xr:uid="{2BDE74A6-5FFA-4C28-9C71-1680A7C3D75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71BF9F2F-82C8-4968-8A7F-4BF761795DC4}"/>
    <cellStyle name="Currency 3 2 3 2 2 2 3" xfId="12305" xr:uid="{BFA6E405-57A3-4C69-9976-C67D8AAE11DC}"/>
    <cellStyle name="Currency 3 2 3 2 2 3" xfId="5051" xr:uid="{00000000-0005-0000-0000-0000040B0000}"/>
    <cellStyle name="Currency 3 2 3 2 2 3 2" xfId="14377" xr:uid="{43149599-DC9F-4CAB-8D4C-E77BC89B9E9F}"/>
    <cellStyle name="Currency 3 2 3 2 2 4" xfId="9525" xr:uid="{759374BA-DDD8-4F33-9655-B300986F8700}"/>
    <cellStyle name="Currency 3 2 3 2 2 4 2" xfId="18840" xr:uid="{3CB38160-2AAE-467D-A8ED-F80EE50487EE}"/>
    <cellStyle name="Currency 3 2 3 2 2 5" xfId="10160" xr:uid="{DBB69D9E-C99C-449B-9EBC-09FF66A2F366}"/>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2CF19EF9-4B31-4156-9C4D-09C7B818A15F}"/>
    <cellStyle name="Currency 3 2 3 2 3 2 3" xfId="12718" xr:uid="{31602EE3-28C3-455C-B14E-F87C2EE0D8E2}"/>
    <cellStyle name="Currency 3 2 3 2 3 3" xfId="5464" xr:uid="{00000000-0005-0000-0000-0000080B0000}"/>
    <cellStyle name="Currency 3 2 3 2 3 3 2" xfId="14790" xr:uid="{0A2ED5EE-E2A3-4D7B-9C1B-0D01039D5B2F}"/>
    <cellStyle name="Currency 3 2 3 2 3 4" xfId="10573" xr:uid="{68B470BE-DCB7-4603-8388-23D71BDE5EF2}"/>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DCFED0B2-4C24-4333-8CFF-6F1344A42A71}"/>
    <cellStyle name="Currency 3 2 3 2 4 2 3" xfId="13131" xr:uid="{AD3E6242-FF47-499E-823A-17D0547C6919}"/>
    <cellStyle name="Currency 3 2 3 2 4 3" xfId="5877" xr:uid="{00000000-0005-0000-0000-00000C0B0000}"/>
    <cellStyle name="Currency 3 2 3 2 4 3 2" xfId="15203" xr:uid="{5A23DACD-8AD8-4F2A-A67E-9AB9BD86331E}"/>
    <cellStyle name="Currency 3 2 3 2 4 4" xfId="10986" xr:uid="{DC236332-E35B-4A0E-92BD-51E6F5CA0A7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42F4DF42-EA02-4267-A8B5-E047B45AFF78}"/>
    <cellStyle name="Currency 3 2 3 2 5 2 3" xfId="13544" xr:uid="{6E5E72EA-4959-4E05-A788-0722C116F388}"/>
    <cellStyle name="Currency 3 2 3 2 5 3" xfId="6290" xr:uid="{00000000-0005-0000-0000-0000100B0000}"/>
    <cellStyle name="Currency 3 2 3 2 5 3 2" xfId="15616" xr:uid="{01ED1E5F-9AAF-4B4D-9FD3-DB135AC26AFB}"/>
    <cellStyle name="Currency 3 2 3 2 5 4" xfId="11399" xr:uid="{8CBFFD09-0D63-4928-9B3F-3806A6FA1D0B}"/>
    <cellStyle name="Currency 3 2 3 2 6" xfId="2419" xr:uid="{00000000-0005-0000-0000-0000110B0000}"/>
    <cellStyle name="Currency 3 2 3 2 6 2" xfId="6703" xr:uid="{00000000-0005-0000-0000-0000120B0000}"/>
    <cellStyle name="Currency 3 2 3 2 6 2 2" xfId="16029" xr:uid="{93570478-55A7-4D75-B33D-8D1EB3C54C1E}"/>
    <cellStyle name="Currency 3 2 3 2 6 3" xfId="11812" xr:uid="{E1974A08-2856-4B24-9575-0F395E1D8DCC}"/>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7612A440-6505-47FA-885F-1278F86AD28D}"/>
    <cellStyle name="Currency 3 2 3 2 8 3" xfId="12129" xr:uid="{10191698-6BB6-4F57-AAAA-39B5A2081094}"/>
    <cellStyle name="Currency 3 2 3 2 9" xfId="4637" xr:uid="{00000000-0005-0000-0000-0000160B0000}"/>
    <cellStyle name="Currency 3 2 3 2 9 2" xfId="13963" xr:uid="{CCEFA791-0ECA-43E4-A871-29151DD6191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E40EB72E-777C-4B1D-8D2C-E0948394D771}"/>
    <cellStyle name="Currency 3 2 3 3 2 3" xfId="12304" xr:uid="{2E7BAAA8-02ED-44AD-AEF9-0B1A93667D51}"/>
    <cellStyle name="Currency 3 2 3 3 3" xfId="5050" xr:uid="{00000000-0005-0000-0000-00001A0B0000}"/>
    <cellStyle name="Currency 3 2 3 3 3 2" xfId="14376" xr:uid="{B5148417-85C9-49B5-978C-A3570487F08D}"/>
    <cellStyle name="Currency 3 2 3 3 4" xfId="9318" xr:uid="{AA73873E-8E72-4FDE-A22E-F5D80E2A87B1}"/>
    <cellStyle name="Currency 3 2 3 3 4 2" xfId="18633" xr:uid="{2D40F72D-33AF-42B5-B846-ADCCE51468B9}"/>
    <cellStyle name="Currency 3 2 3 3 5" xfId="10159" xr:uid="{7BE51490-B5B9-46A7-8C04-5E0A8FFC0C4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FD221E44-D128-4195-815F-BA78CEE8B300}"/>
    <cellStyle name="Currency 3 2 3 4 2 3" xfId="12717" xr:uid="{A4C65658-5EF6-401F-B74E-581F6701B9D3}"/>
    <cellStyle name="Currency 3 2 3 4 3" xfId="5463" xr:uid="{00000000-0005-0000-0000-00001E0B0000}"/>
    <cellStyle name="Currency 3 2 3 4 3 2" xfId="14789" xr:uid="{843F5989-2E4B-41B1-BC68-1BDCC964BCE5}"/>
    <cellStyle name="Currency 3 2 3 4 4" xfId="10572" xr:uid="{3486C309-837E-4EF2-9202-40A69D79EFB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2BA064ED-CB25-469B-B409-9E7088401046}"/>
    <cellStyle name="Currency 3 2 3 5 2 3" xfId="13130" xr:uid="{8CAF94FE-A034-4832-94CD-6C37C71BEE23}"/>
    <cellStyle name="Currency 3 2 3 5 3" xfId="5876" xr:uid="{00000000-0005-0000-0000-0000220B0000}"/>
    <cellStyle name="Currency 3 2 3 5 3 2" xfId="15202" xr:uid="{D3782C9C-6906-44CF-961A-F8EB3B56D379}"/>
    <cellStyle name="Currency 3 2 3 5 4" xfId="10985" xr:uid="{4725D8DA-EACA-4AF9-97C4-8C424B270A77}"/>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77BA312E-AEA8-4FD9-8D9A-28B32A92BC87}"/>
    <cellStyle name="Currency 3 2 3 6 2 3" xfId="13543" xr:uid="{D618E05A-8B37-4526-9CD5-4A6C2684BCFE}"/>
    <cellStyle name="Currency 3 2 3 6 3" xfId="6289" xr:uid="{00000000-0005-0000-0000-0000260B0000}"/>
    <cellStyle name="Currency 3 2 3 6 3 2" xfId="15615" xr:uid="{3030368F-971B-4C25-9EE6-5D8D3606CF72}"/>
    <cellStyle name="Currency 3 2 3 6 4" xfId="11398" xr:uid="{8485893A-AB8F-44CC-906B-6ADA88D1B65D}"/>
    <cellStyle name="Currency 3 2 3 7" xfId="2418" xr:uid="{00000000-0005-0000-0000-0000270B0000}"/>
    <cellStyle name="Currency 3 2 3 7 2" xfId="6702" xr:uid="{00000000-0005-0000-0000-0000280B0000}"/>
    <cellStyle name="Currency 3 2 3 7 2 2" xfId="16028" xr:uid="{89D3E25B-6C5D-46FD-A267-E13935BAD641}"/>
    <cellStyle name="Currency 3 2 3 7 3" xfId="11811" xr:uid="{3E378B10-F4D1-4805-BEB7-BCCF8F2F84E9}"/>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B44ABD57-E293-4B66-B32E-A02DD2636D4B}"/>
    <cellStyle name="Currency 3 2 3 9 3" xfId="12128" xr:uid="{680806FF-1312-42D2-8622-CDB087244F7A}"/>
    <cellStyle name="Currency 3 2 4" xfId="184" xr:uid="{00000000-0005-0000-0000-00002C0B0000}"/>
    <cellStyle name="Currency 3 2 4 10" xfId="8997" xr:uid="{DF9FC022-A382-4135-990F-F43A472E13BA}"/>
    <cellStyle name="Currency 3 2 4 10 2" xfId="18321" xr:uid="{429EB209-3DD5-4FD5-B2B3-F2751A4FB22B}"/>
    <cellStyle name="Currency 3 2 4 11" xfId="9747" xr:uid="{E702E9B5-F430-484A-862E-54B4278A5EE8}"/>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95696721-108F-45D7-915D-5BA90C85A68A}"/>
    <cellStyle name="Currency 3 2 4 2 2 3" xfId="12306" xr:uid="{83EFD8A8-2667-4CE4-ADD7-CC716FDDE4CF}"/>
    <cellStyle name="Currency 3 2 4 2 3" xfId="5052" xr:uid="{00000000-0005-0000-0000-0000300B0000}"/>
    <cellStyle name="Currency 3 2 4 2 3 2" xfId="14378" xr:uid="{B8679FD8-44A4-4827-BD53-8E78F4BE5A47}"/>
    <cellStyle name="Currency 3 2 4 2 4" xfId="9422" xr:uid="{3049B7CE-611E-437A-AD0B-2E3AA5E2E50D}"/>
    <cellStyle name="Currency 3 2 4 2 4 2" xfId="18737" xr:uid="{ADD2EB3B-4BA1-4ABB-B70F-447F233066EA}"/>
    <cellStyle name="Currency 3 2 4 2 5" xfId="10161" xr:uid="{ED1B9C67-A930-44B9-888B-BC98903C94BB}"/>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7DFC0278-EFEE-4DA7-99AD-8071015FEDEC}"/>
    <cellStyle name="Currency 3 2 4 3 2 3" xfId="12719" xr:uid="{AB91EC96-63D1-4846-BC66-4A9964CD2856}"/>
    <cellStyle name="Currency 3 2 4 3 3" xfId="5465" xr:uid="{00000000-0005-0000-0000-0000340B0000}"/>
    <cellStyle name="Currency 3 2 4 3 3 2" xfId="14791" xr:uid="{DF360A35-2D99-46B0-91E9-DE258E407330}"/>
    <cellStyle name="Currency 3 2 4 3 4" xfId="10574" xr:uid="{1573D086-32A2-4D28-9528-4D21639549BF}"/>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0CF4A3C8-4FD0-4048-960D-BF42E3890D8A}"/>
    <cellStyle name="Currency 3 2 4 4 2 3" xfId="13132" xr:uid="{8D716766-75AB-4070-9940-28D06263234C}"/>
    <cellStyle name="Currency 3 2 4 4 3" xfId="5878" xr:uid="{00000000-0005-0000-0000-0000380B0000}"/>
    <cellStyle name="Currency 3 2 4 4 3 2" xfId="15204" xr:uid="{4D6714E6-CEBC-4957-8E32-CDFF72A82031}"/>
    <cellStyle name="Currency 3 2 4 4 4" xfId="10987" xr:uid="{18F85054-ACC0-45CE-940B-3DC6134631C8}"/>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8409D101-D76D-4414-AF60-907969B4A91D}"/>
    <cellStyle name="Currency 3 2 4 5 2 3" xfId="13545" xr:uid="{46D6BD14-1D16-4AB7-B253-301E33E3AD87}"/>
    <cellStyle name="Currency 3 2 4 5 3" xfId="6291" xr:uid="{00000000-0005-0000-0000-00003C0B0000}"/>
    <cellStyle name="Currency 3 2 4 5 3 2" xfId="15617" xr:uid="{6979E495-1B64-43CC-A83E-3BB50D144C3F}"/>
    <cellStyle name="Currency 3 2 4 5 4" xfId="11400" xr:uid="{295E92E1-9D54-49BC-8403-9C76D6791102}"/>
    <cellStyle name="Currency 3 2 4 6" xfId="2420" xr:uid="{00000000-0005-0000-0000-00003D0B0000}"/>
    <cellStyle name="Currency 3 2 4 6 2" xfId="6704" xr:uid="{00000000-0005-0000-0000-00003E0B0000}"/>
    <cellStyle name="Currency 3 2 4 6 2 2" xfId="16030" xr:uid="{7C0BEFC6-9572-4FEA-A90E-6057AA881AD2}"/>
    <cellStyle name="Currency 3 2 4 6 3" xfId="11813" xr:uid="{07BC56EF-8BD5-4FDB-9371-BDE3309D35AA}"/>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2A841653-45D8-4370-A3F8-18BCD8E0154C}"/>
    <cellStyle name="Currency 3 2 4 8 3" xfId="12130" xr:uid="{05696AF7-BD8E-4377-BEF8-6549B07D2065}"/>
    <cellStyle name="Currency 3 2 4 9" xfId="4638" xr:uid="{00000000-0005-0000-0000-0000420B0000}"/>
    <cellStyle name="Currency 3 2 4 9 2" xfId="13964" xr:uid="{F9240853-C5E3-4936-8191-9144542D6D49}"/>
    <cellStyle name="Currency 3 2 5" xfId="185" xr:uid="{00000000-0005-0000-0000-0000430B0000}"/>
    <cellStyle name="Currency 3 2 5 10" xfId="9214" xr:uid="{3D0A867F-0B9D-4759-A509-3EC1084E197B}"/>
    <cellStyle name="Currency 3 2 5 10 2" xfId="18530" xr:uid="{E6CF85BF-423B-413D-A93A-D06910AA9101}"/>
    <cellStyle name="Currency 3 2 5 11" xfId="9748" xr:uid="{4DFDD397-0EE7-4C9D-B317-25EC3B29DA9A}"/>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862942DE-9614-4182-B2F2-2041A9E258DC}"/>
    <cellStyle name="Currency 3 2 5 2 2 3" xfId="12307" xr:uid="{34B6680E-07CA-4EB6-A5F7-3DCD42E8A188}"/>
    <cellStyle name="Currency 3 2 5 2 3" xfId="5053" xr:uid="{00000000-0005-0000-0000-0000470B0000}"/>
    <cellStyle name="Currency 3 2 5 2 3 2" xfId="14379" xr:uid="{CA2B6E05-B41D-4DCA-83FC-A4D438BFC89C}"/>
    <cellStyle name="Currency 3 2 5 2 4" xfId="9597" xr:uid="{6E2F978E-96E4-4AD8-B4BD-1BE9D7E96A2F}"/>
    <cellStyle name="Currency 3 2 5 2 4 2" xfId="18901" xr:uid="{6E2868AC-2082-4203-B534-C3EC53E48C21}"/>
    <cellStyle name="Currency 3 2 5 2 5" xfId="10162" xr:uid="{5676260E-A3D9-414C-8AD8-DCA98D97B12A}"/>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4BCD4437-4017-4EFE-BF1A-23FB9F27B834}"/>
    <cellStyle name="Currency 3 2 5 3 2 3" xfId="12720" xr:uid="{7D0A9499-C0E8-4F33-898E-E1CB72278BD0}"/>
    <cellStyle name="Currency 3 2 5 3 3" xfId="5466" xr:uid="{00000000-0005-0000-0000-00004B0B0000}"/>
    <cellStyle name="Currency 3 2 5 3 3 2" xfId="14792" xr:uid="{09A1535F-A82F-4246-A1AB-FA356782C3A0}"/>
    <cellStyle name="Currency 3 2 5 3 4" xfId="10575" xr:uid="{C1041C1F-4F6D-480F-A8C9-D6A648066006}"/>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E80A9722-8C9C-46A5-ADF2-ACE87B4F8586}"/>
    <cellStyle name="Currency 3 2 5 4 2 3" xfId="13133" xr:uid="{333CACDC-4942-411E-8B11-1FE5C4ED0123}"/>
    <cellStyle name="Currency 3 2 5 4 3" xfId="5879" xr:uid="{00000000-0005-0000-0000-00004F0B0000}"/>
    <cellStyle name="Currency 3 2 5 4 3 2" xfId="15205" xr:uid="{65977A2D-2333-4A02-929B-00EB53AE9D8E}"/>
    <cellStyle name="Currency 3 2 5 4 4" xfId="10988" xr:uid="{259A71F3-04CC-4CBB-B33B-29C5555B9B4B}"/>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9D977EF8-95FD-4779-ADE4-4E972E0BF48B}"/>
    <cellStyle name="Currency 3 2 5 5 2 3" xfId="13546" xr:uid="{15BA5AB8-0DCA-4C56-AD80-A6C3B86BC228}"/>
    <cellStyle name="Currency 3 2 5 5 3" xfId="6292" xr:uid="{00000000-0005-0000-0000-0000530B0000}"/>
    <cellStyle name="Currency 3 2 5 5 3 2" xfId="15618" xr:uid="{08FD6ABB-7BC1-488A-B8F8-971929883329}"/>
    <cellStyle name="Currency 3 2 5 5 4" xfId="11401" xr:uid="{5EC2CBE1-0EDF-4EAB-9476-7EA90CBF6744}"/>
    <cellStyle name="Currency 3 2 5 6" xfId="2421" xr:uid="{00000000-0005-0000-0000-0000540B0000}"/>
    <cellStyle name="Currency 3 2 5 6 2" xfId="6705" xr:uid="{00000000-0005-0000-0000-0000550B0000}"/>
    <cellStyle name="Currency 3 2 5 6 2 2" xfId="16031" xr:uid="{BD02017A-F2E9-4E37-97D6-2708B4ADB8FE}"/>
    <cellStyle name="Currency 3 2 5 6 3" xfId="11814" xr:uid="{6A27FA83-0EE7-4C5B-990D-22C25E6C601E}"/>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E7F63F86-9B8A-421F-B3F8-06A5D94F15E6}"/>
    <cellStyle name="Currency 3 2 5 8 3" xfId="12131" xr:uid="{DE1869CB-E402-40BA-8556-18B04BF1C877}"/>
    <cellStyle name="Currency 3 2 5 9" xfId="4639" xr:uid="{00000000-0005-0000-0000-0000590B0000}"/>
    <cellStyle name="Currency 3 2 5 9 2" xfId="13965" xr:uid="{15C2E11F-9108-4201-B599-9E38F675D4EB}"/>
    <cellStyle name="Currency 3 2 6" xfId="9583" xr:uid="{653EC571-6DFB-4D44-8156-8097E74D2DD4}"/>
    <cellStyle name="Currency 3 2 7" xfId="8790" xr:uid="{4F16186C-C154-4E9A-B12A-0E13D64C3701}"/>
    <cellStyle name="Currency 3 2 7 2" xfId="18114" xr:uid="{C442F8E1-D819-4BDA-90B6-3CF7CF804B3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D1724F16-8FF7-45A6-AB8A-B99E36E84AEE}"/>
    <cellStyle name="Currency 5 2 2 2 10 3" xfId="12132" xr:uid="{15B84A31-F77F-4D9D-975F-0DDA5819A947}"/>
    <cellStyle name="Currency 5 2 2 2 11" xfId="4640" xr:uid="{00000000-0005-0000-0000-00006C0B0000}"/>
    <cellStyle name="Currency 5 2 2 2 11 2" xfId="13966" xr:uid="{1D6BE143-160E-40D2-B4B9-0D434927D53B}"/>
    <cellStyle name="Currency 5 2 2 2 12" xfId="8809" xr:uid="{6E2B58BA-BC61-49BF-A0FE-5BC79A050654}"/>
    <cellStyle name="Currency 5 2 2 2 12 2" xfId="18133" xr:uid="{2C665FD7-6920-4F61-B53D-7CF6976AEC1E}"/>
    <cellStyle name="Currency 5 2 2 2 13" xfId="9749" xr:uid="{44914388-1C82-4693-9A2C-510BDEF57B83}"/>
    <cellStyle name="Currency 5 2 2 2 2" xfId="197" xr:uid="{00000000-0005-0000-0000-00006D0B0000}"/>
    <cellStyle name="Currency 5 2 2 2 2 10" xfId="4641" xr:uid="{00000000-0005-0000-0000-00006E0B0000}"/>
    <cellStyle name="Currency 5 2 2 2 2 10 2" xfId="13967" xr:uid="{8EEF18B7-26AD-48B0-A4BB-CE8A275877FC}"/>
    <cellStyle name="Currency 5 2 2 2 2 11" xfId="8912" xr:uid="{4079D27E-F98B-4445-AE20-FFD848158756}"/>
    <cellStyle name="Currency 5 2 2 2 2 11 2" xfId="18236" xr:uid="{EC5D15A7-DA77-49A9-9ED0-786F9AA1FAAB}"/>
    <cellStyle name="Currency 5 2 2 2 2 12" xfId="9750" xr:uid="{BEE5283F-D36A-48F3-A6F1-E09196B4C385}"/>
    <cellStyle name="Currency 5 2 2 2 2 2" xfId="198" xr:uid="{00000000-0005-0000-0000-00006F0B0000}"/>
    <cellStyle name="Currency 5 2 2 2 2 2 10" xfId="9119" xr:uid="{2B97CFE9-E9FD-476D-A341-C695293642F3}"/>
    <cellStyle name="Currency 5 2 2 2 2 2 10 2" xfId="18443" xr:uid="{633587C2-B3D1-4120-9F1F-5F1ADB8C4ED3}"/>
    <cellStyle name="Currency 5 2 2 2 2 2 11" xfId="9751" xr:uid="{6D4D917D-ACDF-41FD-8584-D763266F9C8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B4C5567A-276E-4E09-BB89-53A6D2AE346F}"/>
    <cellStyle name="Currency 5 2 2 2 2 2 2 2 3" xfId="12310" xr:uid="{C20F6AA2-48B4-4C88-9F38-FF24DA9B4264}"/>
    <cellStyle name="Currency 5 2 2 2 2 2 2 3" xfId="5056" xr:uid="{00000000-0005-0000-0000-0000730B0000}"/>
    <cellStyle name="Currency 5 2 2 2 2 2 2 3 2" xfId="14382" xr:uid="{FD9938C2-6D0B-4367-BBCE-B14AC21CF569}"/>
    <cellStyle name="Currency 5 2 2 2 2 2 2 4" xfId="9544" xr:uid="{77881B28-843C-4677-B92C-D2A5804BDB97}"/>
    <cellStyle name="Currency 5 2 2 2 2 2 2 4 2" xfId="18859" xr:uid="{78A8FF7A-70F2-4672-A100-0C07FBAFE019}"/>
    <cellStyle name="Currency 5 2 2 2 2 2 2 5" xfId="10165" xr:uid="{D4CE4B36-6173-4596-9622-6B81CF954BE8}"/>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2162B111-0460-48FD-8524-A9CA454874D3}"/>
    <cellStyle name="Currency 5 2 2 2 2 2 3 2 3" xfId="12723" xr:uid="{39F0EF9D-0F0D-4EE5-A7EF-8333F440A1D0}"/>
    <cellStyle name="Currency 5 2 2 2 2 2 3 3" xfId="5469" xr:uid="{00000000-0005-0000-0000-0000770B0000}"/>
    <cellStyle name="Currency 5 2 2 2 2 2 3 3 2" xfId="14795" xr:uid="{96708715-E3B9-452B-BC79-3C2F0D3A06E0}"/>
    <cellStyle name="Currency 5 2 2 2 2 2 3 4" xfId="10578" xr:uid="{53342FFC-9FFD-4B93-8195-349C7FE2764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77CF8B3A-092D-48B5-98F4-08186C7CC718}"/>
    <cellStyle name="Currency 5 2 2 2 2 2 4 2 3" xfId="13136" xr:uid="{C46FE01A-23B6-4CDE-8122-BF15CE5B1058}"/>
    <cellStyle name="Currency 5 2 2 2 2 2 4 3" xfId="5882" xr:uid="{00000000-0005-0000-0000-00007B0B0000}"/>
    <cellStyle name="Currency 5 2 2 2 2 2 4 3 2" xfId="15208" xr:uid="{D459F6CB-4FCE-4AEB-A53A-7A301B47DCA7}"/>
    <cellStyle name="Currency 5 2 2 2 2 2 4 4" xfId="10991" xr:uid="{B269B018-0DD1-4F4E-8C86-1DD7354FD21A}"/>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E32B4C26-512F-42AF-B547-5CCF37A55A77}"/>
    <cellStyle name="Currency 5 2 2 2 2 2 5 2 3" xfId="13549" xr:uid="{9F12816E-7D0D-459E-9B14-436C1DA342C7}"/>
    <cellStyle name="Currency 5 2 2 2 2 2 5 3" xfId="6295" xr:uid="{00000000-0005-0000-0000-00007F0B0000}"/>
    <cellStyle name="Currency 5 2 2 2 2 2 5 3 2" xfId="15621" xr:uid="{6F77731B-8F8A-4E3F-907D-C65F4357D5EF}"/>
    <cellStyle name="Currency 5 2 2 2 2 2 5 4" xfId="11404" xr:uid="{79243BA0-49CB-4D30-B850-2E44AAEB75E1}"/>
    <cellStyle name="Currency 5 2 2 2 2 2 6" xfId="2424" xr:uid="{00000000-0005-0000-0000-0000800B0000}"/>
    <cellStyle name="Currency 5 2 2 2 2 2 6 2" xfId="6708" xr:uid="{00000000-0005-0000-0000-0000810B0000}"/>
    <cellStyle name="Currency 5 2 2 2 2 2 6 2 2" xfId="16034" xr:uid="{DFF266D0-A18B-4A22-B023-C9B5B48A4C81}"/>
    <cellStyle name="Currency 5 2 2 2 2 2 6 3" xfId="11817" xr:uid="{C45F2C20-3F67-4693-9591-C76B35FE5AF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66379AA0-F1BA-4F76-9768-EA4744558BF3}"/>
    <cellStyle name="Currency 5 2 2 2 2 2 8 3" xfId="12134" xr:uid="{581F4D6B-BC6D-4C59-88DB-CACA2FB79332}"/>
    <cellStyle name="Currency 5 2 2 2 2 2 9" xfId="4642" xr:uid="{00000000-0005-0000-0000-0000850B0000}"/>
    <cellStyle name="Currency 5 2 2 2 2 2 9 2" xfId="13968" xr:uid="{68D4A875-2F42-424E-BD92-CCE0949A99D7}"/>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5CF257A2-092F-47D2-B088-ED7D1312ABAC}"/>
    <cellStyle name="Currency 5 2 2 2 2 3 2 3" xfId="12309" xr:uid="{38E2CD64-A16C-47BD-98CA-B42844E16B7B}"/>
    <cellStyle name="Currency 5 2 2 2 2 3 3" xfId="5055" xr:uid="{00000000-0005-0000-0000-0000890B0000}"/>
    <cellStyle name="Currency 5 2 2 2 2 3 3 2" xfId="14381" xr:uid="{B0EC32FC-DAD0-4EB2-985E-0CF66C582910}"/>
    <cellStyle name="Currency 5 2 2 2 2 3 4" xfId="9337" xr:uid="{A1FF44B9-A8E0-4A4E-9BE9-DA7FD7E326AE}"/>
    <cellStyle name="Currency 5 2 2 2 2 3 4 2" xfId="18652" xr:uid="{B804F9A4-F2BD-4D61-91E9-AFF70E5B3BA8}"/>
    <cellStyle name="Currency 5 2 2 2 2 3 5" xfId="10164" xr:uid="{AA32EAD3-9A1D-4A2D-A7CB-D0BE6E7BB6C5}"/>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2690C481-D353-418E-9155-F842FF7F2F89}"/>
    <cellStyle name="Currency 5 2 2 2 2 4 2 3" xfId="12722" xr:uid="{1125CF0B-73BB-43FD-9AA8-4CC213608F63}"/>
    <cellStyle name="Currency 5 2 2 2 2 4 3" xfId="5468" xr:uid="{00000000-0005-0000-0000-00008D0B0000}"/>
    <cellStyle name="Currency 5 2 2 2 2 4 3 2" xfId="14794" xr:uid="{A2F8F68D-E90B-42DE-A434-F748F5F28360}"/>
    <cellStyle name="Currency 5 2 2 2 2 4 4" xfId="10577" xr:uid="{1E454788-ADBC-457C-A128-1D3FAE9A3D81}"/>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DE80E51A-096D-4811-8141-BA20764A978E}"/>
    <cellStyle name="Currency 5 2 2 2 2 5 2 3" xfId="13135" xr:uid="{2AB35402-5D5F-4018-BCAE-41B3BE580953}"/>
    <cellStyle name="Currency 5 2 2 2 2 5 3" xfId="5881" xr:uid="{00000000-0005-0000-0000-0000910B0000}"/>
    <cellStyle name="Currency 5 2 2 2 2 5 3 2" xfId="15207" xr:uid="{64EC0C9D-F1D3-49E7-9890-C05E470C97F1}"/>
    <cellStyle name="Currency 5 2 2 2 2 5 4" xfId="10990" xr:uid="{4FAC2878-7089-4198-B776-31E48DC318F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83CDDFD2-A1EC-4382-9032-E334ACCF9302}"/>
    <cellStyle name="Currency 5 2 2 2 2 6 2 3" xfId="13548" xr:uid="{774ED8BB-74AE-4EF8-89B3-8E9971989F39}"/>
    <cellStyle name="Currency 5 2 2 2 2 6 3" xfId="6294" xr:uid="{00000000-0005-0000-0000-0000950B0000}"/>
    <cellStyle name="Currency 5 2 2 2 2 6 3 2" xfId="15620" xr:uid="{D23D511B-4560-4B8F-B3E6-61552AB6B887}"/>
    <cellStyle name="Currency 5 2 2 2 2 6 4" xfId="11403" xr:uid="{4F88A66C-BBBD-45D1-A9A8-63070AF2170E}"/>
    <cellStyle name="Currency 5 2 2 2 2 7" xfId="2423" xr:uid="{00000000-0005-0000-0000-0000960B0000}"/>
    <cellStyle name="Currency 5 2 2 2 2 7 2" xfId="6707" xr:uid="{00000000-0005-0000-0000-0000970B0000}"/>
    <cellStyle name="Currency 5 2 2 2 2 7 2 2" xfId="16033" xr:uid="{FC26A079-D30B-4CF2-BB9B-58CBA6657B0B}"/>
    <cellStyle name="Currency 5 2 2 2 2 7 3" xfId="11816" xr:uid="{A6B2EF0C-7565-40AA-9DD4-97936BEDA725}"/>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C7AAF46C-B43B-4191-8CA8-D5327052E2D7}"/>
    <cellStyle name="Currency 5 2 2 2 2 9 3" xfId="12133" xr:uid="{1FE9A70F-3550-48D9-BA48-3F65D7AE7553}"/>
    <cellStyle name="Currency 5 2 2 2 3" xfId="199" xr:uid="{00000000-0005-0000-0000-00009B0B0000}"/>
    <cellStyle name="Currency 5 2 2 2 3 10" xfId="9016" xr:uid="{706F9706-E49D-4995-B402-A842C879DBC8}"/>
    <cellStyle name="Currency 5 2 2 2 3 10 2" xfId="18340" xr:uid="{8B5DDA74-7A7F-4E09-A522-68B5F92A0F1D}"/>
    <cellStyle name="Currency 5 2 2 2 3 11" xfId="9752" xr:uid="{50217F27-0E6F-4FE5-B01E-60A79772ED1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966B3DE5-D053-48B9-8FED-C9A42D4CCE44}"/>
    <cellStyle name="Currency 5 2 2 2 3 2 2 3" xfId="12311" xr:uid="{2C3B901A-79C7-4BC2-BFC7-43CA53B7142E}"/>
    <cellStyle name="Currency 5 2 2 2 3 2 3" xfId="5057" xr:uid="{00000000-0005-0000-0000-00009F0B0000}"/>
    <cellStyle name="Currency 5 2 2 2 3 2 3 2" xfId="14383" xr:uid="{A6D84CA2-EE5E-4D3C-BCCE-9FBC25E34122}"/>
    <cellStyle name="Currency 5 2 2 2 3 2 4" xfId="9441" xr:uid="{B7048274-E02F-4E6A-9C9A-FAD4299F19B1}"/>
    <cellStyle name="Currency 5 2 2 2 3 2 4 2" xfId="18756" xr:uid="{E948F8AE-D117-44A4-BE9F-0B3DAB7C8321}"/>
    <cellStyle name="Currency 5 2 2 2 3 2 5" xfId="10166" xr:uid="{D6E9F0A6-DA73-4522-8639-6621EBB36B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00B44AFD-1E2B-4AE9-8760-AD88C855FFCD}"/>
    <cellStyle name="Currency 5 2 2 2 3 3 2 3" xfId="12724" xr:uid="{78BD0D48-58F9-47FF-86FD-825A9DFBCA55}"/>
    <cellStyle name="Currency 5 2 2 2 3 3 3" xfId="5470" xr:uid="{00000000-0005-0000-0000-0000A30B0000}"/>
    <cellStyle name="Currency 5 2 2 2 3 3 3 2" xfId="14796" xr:uid="{CED65102-53B3-4330-B84B-CCD5FA2DA975}"/>
    <cellStyle name="Currency 5 2 2 2 3 3 4" xfId="10579" xr:uid="{44C65524-99FD-4A14-A47C-0D9ABB2329F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6D65759A-42CD-4F68-B13B-E289CADC85E5}"/>
    <cellStyle name="Currency 5 2 2 2 3 4 2 3" xfId="13137" xr:uid="{9D2A8EAB-0B65-4E7A-A128-92BF501EB4AA}"/>
    <cellStyle name="Currency 5 2 2 2 3 4 3" xfId="5883" xr:uid="{00000000-0005-0000-0000-0000A70B0000}"/>
    <cellStyle name="Currency 5 2 2 2 3 4 3 2" xfId="15209" xr:uid="{44573EF8-635D-4D1D-B98A-2CBB9CB314AE}"/>
    <cellStyle name="Currency 5 2 2 2 3 4 4" xfId="10992" xr:uid="{14C395AB-36ED-43B0-8158-DDAAD08A61DB}"/>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5185A4F1-7588-465C-9EB9-E304F50FD683}"/>
    <cellStyle name="Currency 5 2 2 2 3 5 2 3" xfId="13550" xr:uid="{DDE53174-757D-4899-9C11-5ACC124FD1DF}"/>
    <cellStyle name="Currency 5 2 2 2 3 5 3" xfId="6296" xr:uid="{00000000-0005-0000-0000-0000AB0B0000}"/>
    <cellStyle name="Currency 5 2 2 2 3 5 3 2" xfId="15622" xr:uid="{EEFFE5CB-0FA8-4A9F-B2C1-4109BEE89B45}"/>
    <cellStyle name="Currency 5 2 2 2 3 5 4" xfId="11405" xr:uid="{B26A212C-4877-4F74-ADEF-E4942D9D012E}"/>
    <cellStyle name="Currency 5 2 2 2 3 6" xfId="2425" xr:uid="{00000000-0005-0000-0000-0000AC0B0000}"/>
    <cellStyle name="Currency 5 2 2 2 3 6 2" xfId="6709" xr:uid="{00000000-0005-0000-0000-0000AD0B0000}"/>
    <cellStyle name="Currency 5 2 2 2 3 6 2 2" xfId="16035" xr:uid="{3DCB4185-AD97-478E-B271-B0813B81DC72}"/>
    <cellStyle name="Currency 5 2 2 2 3 6 3" xfId="11818" xr:uid="{1E64F506-C391-4D7F-89F0-5A6A86D1E842}"/>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18C9C979-EA32-4A99-8DF3-2BAD61EF5819}"/>
    <cellStyle name="Currency 5 2 2 2 3 8 3" xfId="12135" xr:uid="{10B3E2DA-44C7-42C6-9D0D-35DEC43597AF}"/>
    <cellStyle name="Currency 5 2 2 2 3 9" xfId="4643" xr:uid="{00000000-0005-0000-0000-0000B10B0000}"/>
    <cellStyle name="Currency 5 2 2 2 3 9 2" xfId="13969" xr:uid="{9D64FAB9-6EE1-4952-8FCF-867C787708F2}"/>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69373B9E-FD60-4370-987D-5677818C5337}"/>
    <cellStyle name="Currency 5 2 2 2 4 2 3" xfId="12308" xr:uid="{F3C2EFAC-71A6-487D-8302-E64C2789AC94}"/>
    <cellStyle name="Currency 5 2 2 2 4 3" xfId="5054" xr:uid="{00000000-0005-0000-0000-0000B50B0000}"/>
    <cellStyle name="Currency 5 2 2 2 4 3 2" xfId="14380" xr:uid="{4CA2420E-F084-466E-810B-10BD02B53D6E}"/>
    <cellStyle name="Currency 5 2 2 2 4 4" xfId="9234" xr:uid="{AAF147FE-13D8-48BD-A722-062B96166D61}"/>
    <cellStyle name="Currency 5 2 2 2 4 4 2" xfId="18549" xr:uid="{B6A533CB-A1CF-4EE9-B332-B25549F3D07E}"/>
    <cellStyle name="Currency 5 2 2 2 4 5" xfId="10163" xr:uid="{66264B03-5E89-4FDF-BE42-13B9A64CED2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87B272A1-CD74-4956-B7F6-009899FFAF00}"/>
    <cellStyle name="Currency 5 2 2 2 5 2 3" xfId="12721" xr:uid="{8862005A-1DFA-4F58-8ED4-8E7CDA2DA94D}"/>
    <cellStyle name="Currency 5 2 2 2 5 3" xfId="5467" xr:uid="{00000000-0005-0000-0000-0000B90B0000}"/>
    <cellStyle name="Currency 5 2 2 2 5 3 2" xfId="14793" xr:uid="{106B9FD8-6EE2-4411-AA36-45AA667B00BD}"/>
    <cellStyle name="Currency 5 2 2 2 5 4" xfId="10576" xr:uid="{394CA9C6-7ED9-455F-AE24-8E898B5C3845}"/>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20162FC2-C4E5-436C-9195-767F8F597528}"/>
    <cellStyle name="Currency 5 2 2 2 6 2 3" xfId="13134" xr:uid="{EAB3EEDD-74E6-41E3-B014-F58F9C0E0B6F}"/>
    <cellStyle name="Currency 5 2 2 2 6 3" xfId="5880" xr:uid="{00000000-0005-0000-0000-0000BD0B0000}"/>
    <cellStyle name="Currency 5 2 2 2 6 3 2" xfId="15206" xr:uid="{F227D84F-206D-4CD2-B0F5-744E7115BD1E}"/>
    <cellStyle name="Currency 5 2 2 2 6 4" xfId="10989" xr:uid="{3F654731-8365-441D-97DD-A36118387BF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D1EB1743-DAE5-4CBC-9A09-6B6DC0DBFBD9}"/>
    <cellStyle name="Currency 5 2 2 2 7 2 3" xfId="13547" xr:uid="{1A9516C6-77D2-4D07-AD09-EEFFCD919FF3}"/>
    <cellStyle name="Currency 5 2 2 2 7 3" xfId="6293" xr:uid="{00000000-0005-0000-0000-0000C10B0000}"/>
    <cellStyle name="Currency 5 2 2 2 7 3 2" xfId="15619" xr:uid="{80722CBD-20C8-4DBE-9D9A-0A2F9F7A0F61}"/>
    <cellStyle name="Currency 5 2 2 2 7 4" xfId="11402" xr:uid="{5FBB51C5-286B-45E9-8E8D-09AA4673E0C9}"/>
    <cellStyle name="Currency 5 2 2 2 8" xfId="2422" xr:uid="{00000000-0005-0000-0000-0000C20B0000}"/>
    <cellStyle name="Currency 5 2 2 2 8 2" xfId="6706" xr:uid="{00000000-0005-0000-0000-0000C30B0000}"/>
    <cellStyle name="Currency 5 2 2 2 8 2 2" xfId="16032" xr:uid="{9E24A9C1-76CA-4349-9632-877B573BE3E7}"/>
    <cellStyle name="Currency 5 2 2 2 8 3" xfId="11815" xr:uid="{1222D398-3384-4A07-AC1F-A0F6FA499A85}"/>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5C10B9B6-6471-4476-B09F-3359FFEFF95B}"/>
    <cellStyle name="Currency 5 2 2 3 11" xfId="8890" xr:uid="{F313D4EC-7666-4BAA-9452-39176957C213}"/>
    <cellStyle name="Currency 5 2 2 3 11 2" xfId="18214" xr:uid="{C28DAF1C-87A6-4660-A31A-7216534A2D58}"/>
    <cellStyle name="Currency 5 2 2 3 12" xfId="9753" xr:uid="{2157BC65-996F-47B5-A8D3-33B63FEBE12F}"/>
    <cellStyle name="Currency 5 2 2 3 2" xfId="201" xr:uid="{00000000-0005-0000-0000-0000C70B0000}"/>
    <cellStyle name="Currency 5 2 2 3 2 10" xfId="9097" xr:uid="{74199D2F-F17A-42DD-AC8B-D958FBFFCA8B}"/>
    <cellStyle name="Currency 5 2 2 3 2 10 2" xfId="18421" xr:uid="{8150B317-349C-43D5-A954-5513EAB2430E}"/>
    <cellStyle name="Currency 5 2 2 3 2 11" xfId="9754" xr:uid="{FC3E16D5-8140-4EB5-B8EC-B9AE6E7CBC8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53D6578A-9719-46F4-821B-D0F7BE7EDB7B}"/>
    <cellStyle name="Currency 5 2 2 3 2 2 2 3" xfId="12313" xr:uid="{120B66F5-0D93-4163-B4F3-144638E2A3F6}"/>
    <cellStyle name="Currency 5 2 2 3 2 2 3" xfId="5059" xr:uid="{00000000-0005-0000-0000-0000CB0B0000}"/>
    <cellStyle name="Currency 5 2 2 3 2 2 3 2" xfId="14385" xr:uid="{D7EB6D76-9E1D-4D08-8E0A-F8835A264E68}"/>
    <cellStyle name="Currency 5 2 2 3 2 2 4" xfId="9522" xr:uid="{58EAFCD4-DA5B-47CB-A637-29DA003AA3FD}"/>
    <cellStyle name="Currency 5 2 2 3 2 2 4 2" xfId="18837" xr:uid="{BAD0FB7A-4BAB-4482-931B-239C6E6F637C}"/>
    <cellStyle name="Currency 5 2 2 3 2 2 5" xfId="10168" xr:uid="{968E2D7C-19E0-4F42-967F-C5B9CDE5B10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BA286934-DEBC-4CE0-8741-DE533E1199F0}"/>
    <cellStyle name="Currency 5 2 2 3 2 3 2 3" xfId="12726" xr:uid="{5876B1A7-BD5E-4663-8E60-DE440CA4FA4F}"/>
    <cellStyle name="Currency 5 2 2 3 2 3 3" xfId="5472" xr:uid="{00000000-0005-0000-0000-0000CF0B0000}"/>
    <cellStyle name="Currency 5 2 2 3 2 3 3 2" xfId="14798" xr:uid="{15D5AEB3-7BCD-42F0-99CF-E72BCBD6E887}"/>
    <cellStyle name="Currency 5 2 2 3 2 3 4" xfId="10581" xr:uid="{523468DC-9CB7-4BC9-9C8E-4FF5C9E52D1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E967226D-4DD5-4D3E-A7B4-528601ED1B42}"/>
    <cellStyle name="Currency 5 2 2 3 2 4 2 3" xfId="13139" xr:uid="{00156AF6-51F1-4D93-B709-C2AD97E1654F}"/>
    <cellStyle name="Currency 5 2 2 3 2 4 3" xfId="5885" xr:uid="{00000000-0005-0000-0000-0000D30B0000}"/>
    <cellStyle name="Currency 5 2 2 3 2 4 3 2" xfId="15211" xr:uid="{C7774FDE-B8C1-493A-8172-087223555C92}"/>
    <cellStyle name="Currency 5 2 2 3 2 4 4" xfId="10994" xr:uid="{15A7AE3F-8B2A-437C-88F4-C859DFE1D3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88012F90-3A7A-4306-9AD2-5EE5E386F77F}"/>
    <cellStyle name="Currency 5 2 2 3 2 5 2 3" xfId="13552" xr:uid="{0E6CC1AB-80C7-4BD3-81FD-FCC21530AE36}"/>
    <cellStyle name="Currency 5 2 2 3 2 5 3" xfId="6298" xr:uid="{00000000-0005-0000-0000-0000D70B0000}"/>
    <cellStyle name="Currency 5 2 2 3 2 5 3 2" xfId="15624" xr:uid="{03B43646-E265-492C-AC02-3BF1A0BC7E99}"/>
    <cellStyle name="Currency 5 2 2 3 2 5 4" xfId="11407" xr:uid="{D5BCBA33-189D-49DE-8A18-24DDA8E2E178}"/>
    <cellStyle name="Currency 5 2 2 3 2 6" xfId="2427" xr:uid="{00000000-0005-0000-0000-0000D80B0000}"/>
    <cellStyle name="Currency 5 2 2 3 2 6 2" xfId="6711" xr:uid="{00000000-0005-0000-0000-0000D90B0000}"/>
    <cellStyle name="Currency 5 2 2 3 2 6 2 2" xfId="16037" xr:uid="{60BFDA97-729F-48F7-B71E-B5464767EA6B}"/>
    <cellStyle name="Currency 5 2 2 3 2 6 3" xfId="11820" xr:uid="{42247B09-C63C-45BA-9F6C-C718CA120A5E}"/>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8305CA61-19AE-4703-B996-7184A454774E}"/>
    <cellStyle name="Currency 5 2 2 3 2 8 3" xfId="12137" xr:uid="{3C629213-65A0-43E9-8C54-1073BFFA3D16}"/>
    <cellStyle name="Currency 5 2 2 3 2 9" xfId="4645" xr:uid="{00000000-0005-0000-0000-0000DD0B0000}"/>
    <cellStyle name="Currency 5 2 2 3 2 9 2" xfId="13971" xr:uid="{49696E98-33D1-48CE-A15F-CB537B5E162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4400A891-760A-44B7-93F5-D9ED1B72437F}"/>
    <cellStyle name="Currency 5 2 2 3 3 2 3" xfId="12312" xr:uid="{C6F32CAD-7333-4A40-B2A1-2588CDDCE3B1}"/>
    <cellStyle name="Currency 5 2 2 3 3 3" xfId="5058" xr:uid="{00000000-0005-0000-0000-0000E10B0000}"/>
    <cellStyle name="Currency 5 2 2 3 3 3 2" xfId="14384" xr:uid="{4FBCDE71-DD98-4019-9DCA-1AC4678D7A00}"/>
    <cellStyle name="Currency 5 2 2 3 3 4" xfId="9315" xr:uid="{A76EC348-1CDB-41C1-B9B8-9215FF30C619}"/>
    <cellStyle name="Currency 5 2 2 3 3 4 2" xfId="18630" xr:uid="{CF07D0AA-45C9-4836-A9E8-6D825FEEB68B}"/>
    <cellStyle name="Currency 5 2 2 3 3 5" xfId="10167" xr:uid="{6C463F3E-0670-4C87-B893-1B0F7675CBE4}"/>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58B38BDB-CF43-430E-BE21-2E32A425B816}"/>
    <cellStyle name="Currency 5 2 2 3 4 2 3" xfId="12725" xr:uid="{AECD5875-2FEC-4F8C-9388-0C31BE373B82}"/>
    <cellStyle name="Currency 5 2 2 3 4 3" xfId="5471" xr:uid="{00000000-0005-0000-0000-0000E50B0000}"/>
    <cellStyle name="Currency 5 2 2 3 4 3 2" xfId="14797" xr:uid="{2D62D6B2-2F93-45EF-B3FC-174C6D87A8B9}"/>
    <cellStyle name="Currency 5 2 2 3 4 4" xfId="10580" xr:uid="{430C6D11-60DE-4E35-AB7C-8139D1029EA4}"/>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7EC4B010-7054-4A6D-8B91-F1F3CDBE58C0}"/>
    <cellStyle name="Currency 5 2 2 3 5 2 3" xfId="13138" xr:uid="{E396D9C4-C2A0-4B13-BF13-AFF70A467045}"/>
    <cellStyle name="Currency 5 2 2 3 5 3" xfId="5884" xr:uid="{00000000-0005-0000-0000-0000E90B0000}"/>
    <cellStyle name="Currency 5 2 2 3 5 3 2" xfId="15210" xr:uid="{2F830E1F-DE4E-495C-B1CD-1689B8448270}"/>
    <cellStyle name="Currency 5 2 2 3 5 4" xfId="10993" xr:uid="{D45D7EE5-7810-46E1-A087-B1695E2FDB8B}"/>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B5CF5F8B-C7A4-479E-883F-CA9D15D27A37}"/>
    <cellStyle name="Currency 5 2 2 3 6 2 3" xfId="13551" xr:uid="{75723DE8-ABBF-42C8-A3D8-26DB6419DE16}"/>
    <cellStyle name="Currency 5 2 2 3 6 3" xfId="6297" xr:uid="{00000000-0005-0000-0000-0000ED0B0000}"/>
    <cellStyle name="Currency 5 2 2 3 6 3 2" xfId="15623" xr:uid="{5DF00108-0A67-45D3-AB96-498EA0C6AAC4}"/>
    <cellStyle name="Currency 5 2 2 3 6 4" xfId="11406" xr:uid="{CB31F55E-77C8-4755-8848-B167A17E3800}"/>
    <cellStyle name="Currency 5 2 2 3 7" xfId="2426" xr:uid="{00000000-0005-0000-0000-0000EE0B0000}"/>
    <cellStyle name="Currency 5 2 2 3 7 2" xfId="6710" xr:uid="{00000000-0005-0000-0000-0000EF0B0000}"/>
    <cellStyle name="Currency 5 2 2 3 7 2 2" xfId="16036" xr:uid="{028626AD-7664-4350-8B49-DBB337F0228B}"/>
    <cellStyle name="Currency 5 2 2 3 7 3" xfId="11819" xr:uid="{BF4F0F65-7851-4039-B566-CCB9B0094AD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CE1CD96F-BE13-49B7-A51E-4319473292D5}"/>
    <cellStyle name="Currency 5 2 2 3 9 3" xfId="12136" xr:uid="{3CA0A4B7-8EFC-4E17-8429-66E2876FC529}"/>
    <cellStyle name="Currency 5 2 2 4" xfId="202" xr:uid="{00000000-0005-0000-0000-0000F30B0000}"/>
    <cellStyle name="Currency 5 2 2 4 10" xfId="8994" xr:uid="{484CCE7A-1288-4C7F-ABD6-C45948DC4EC0}"/>
    <cellStyle name="Currency 5 2 2 4 10 2" xfId="18318" xr:uid="{BDC886D2-F397-40C7-A1F1-8D7E8D2C7C0E}"/>
    <cellStyle name="Currency 5 2 2 4 11" xfId="9755" xr:uid="{7ADBB9A3-DA1B-428E-9E6C-167B485E2A3A}"/>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26030F93-FAFF-4D2C-A7EC-82A76D6C5FBF}"/>
    <cellStyle name="Currency 5 2 2 4 2 2 3" xfId="12314" xr:uid="{95763C83-4AF3-41FB-B83F-77F66F47C879}"/>
    <cellStyle name="Currency 5 2 2 4 2 3" xfId="5060" xr:uid="{00000000-0005-0000-0000-0000F70B0000}"/>
    <cellStyle name="Currency 5 2 2 4 2 3 2" xfId="14386" xr:uid="{B9D674DA-001E-4E77-BD50-794C13FD5161}"/>
    <cellStyle name="Currency 5 2 2 4 2 4" xfId="9419" xr:uid="{F03E4D2E-3BA9-4D5B-9C35-959DB128CBAE}"/>
    <cellStyle name="Currency 5 2 2 4 2 4 2" xfId="18734" xr:uid="{729A5FBF-2F89-41A7-A9E1-D8D9E87A4838}"/>
    <cellStyle name="Currency 5 2 2 4 2 5" xfId="10169" xr:uid="{C2D72BC8-7FBF-45A3-BF04-3F7C11DF4F7C}"/>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505212DE-5C90-4362-AEA0-EDB9E148703D}"/>
    <cellStyle name="Currency 5 2 2 4 3 2 3" xfId="12727" xr:uid="{72219196-D722-4008-83CE-2BAC80874673}"/>
    <cellStyle name="Currency 5 2 2 4 3 3" xfId="5473" xr:uid="{00000000-0005-0000-0000-0000FB0B0000}"/>
    <cellStyle name="Currency 5 2 2 4 3 3 2" xfId="14799" xr:uid="{AD503F44-3834-442C-9537-2C257E1610BE}"/>
    <cellStyle name="Currency 5 2 2 4 3 4" xfId="10582" xr:uid="{2A309380-A45A-412D-856E-D4913AA332EA}"/>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F1419677-1E0F-43A1-803D-92FB7EEB2965}"/>
    <cellStyle name="Currency 5 2 2 4 4 2 3" xfId="13140" xr:uid="{01EEB35A-5DE3-42D1-9DD9-5D44D508AA3D}"/>
    <cellStyle name="Currency 5 2 2 4 4 3" xfId="5886" xr:uid="{00000000-0005-0000-0000-0000FF0B0000}"/>
    <cellStyle name="Currency 5 2 2 4 4 3 2" xfId="15212" xr:uid="{6BE6C4B0-0EA4-4D79-86AB-B9200266CC9E}"/>
    <cellStyle name="Currency 5 2 2 4 4 4" xfId="10995" xr:uid="{0664B640-9956-4B56-B123-7BBDA0DF9EA9}"/>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7C5A261E-4360-4F4F-A471-6D5F7B60AD27}"/>
    <cellStyle name="Currency 5 2 2 4 5 2 3" xfId="13553" xr:uid="{C1601D18-BC88-4B14-AF6D-6FEFA4782B06}"/>
    <cellStyle name="Currency 5 2 2 4 5 3" xfId="6299" xr:uid="{00000000-0005-0000-0000-0000030C0000}"/>
    <cellStyle name="Currency 5 2 2 4 5 3 2" xfId="15625" xr:uid="{C64D9558-6AE9-4D60-8760-DAB549E1C00F}"/>
    <cellStyle name="Currency 5 2 2 4 5 4" xfId="11408" xr:uid="{0503638A-8985-4EC7-BFC3-1E6CA480A43A}"/>
    <cellStyle name="Currency 5 2 2 4 6" xfId="2428" xr:uid="{00000000-0005-0000-0000-0000040C0000}"/>
    <cellStyle name="Currency 5 2 2 4 6 2" xfId="6712" xr:uid="{00000000-0005-0000-0000-0000050C0000}"/>
    <cellStyle name="Currency 5 2 2 4 6 2 2" xfId="16038" xr:uid="{20B16A1D-088C-4E22-A670-C9FD774FF53A}"/>
    <cellStyle name="Currency 5 2 2 4 6 3" xfId="11821" xr:uid="{DD5F032C-D7CC-4887-84E6-AEBCEB0D2FA2}"/>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75EFE0A3-5EDA-4655-AA5E-444278DB9F98}"/>
    <cellStyle name="Currency 5 2 2 4 8 3" xfId="12138" xr:uid="{EE7F057B-AB68-4158-A56F-726403BB4128}"/>
    <cellStyle name="Currency 5 2 2 4 9" xfId="4646" xr:uid="{00000000-0005-0000-0000-0000090C0000}"/>
    <cellStyle name="Currency 5 2 2 4 9 2" xfId="13972" xr:uid="{2D827803-E3A6-44D1-85D6-EC61E8F169AB}"/>
    <cellStyle name="Currency 5 2 2 5" xfId="203" xr:uid="{00000000-0005-0000-0000-00000A0C0000}"/>
    <cellStyle name="Currency 5 2 2 5 10" xfId="9211" xr:uid="{586E1D8D-A72F-44A2-BAB5-A0BAD4827F6D}"/>
    <cellStyle name="Currency 5 2 2 5 10 2" xfId="18527" xr:uid="{6C77F219-B904-4C8F-B82A-54C274B01D22}"/>
    <cellStyle name="Currency 5 2 2 5 11" xfId="9756" xr:uid="{67AED761-CB6E-4315-8205-D13BF424D71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DB566603-5135-4F3B-B83F-877EA8D74C6A}"/>
    <cellStyle name="Currency 5 2 2 5 2 2 3" xfId="12315" xr:uid="{4549121C-2E13-4DDA-9700-5C5A28BCFB98}"/>
    <cellStyle name="Currency 5 2 2 5 2 3" xfId="5061" xr:uid="{00000000-0005-0000-0000-00000E0C0000}"/>
    <cellStyle name="Currency 5 2 2 5 2 3 2" xfId="14387" xr:uid="{C46CD1D7-F3EE-4F5E-BAE5-5D4350361654}"/>
    <cellStyle name="Currency 5 2 2 5 2 4" xfId="9598" xr:uid="{EBD3270B-608E-49E1-8A20-C5ADF81FBC1B}"/>
    <cellStyle name="Currency 5 2 2 5 2 4 2" xfId="18902" xr:uid="{4F3044CF-FDA6-4176-93E0-C855AE475976}"/>
    <cellStyle name="Currency 5 2 2 5 2 5" xfId="10170" xr:uid="{F3F5698B-22CB-455A-8742-416AAB04F151}"/>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D4FB8EDB-C18F-4747-AB5B-DD2FF585832E}"/>
    <cellStyle name="Currency 5 2 2 5 3 2 3" xfId="12728" xr:uid="{FC4D8FE6-DF22-48AB-A24C-F57B7719FFD8}"/>
    <cellStyle name="Currency 5 2 2 5 3 3" xfId="5474" xr:uid="{00000000-0005-0000-0000-0000120C0000}"/>
    <cellStyle name="Currency 5 2 2 5 3 3 2" xfId="14800" xr:uid="{BF386C58-5A6B-4F52-83C6-8BAD65D6D8F6}"/>
    <cellStyle name="Currency 5 2 2 5 3 4" xfId="10583" xr:uid="{FA9B3987-9D07-49A6-94BB-A80231CAF3D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5A0881F8-D8C6-482D-A58D-FC76049A5DA7}"/>
    <cellStyle name="Currency 5 2 2 5 4 2 3" xfId="13141" xr:uid="{4BA15607-432E-483C-95F3-0C40EC884B59}"/>
    <cellStyle name="Currency 5 2 2 5 4 3" xfId="5887" xr:uid="{00000000-0005-0000-0000-0000160C0000}"/>
    <cellStyle name="Currency 5 2 2 5 4 3 2" xfId="15213" xr:uid="{2EA4B1B3-50D1-4235-952A-4241D7F08BC5}"/>
    <cellStyle name="Currency 5 2 2 5 4 4" xfId="10996" xr:uid="{A9111925-AC1A-43E6-998B-A51E403743D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5E061FFB-22CA-4C26-A964-B479692100BD}"/>
    <cellStyle name="Currency 5 2 2 5 5 2 3" xfId="13554" xr:uid="{A71A3A88-0CF2-4FEE-AFFA-414E94A572E9}"/>
    <cellStyle name="Currency 5 2 2 5 5 3" xfId="6300" xr:uid="{00000000-0005-0000-0000-00001A0C0000}"/>
    <cellStyle name="Currency 5 2 2 5 5 3 2" xfId="15626" xr:uid="{3D57995A-809F-4256-8930-DD8569F95A5E}"/>
    <cellStyle name="Currency 5 2 2 5 5 4" xfId="11409" xr:uid="{9BE548C1-B360-439F-9EC9-3D5B8BF36532}"/>
    <cellStyle name="Currency 5 2 2 5 6" xfId="2429" xr:uid="{00000000-0005-0000-0000-00001B0C0000}"/>
    <cellStyle name="Currency 5 2 2 5 6 2" xfId="6713" xr:uid="{00000000-0005-0000-0000-00001C0C0000}"/>
    <cellStyle name="Currency 5 2 2 5 6 2 2" xfId="16039" xr:uid="{3EFEC3BF-12EC-496B-9618-A073FD526B3D}"/>
    <cellStyle name="Currency 5 2 2 5 6 3" xfId="11822" xr:uid="{15E55D7C-3B76-4DDB-85FF-9E20A874DE59}"/>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146637EC-FD88-4DC7-B6EA-66A0350B2061}"/>
    <cellStyle name="Currency 5 2 2 5 8 3" xfId="12139" xr:uid="{132E6AEF-C6BD-4E30-9E37-0CD8382CDFD8}"/>
    <cellStyle name="Currency 5 2 2 5 9" xfId="4647" xr:uid="{00000000-0005-0000-0000-0000200C0000}"/>
    <cellStyle name="Currency 5 2 2 5 9 2" xfId="13973" xr:uid="{7EEFEF83-BF63-4CC8-A876-8D7EAE667B97}"/>
    <cellStyle name="Currency 5 2 2 6" xfId="9584" xr:uid="{DC5749FB-A314-4F8C-B61F-309C27A570F5}"/>
    <cellStyle name="Currency 5 2 2 7" xfId="8787" xr:uid="{822EE7D8-70A6-49D7-843D-E84C848DC397}"/>
    <cellStyle name="Currency 5 2 2 7 2" xfId="18111" xr:uid="{3FA02EC2-6323-4356-9DB8-E20E56CFC70E}"/>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17188AFA-06B7-4A14-8024-D73995C54A7F}"/>
    <cellStyle name="Currency 5 2 4 11" xfId="8859" xr:uid="{D3A5F8AD-5F4E-4BEA-A9B4-9A705A015524}"/>
    <cellStyle name="Currency 5 2 4 11 2" xfId="18183" xr:uid="{A3702E38-7BC5-4ADF-BF6C-60AFFB2B9D76}"/>
    <cellStyle name="Currency 5 2 4 12" xfId="9757" xr:uid="{F7380361-E7F7-4E37-8D17-173FC91BBA67}"/>
    <cellStyle name="Currency 5 2 4 2" xfId="206" xr:uid="{00000000-0005-0000-0000-0000250C0000}"/>
    <cellStyle name="Currency 5 2 4 2 10" xfId="9066" xr:uid="{2F7A28AF-2120-4AAF-A58B-33C2E07F597D}"/>
    <cellStyle name="Currency 5 2 4 2 10 2" xfId="18390" xr:uid="{330F28C7-A533-498F-B7F2-408F1832AB36}"/>
    <cellStyle name="Currency 5 2 4 2 11" xfId="9758" xr:uid="{4874A353-83D4-46EC-9C38-65AE39F5E67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5DF18386-7C7D-4267-AE1D-DACC89C5E864}"/>
    <cellStyle name="Currency 5 2 4 2 2 2 3" xfId="12317" xr:uid="{566098DB-7707-4248-B624-99C5B106F7A6}"/>
    <cellStyle name="Currency 5 2 4 2 2 3" xfId="5063" xr:uid="{00000000-0005-0000-0000-0000290C0000}"/>
    <cellStyle name="Currency 5 2 4 2 2 3 2" xfId="14389" xr:uid="{88FC0BD1-B19F-4A70-A5FB-6AB8C366E843}"/>
    <cellStyle name="Currency 5 2 4 2 2 4" xfId="9491" xr:uid="{64B868C7-9024-4970-9E74-7DF82417BD7A}"/>
    <cellStyle name="Currency 5 2 4 2 2 4 2" xfId="18806" xr:uid="{CF35E3CE-3A94-4056-950E-520B32341A10}"/>
    <cellStyle name="Currency 5 2 4 2 2 5" xfId="10172" xr:uid="{DC68CF69-8B26-49D9-97BC-238F792B7B89}"/>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E70B22FF-25F6-4DD0-8F6F-D7AAA73F0B3A}"/>
    <cellStyle name="Currency 5 2 4 2 3 2 3" xfId="12730" xr:uid="{64917D70-A3B4-4ADD-AA8F-D4731B808CDD}"/>
    <cellStyle name="Currency 5 2 4 2 3 3" xfId="5476" xr:uid="{00000000-0005-0000-0000-00002D0C0000}"/>
    <cellStyle name="Currency 5 2 4 2 3 3 2" xfId="14802" xr:uid="{BEFC40B2-E9D9-45AF-9AD9-46FE1F3AC91B}"/>
    <cellStyle name="Currency 5 2 4 2 3 4" xfId="10585" xr:uid="{2AF49411-A333-4656-AC26-6546C39DAA67}"/>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7EECEA0A-4F5D-4D0B-9BB2-FDEB915FE828}"/>
    <cellStyle name="Currency 5 2 4 2 4 2 3" xfId="13143" xr:uid="{68AD5643-008D-4E07-9B13-903CA4F54CBE}"/>
    <cellStyle name="Currency 5 2 4 2 4 3" xfId="5889" xr:uid="{00000000-0005-0000-0000-0000310C0000}"/>
    <cellStyle name="Currency 5 2 4 2 4 3 2" xfId="15215" xr:uid="{6FEAF7D7-4BE9-4B88-8D60-D0BB25EBD1B9}"/>
    <cellStyle name="Currency 5 2 4 2 4 4" xfId="10998" xr:uid="{22615780-3D48-4A34-9F93-9A41BC868CCE}"/>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FC355A34-22E0-4B6A-AB64-CEF324C9D7DD}"/>
    <cellStyle name="Currency 5 2 4 2 5 2 3" xfId="13556" xr:uid="{35C5E59F-0169-413D-8B6F-2A1FE20BA75A}"/>
    <cellStyle name="Currency 5 2 4 2 5 3" xfId="6302" xr:uid="{00000000-0005-0000-0000-0000350C0000}"/>
    <cellStyle name="Currency 5 2 4 2 5 3 2" xfId="15628" xr:uid="{342EE776-C7D1-456D-A647-D1767FD0B83D}"/>
    <cellStyle name="Currency 5 2 4 2 5 4" xfId="11411" xr:uid="{EAF5868E-2CA5-4BC7-8B80-BFBE05ADC1B8}"/>
    <cellStyle name="Currency 5 2 4 2 6" xfId="2431" xr:uid="{00000000-0005-0000-0000-0000360C0000}"/>
    <cellStyle name="Currency 5 2 4 2 6 2" xfId="6715" xr:uid="{00000000-0005-0000-0000-0000370C0000}"/>
    <cellStyle name="Currency 5 2 4 2 6 2 2" xfId="16041" xr:uid="{E3585424-E8F4-4F85-8BAE-574E1628B74E}"/>
    <cellStyle name="Currency 5 2 4 2 6 3" xfId="11824" xr:uid="{AAF68CDF-2E03-4BC9-9E32-147AA0B7D2D7}"/>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35E83AD3-0DF4-4D28-8DB0-5ED4D9DF26D6}"/>
    <cellStyle name="Currency 5 2 4 2 8 3" xfId="12141" xr:uid="{413DD1B6-FDD2-45F7-82C4-AF743B6925A9}"/>
    <cellStyle name="Currency 5 2 4 2 9" xfId="4649" xr:uid="{00000000-0005-0000-0000-00003B0C0000}"/>
    <cellStyle name="Currency 5 2 4 2 9 2" xfId="13975" xr:uid="{0297D69C-11F2-478D-84CC-4BF37F4DC10C}"/>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E626C563-5F58-4DD8-BA32-B06A808AC2B2}"/>
    <cellStyle name="Currency 5 2 4 3 2 3" xfId="12316" xr:uid="{D602641A-57B8-4503-8C92-C454187AEA65}"/>
    <cellStyle name="Currency 5 2 4 3 3" xfId="5062" xr:uid="{00000000-0005-0000-0000-00003F0C0000}"/>
    <cellStyle name="Currency 5 2 4 3 3 2" xfId="14388" xr:uid="{EF488BC1-FACE-403D-8E01-4339C166A731}"/>
    <cellStyle name="Currency 5 2 4 3 4" xfId="9284" xr:uid="{1D0B72AC-AFAC-428F-8BF0-6DFF9565613D}"/>
    <cellStyle name="Currency 5 2 4 3 4 2" xfId="18599" xr:uid="{F3797121-7178-4529-9993-59A11FD9AF1B}"/>
    <cellStyle name="Currency 5 2 4 3 5" xfId="10171" xr:uid="{CF879ED7-2861-4E0A-B39D-D06C2FD288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EA60C4D7-F4BC-4CAA-A3A9-3ED8A45D586A}"/>
    <cellStyle name="Currency 5 2 4 4 2 3" xfId="12729" xr:uid="{66EA9713-CF4C-4C89-924D-EB832291E670}"/>
    <cellStyle name="Currency 5 2 4 4 3" xfId="5475" xr:uid="{00000000-0005-0000-0000-0000430C0000}"/>
    <cellStyle name="Currency 5 2 4 4 3 2" xfId="14801" xr:uid="{FA2DD5CA-C344-4AF2-B42C-A7070D01F83D}"/>
    <cellStyle name="Currency 5 2 4 4 4" xfId="10584" xr:uid="{3C18026B-2A3A-45E2-9D7A-A2C8E67CFECC}"/>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F9F339D8-9E76-41FD-B611-6532DF50D580}"/>
    <cellStyle name="Currency 5 2 4 5 2 3" xfId="13142" xr:uid="{BE5E9CB7-B912-4061-83AA-212C54A3CD81}"/>
    <cellStyle name="Currency 5 2 4 5 3" xfId="5888" xr:uid="{00000000-0005-0000-0000-0000470C0000}"/>
    <cellStyle name="Currency 5 2 4 5 3 2" xfId="15214" xr:uid="{B1509FEB-A8AF-4E65-B6BA-E0AEC525E758}"/>
    <cellStyle name="Currency 5 2 4 5 4" xfId="10997" xr:uid="{9DF394A5-1240-4235-B64A-79C00F7A9766}"/>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FAEC7620-1A9E-4438-8912-08BA7920B446}"/>
    <cellStyle name="Currency 5 2 4 6 2 3" xfId="13555" xr:uid="{09D518C7-1810-4D62-9471-32E5ED7FBB69}"/>
    <cellStyle name="Currency 5 2 4 6 3" xfId="6301" xr:uid="{00000000-0005-0000-0000-00004B0C0000}"/>
    <cellStyle name="Currency 5 2 4 6 3 2" xfId="15627" xr:uid="{811E8202-A71B-4210-8F97-3EA322E42DED}"/>
    <cellStyle name="Currency 5 2 4 6 4" xfId="11410" xr:uid="{208FB6C1-F8A9-4A8D-A067-F9B16702AD5B}"/>
    <cellStyle name="Currency 5 2 4 7" xfId="2430" xr:uid="{00000000-0005-0000-0000-00004C0C0000}"/>
    <cellStyle name="Currency 5 2 4 7 2" xfId="6714" xr:uid="{00000000-0005-0000-0000-00004D0C0000}"/>
    <cellStyle name="Currency 5 2 4 7 2 2" xfId="16040" xr:uid="{598D6A46-3D9F-4DA3-9C9B-89A7AD8BD743}"/>
    <cellStyle name="Currency 5 2 4 7 3" xfId="11823" xr:uid="{6DB96890-C095-4A5B-B5FA-426C4CB8E860}"/>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F502D539-5EA4-4241-AE81-A978E35001E7}"/>
    <cellStyle name="Currency 5 2 4 9 3" xfId="12140" xr:uid="{2935B5EA-AF82-4C9F-AD0B-A3514C08C5E5}"/>
    <cellStyle name="Currency 5 2 5" xfId="207" xr:uid="{00000000-0005-0000-0000-0000510C0000}"/>
    <cellStyle name="Currency 5 2 5 10" xfId="8975" xr:uid="{3422EC31-C47F-46E0-A50C-FE05B1979387}"/>
    <cellStyle name="Currency 5 2 5 10 2" xfId="18299" xr:uid="{3C9B9B51-A887-400F-BCBE-575CD0DEE5E5}"/>
    <cellStyle name="Currency 5 2 5 11" xfId="9759" xr:uid="{0E2265E1-4DDD-4010-9652-7C02844ED90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BF56F1E8-D271-4616-9F88-9A116032FEEC}"/>
    <cellStyle name="Currency 5 2 5 2 2 3" xfId="12318" xr:uid="{E3AF6C0D-ADDA-4422-9FE7-9623C33104B2}"/>
    <cellStyle name="Currency 5 2 5 2 3" xfId="5064" xr:uid="{00000000-0005-0000-0000-0000550C0000}"/>
    <cellStyle name="Currency 5 2 5 2 3 2" xfId="14390" xr:uid="{8E186903-7540-4008-BABB-135B510E1BBF}"/>
    <cellStyle name="Currency 5 2 5 2 4" xfId="9400" xr:uid="{6620DDCD-05C0-4AFD-8A83-F1190101CCB3}"/>
    <cellStyle name="Currency 5 2 5 2 4 2" xfId="18715" xr:uid="{01414834-9CB2-46BA-9023-1DE9B8A6FC98}"/>
    <cellStyle name="Currency 5 2 5 2 5" xfId="10173" xr:uid="{6848A608-BB91-4198-BFCD-AA5967FE39C5}"/>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79BD3BB3-B22A-4D23-BC00-BB1A4DD669E8}"/>
    <cellStyle name="Currency 5 2 5 3 2 3" xfId="12731" xr:uid="{C2A8FB50-E832-4203-8504-7BE51DEB6570}"/>
    <cellStyle name="Currency 5 2 5 3 3" xfId="5477" xr:uid="{00000000-0005-0000-0000-0000590C0000}"/>
    <cellStyle name="Currency 5 2 5 3 3 2" xfId="14803" xr:uid="{2358FCC0-06D0-459E-8B44-C15C2942A45E}"/>
    <cellStyle name="Currency 5 2 5 3 4" xfId="10586" xr:uid="{8C279FAE-D925-4612-B5AF-E52B96EFF296}"/>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F3680C35-565B-421A-951D-EF7589751FB3}"/>
    <cellStyle name="Currency 5 2 5 4 2 3" xfId="13144" xr:uid="{1441C3D6-F494-413D-9820-66303A019B02}"/>
    <cellStyle name="Currency 5 2 5 4 3" xfId="5890" xr:uid="{00000000-0005-0000-0000-00005D0C0000}"/>
    <cellStyle name="Currency 5 2 5 4 3 2" xfId="15216" xr:uid="{A695D287-33EB-4840-BDAF-F68E38768C25}"/>
    <cellStyle name="Currency 5 2 5 4 4" xfId="10999" xr:uid="{FB92D5FE-C3DF-4C9A-A5D8-8B262DFC20E7}"/>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5D316BFF-9EDA-449E-BD5A-26DA6D4E5959}"/>
    <cellStyle name="Currency 5 2 5 5 2 3" xfId="13557" xr:uid="{435E5513-B013-4B81-AB9D-E16C27F269DC}"/>
    <cellStyle name="Currency 5 2 5 5 3" xfId="6303" xr:uid="{00000000-0005-0000-0000-0000610C0000}"/>
    <cellStyle name="Currency 5 2 5 5 3 2" xfId="15629" xr:uid="{76EE0673-8198-45FA-B879-63A90AE140D2}"/>
    <cellStyle name="Currency 5 2 5 5 4" xfId="11412" xr:uid="{CD3A5FFA-818E-4E08-8308-B3436CC859F2}"/>
    <cellStyle name="Currency 5 2 5 6" xfId="2432" xr:uid="{00000000-0005-0000-0000-0000620C0000}"/>
    <cellStyle name="Currency 5 2 5 6 2" xfId="6716" xr:uid="{00000000-0005-0000-0000-0000630C0000}"/>
    <cellStyle name="Currency 5 2 5 6 2 2" xfId="16042" xr:uid="{E3C92BFA-0B60-4BA6-955B-6050F1140FB1}"/>
    <cellStyle name="Currency 5 2 5 6 3" xfId="11825" xr:uid="{8A292C3F-21C5-47EB-BFA0-06E65A92949C}"/>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F127F446-E722-48E8-BD6E-1AE85B52923C}"/>
    <cellStyle name="Currency 5 2 5 8 3" xfId="12142" xr:uid="{660A6DD8-5659-4A77-B499-4CF8153E40BA}"/>
    <cellStyle name="Currency 5 2 5 9" xfId="4650" xr:uid="{00000000-0005-0000-0000-0000670C0000}"/>
    <cellStyle name="Currency 5 2 5 9 2" xfId="13976" xr:uid="{00C3F427-DF11-447E-8ECF-4B01E32DDB7D}"/>
    <cellStyle name="Currency 5 2 6" xfId="208" xr:uid="{00000000-0005-0000-0000-0000680C0000}"/>
    <cellStyle name="Currency 5 2 6 10" xfId="9178" xr:uid="{19F6D70E-88E4-4E39-A1A9-3FF3D840E2F9}"/>
    <cellStyle name="Currency 5 2 6 10 2" xfId="18496" xr:uid="{D228E6D8-B3D4-4818-B4DE-FAE9608EA3B4}"/>
    <cellStyle name="Currency 5 2 6 11" xfId="9760" xr:uid="{4D43F7CC-C0AF-478F-B76F-FE4B8E6CA9DD}"/>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56DFBB8B-0869-443E-AA0C-FBA18FC23C85}"/>
    <cellStyle name="Currency 5 2 6 2 2 3" xfId="12319" xr:uid="{C673886F-76DC-4697-8300-B45524B62028}"/>
    <cellStyle name="Currency 5 2 6 2 3" xfId="5065" xr:uid="{00000000-0005-0000-0000-00006C0C0000}"/>
    <cellStyle name="Currency 5 2 6 2 3 2" xfId="14391" xr:uid="{6F22F3EE-623D-4AC1-9F41-6389DCB27E6F}"/>
    <cellStyle name="Currency 5 2 6 2 4" xfId="9599" xr:uid="{C2EE182C-D73D-4E6C-9671-0484CB4E8D68}"/>
    <cellStyle name="Currency 5 2 6 2 4 2" xfId="18903" xr:uid="{A4B91C01-298A-45EA-B6A6-1437DAF83169}"/>
    <cellStyle name="Currency 5 2 6 2 5" xfId="10174" xr:uid="{1FE3D689-70FF-4110-AC0A-DE34161D89B6}"/>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D9FCB883-1708-4ED4-A28F-F5ECF7398B37}"/>
    <cellStyle name="Currency 5 2 6 3 2 3" xfId="12732" xr:uid="{01ABE9F4-48D4-4C1D-81C3-C4AD4B2AB59F}"/>
    <cellStyle name="Currency 5 2 6 3 3" xfId="5478" xr:uid="{00000000-0005-0000-0000-0000700C0000}"/>
    <cellStyle name="Currency 5 2 6 3 3 2" xfId="14804" xr:uid="{ED85FD4B-02E5-488E-B0CA-BBA738FBBFE9}"/>
    <cellStyle name="Currency 5 2 6 3 4" xfId="10587" xr:uid="{102ADF50-995A-455B-B09F-C74CD2BAFFE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767762D5-DDC1-4521-9636-8EF35452E37E}"/>
    <cellStyle name="Currency 5 2 6 4 2 3" xfId="13145" xr:uid="{D14BFD27-D14E-479F-A7C0-AC47FC279EEC}"/>
    <cellStyle name="Currency 5 2 6 4 3" xfId="5891" xr:uid="{00000000-0005-0000-0000-0000740C0000}"/>
    <cellStyle name="Currency 5 2 6 4 3 2" xfId="15217" xr:uid="{D66BEB36-799F-46A4-8AD2-44D329AA647C}"/>
    <cellStyle name="Currency 5 2 6 4 4" xfId="11000" xr:uid="{58383FB1-C4AC-42C4-8733-FCAE86878708}"/>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5335024E-7CFA-4B7A-9448-1B716AF0C27A}"/>
    <cellStyle name="Currency 5 2 6 5 2 3" xfId="13558" xr:uid="{6503A1BC-7891-487B-9BBF-6CEE230A780D}"/>
    <cellStyle name="Currency 5 2 6 5 3" xfId="6304" xr:uid="{00000000-0005-0000-0000-0000780C0000}"/>
    <cellStyle name="Currency 5 2 6 5 3 2" xfId="15630" xr:uid="{78F72DED-C7C1-4682-BA58-A4746DC801BA}"/>
    <cellStyle name="Currency 5 2 6 5 4" xfId="11413" xr:uid="{79F086F9-D5AE-459F-BA30-146E4661A767}"/>
    <cellStyle name="Currency 5 2 6 6" xfId="2433" xr:uid="{00000000-0005-0000-0000-0000790C0000}"/>
    <cellStyle name="Currency 5 2 6 6 2" xfId="6717" xr:uid="{00000000-0005-0000-0000-00007A0C0000}"/>
    <cellStyle name="Currency 5 2 6 6 2 2" xfId="16043" xr:uid="{A538DE8E-4F34-4CF0-9651-7C96F8F7561C}"/>
    <cellStyle name="Currency 5 2 6 6 3" xfId="11826" xr:uid="{167F2295-6C34-481C-A2FE-03BD76B96CA4}"/>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E7562EA8-9DE8-411C-BAD1-679AEE8312AD}"/>
    <cellStyle name="Currency 5 2 6 8 3" xfId="12143" xr:uid="{CB686B73-EB11-4DF4-B314-4A3E73F895F1}"/>
    <cellStyle name="Currency 5 2 6 9" xfId="4651" xr:uid="{00000000-0005-0000-0000-00007E0C0000}"/>
    <cellStyle name="Currency 5 2 6 9 2" xfId="13977" xr:uid="{09D1D7C2-44D8-425E-A9D0-00AC1D9C93A2}"/>
    <cellStyle name="Currency 5 2 7" xfId="722" xr:uid="{00000000-0005-0000-0000-00007F0C0000}"/>
    <cellStyle name="Currency 5 2 8" xfId="8756" xr:uid="{D16196A2-D0A3-46A2-9B14-6B017B4CC82F}"/>
    <cellStyle name="Currency 5 2 8 2" xfId="18080" xr:uid="{354591CF-9042-4140-B6C8-70D707D967C7}"/>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390A5E21-DCD8-4BCA-B2DA-2CB20E26B2C7}"/>
    <cellStyle name="Currency 5 3 2 10 3" xfId="12144" xr:uid="{3AF3D1AC-68E7-444C-BA0F-5E6ADCEE3E06}"/>
    <cellStyle name="Currency 5 3 2 11" xfId="4652" xr:uid="{00000000-0005-0000-0000-0000840C0000}"/>
    <cellStyle name="Currency 5 3 2 11 2" xfId="13978" xr:uid="{F3F530D1-F0CD-4C47-8222-14FAB29B2EA9}"/>
    <cellStyle name="Currency 5 3 2 12" xfId="8810" xr:uid="{C5234FF9-D509-4CD8-ADA1-D3604CCF3D1F}"/>
    <cellStyle name="Currency 5 3 2 12 2" xfId="18134" xr:uid="{49310C5A-6BB5-41C1-AA82-57F9CCF1B1A7}"/>
    <cellStyle name="Currency 5 3 2 13" xfId="9761" xr:uid="{19E23FB0-3010-41E7-B91A-6193B13D2488}"/>
    <cellStyle name="Currency 5 3 2 2" xfId="211" xr:uid="{00000000-0005-0000-0000-0000850C0000}"/>
    <cellStyle name="Currency 5 3 2 2 10" xfId="4653" xr:uid="{00000000-0005-0000-0000-0000860C0000}"/>
    <cellStyle name="Currency 5 3 2 2 10 2" xfId="13979" xr:uid="{41CB0690-844E-4E4F-8D45-C6E1103F41EB}"/>
    <cellStyle name="Currency 5 3 2 2 11" xfId="8913" xr:uid="{FE033F82-2F16-4925-9899-F927AB9AA612}"/>
    <cellStyle name="Currency 5 3 2 2 11 2" xfId="18237" xr:uid="{2EBF69EA-790E-4B8E-8E55-ADEFB636E517}"/>
    <cellStyle name="Currency 5 3 2 2 12" xfId="9762" xr:uid="{D44C305F-CAC4-4E89-8FF9-67B9A2D2AC55}"/>
    <cellStyle name="Currency 5 3 2 2 2" xfId="212" xr:uid="{00000000-0005-0000-0000-0000870C0000}"/>
    <cellStyle name="Currency 5 3 2 2 2 10" xfId="9120" xr:uid="{D5536A1F-8418-4CB5-B1E0-470AD716374A}"/>
    <cellStyle name="Currency 5 3 2 2 2 10 2" xfId="18444" xr:uid="{CB218B66-A6CA-4D1D-959B-6215504A8D7C}"/>
    <cellStyle name="Currency 5 3 2 2 2 11" xfId="9763" xr:uid="{B2E3B59F-46B2-4AB2-915A-9431E531474E}"/>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F0BD9B22-63B6-4533-8E29-BA905B7FC33A}"/>
    <cellStyle name="Currency 5 3 2 2 2 2 2 3" xfId="12322" xr:uid="{08899679-24E7-448B-A53B-3B1FE80451D4}"/>
    <cellStyle name="Currency 5 3 2 2 2 2 3" xfId="5068" xr:uid="{00000000-0005-0000-0000-00008B0C0000}"/>
    <cellStyle name="Currency 5 3 2 2 2 2 3 2" xfId="14394" xr:uid="{8375C75D-FAFB-4277-A864-53784EFB30A2}"/>
    <cellStyle name="Currency 5 3 2 2 2 2 4" xfId="9545" xr:uid="{F6C268D6-0334-42F7-AE4F-535ADD09B625}"/>
    <cellStyle name="Currency 5 3 2 2 2 2 4 2" xfId="18860" xr:uid="{90CE7F0B-C604-407D-A612-8321A2F97E1F}"/>
    <cellStyle name="Currency 5 3 2 2 2 2 5" xfId="10177" xr:uid="{04B9FB70-48AE-4404-8FA4-59D5B3415FD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DBCC4CA2-A3C1-42F2-A700-7B412BC0FA9C}"/>
    <cellStyle name="Currency 5 3 2 2 2 3 2 3" xfId="12735" xr:uid="{E8B65175-F516-40BD-A1A0-DBA4E04C3EC8}"/>
    <cellStyle name="Currency 5 3 2 2 2 3 3" xfId="5481" xr:uid="{00000000-0005-0000-0000-00008F0C0000}"/>
    <cellStyle name="Currency 5 3 2 2 2 3 3 2" xfId="14807" xr:uid="{4618BDB4-83AF-43B5-9BE2-966BE7833752}"/>
    <cellStyle name="Currency 5 3 2 2 2 3 4" xfId="10590" xr:uid="{BB270B9A-7CFB-42D2-85B0-AEC8914FD406}"/>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3A4C9771-1FD9-4FDD-B5B5-114DEE6BFA5E}"/>
    <cellStyle name="Currency 5 3 2 2 2 4 2 3" xfId="13148" xr:uid="{B04D0BDF-B2E2-4349-978E-5FA20BEC3FD8}"/>
    <cellStyle name="Currency 5 3 2 2 2 4 3" xfId="5894" xr:uid="{00000000-0005-0000-0000-0000930C0000}"/>
    <cellStyle name="Currency 5 3 2 2 2 4 3 2" xfId="15220" xr:uid="{C1B4A7B3-ED74-453B-B236-4591C9C41B3F}"/>
    <cellStyle name="Currency 5 3 2 2 2 4 4" xfId="11003" xr:uid="{4A4B4162-8925-40FD-A13C-6CE8EE1DC246}"/>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8407E9EB-5306-4FB0-945F-A5616A1C2D5E}"/>
    <cellStyle name="Currency 5 3 2 2 2 5 2 3" xfId="13561" xr:uid="{7B8FC573-A180-4FD3-AC92-002F8B34CAD7}"/>
    <cellStyle name="Currency 5 3 2 2 2 5 3" xfId="6307" xr:uid="{00000000-0005-0000-0000-0000970C0000}"/>
    <cellStyle name="Currency 5 3 2 2 2 5 3 2" xfId="15633" xr:uid="{94F5F6D1-7E8C-42BD-B611-FF0C3A41E80F}"/>
    <cellStyle name="Currency 5 3 2 2 2 5 4" xfId="11416" xr:uid="{111A8038-B6D0-425F-A466-E2627C19D451}"/>
    <cellStyle name="Currency 5 3 2 2 2 6" xfId="2436" xr:uid="{00000000-0005-0000-0000-0000980C0000}"/>
    <cellStyle name="Currency 5 3 2 2 2 6 2" xfId="6720" xr:uid="{00000000-0005-0000-0000-0000990C0000}"/>
    <cellStyle name="Currency 5 3 2 2 2 6 2 2" xfId="16046" xr:uid="{F0219ED2-C5F2-4C3A-96E0-2DACEF2A600D}"/>
    <cellStyle name="Currency 5 3 2 2 2 6 3" xfId="11829" xr:uid="{C04265BF-5A53-4EF8-9AC4-9B70E5807D65}"/>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6183DF1A-A388-4916-9256-5731860D796C}"/>
    <cellStyle name="Currency 5 3 2 2 2 8 3" xfId="12146" xr:uid="{0425940C-B51D-47DE-9380-0F22CF8B327C}"/>
    <cellStyle name="Currency 5 3 2 2 2 9" xfId="4654" xr:uid="{00000000-0005-0000-0000-00009D0C0000}"/>
    <cellStyle name="Currency 5 3 2 2 2 9 2" xfId="13980" xr:uid="{C069F920-B903-4D86-B816-D03745609CD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DC7A988A-3C1D-4EF7-8FFE-A8212DB65B86}"/>
    <cellStyle name="Currency 5 3 2 2 3 2 3" xfId="12321" xr:uid="{9521CE38-7817-4245-9F77-199C52B68F4B}"/>
    <cellStyle name="Currency 5 3 2 2 3 3" xfId="5067" xr:uid="{00000000-0005-0000-0000-0000A10C0000}"/>
    <cellStyle name="Currency 5 3 2 2 3 3 2" xfId="14393" xr:uid="{D670B1BD-A399-4B10-A923-168DB2565B2E}"/>
    <cellStyle name="Currency 5 3 2 2 3 4" xfId="9338" xr:uid="{E79296CA-9516-4DDA-84B2-A3B13AAA9D9D}"/>
    <cellStyle name="Currency 5 3 2 2 3 4 2" xfId="18653" xr:uid="{1E3A551A-9C1D-4355-8C37-6650BECF596D}"/>
    <cellStyle name="Currency 5 3 2 2 3 5" xfId="10176" xr:uid="{AA6D6075-19D4-4ADD-8D8F-199D7873FD2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1A6DBFDB-AF38-411B-856D-A84D2DCE13EC}"/>
    <cellStyle name="Currency 5 3 2 2 4 2 3" xfId="12734" xr:uid="{990B103F-4E63-4A0F-B043-68B451667269}"/>
    <cellStyle name="Currency 5 3 2 2 4 3" xfId="5480" xr:uid="{00000000-0005-0000-0000-0000A50C0000}"/>
    <cellStyle name="Currency 5 3 2 2 4 3 2" xfId="14806" xr:uid="{35B0AAE6-7542-4967-99BA-CAA7E500481C}"/>
    <cellStyle name="Currency 5 3 2 2 4 4" xfId="10589" xr:uid="{381830A0-2D01-46E5-92D8-5D5CB83C2B4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9F6B5224-38B4-423C-9972-9079177E387D}"/>
    <cellStyle name="Currency 5 3 2 2 5 2 3" xfId="13147" xr:uid="{DCF8C346-0DA1-4B90-88FF-A07F3C466A56}"/>
    <cellStyle name="Currency 5 3 2 2 5 3" xfId="5893" xr:uid="{00000000-0005-0000-0000-0000A90C0000}"/>
    <cellStyle name="Currency 5 3 2 2 5 3 2" xfId="15219" xr:uid="{AFC730E7-1F36-40E4-9A09-413CFA6370D4}"/>
    <cellStyle name="Currency 5 3 2 2 5 4" xfId="11002" xr:uid="{8C67FAC8-9B6C-44CF-AF15-E665AF0D8E8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2F1D6387-0C86-468F-A849-51FDA503F457}"/>
    <cellStyle name="Currency 5 3 2 2 6 2 3" xfId="13560" xr:uid="{792AA334-78D0-42E7-94B7-418BFF2E869A}"/>
    <cellStyle name="Currency 5 3 2 2 6 3" xfId="6306" xr:uid="{00000000-0005-0000-0000-0000AD0C0000}"/>
    <cellStyle name="Currency 5 3 2 2 6 3 2" xfId="15632" xr:uid="{428910F2-E20B-4C3D-9EBD-529357D2A73A}"/>
    <cellStyle name="Currency 5 3 2 2 6 4" xfId="11415" xr:uid="{D5B36392-7202-4F11-A6C6-D3FC6716F93F}"/>
    <cellStyle name="Currency 5 3 2 2 7" xfId="2435" xr:uid="{00000000-0005-0000-0000-0000AE0C0000}"/>
    <cellStyle name="Currency 5 3 2 2 7 2" xfId="6719" xr:uid="{00000000-0005-0000-0000-0000AF0C0000}"/>
    <cellStyle name="Currency 5 3 2 2 7 2 2" xfId="16045" xr:uid="{0C11928E-0635-4D0D-B766-3CCF97052744}"/>
    <cellStyle name="Currency 5 3 2 2 7 3" xfId="11828" xr:uid="{15D4D997-2951-4977-8B92-F34DBE8D3764}"/>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7A3C9739-AD5E-4273-A5B3-CF8E0BA9A527}"/>
    <cellStyle name="Currency 5 3 2 2 9 3" xfId="12145" xr:uid="{1EA8D46C-7C45-4CDA-884C-9F39EE584C16}"/>
    <cellStyle name="Currency 5 3 2 3" xfId="213" xr:uid="{00000000-0005-0000-0000-0000B30C0000}"/>
    <cellStyle name="Currency 5 3 2 3 10" xfId="9017" xr:uid="{A6213F8D-EE09-4095-B9BE-99C55DEE210F}"/>
    <cellStyle name="Currency 5 3 2 3 10 2" xfId="18341" xr:uid="{2FC973F2-C935-4E95-96C0-0CDDEC883B1F}"/>
    <cellStyle name="Currency 5 3 2 3 11" xfId="9764" xr:uid="{3779C0AA-CDEF-4AF4-87C2-96D8EDE5847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F85E5711-786C-4774-9D07-AB26D425A4A9}"/>
    <cellStyle name="Currency 5 3 2 3 2 2 3" xfId="12323" xr:uid="{81ADA93D-2791-4BCA-A566-C177B2B43132}"/>
    <cellStyle name="Currency 5 3 2 3 2 3" xfId="5069" xr:uid="{00000000-0005-0000-0000-0000B70C0000}"/>
    <cellStyle name="Currency 5 3 2 3 2 3 2" xfId="14395" xr:uid="{D7B640AB-25D3-4525-AF80-02FF1D2C3DFF}"/>
    <cellStyle name="Currency 5 3 2 3 2 4" xfId="9442" xr:uid="{AE48BD1F-B5DA-4007-BBEE-128FE2FE74D7}"/>
    <cellStyle name="Currency 5 3 2 3 2 4 2" xfId="18757" xr:uid="{744F3F81-F36D-4988-B4B2-E4500434B842}"/>
    <cellStyle name="Currency 5 3 2 3 2 5" xfId="10178" xr:uid="{DDC20D4D-39F3-4019-8B6A-6C75DBB46D79}"/>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5B4AAE80-3B5D-457E-AED6-309B3BB88C8A}"/>
    <cellStyle name="Currency 5 3 2 3 3 2 3" xfId="12736" xr:uid="{9954DEC1-3814-485F-9250-228DFEE0DAE0}"/>
    <cellStyle name="Currency 5 3 2 3 3 3" xfId="5482" xr:uid="{00000000-0005-0000-0000-0000BB0C0000}"/>
    <cellStyle name="Currency 5 3 2 3 3 3 2" xfId="14808" xr:uid="{5D9E31AB-E76D-4190-9AF6-D5FF876DE57A}"/>
    <cellStyle name="Currency 5 3 2 3 3 4" xfId="10591" xr:uid="{E1A9364D-A9DE-47BD-9BB6-910E91EA250B}"/>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16C7E465-8698-45BF-99BC-4EFC2AEF9CBC}"/>
    <cellStyle name="Currency 5 3 2 3 4 2 3" xfId="13149" xr:uid="{E6382406-D042-4633-9F47-DBEF7A5EE859}"/>
    <cellStyle name="Currency 5 3 2 3 4 3" xfId="5895" xr:uid="{00000000-0005-0000-0000-0000BF0C0000}"/>
    <cellStyle name="Currency 5 3 2 3 4 3 2" xfId="15221" xr:uid="{1F57E2DD-1E60-4E64-B9AC-D603E4257697}"/>
    <cellStyle name="Currency 5 3 2 3 4 4" xfId="11004" xr:uid="{AA71352C-520B-4653-A13F-5C664273164B}"/>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AD6926F4-EB16-46C8-9908-F5538E034A4A}"/>
    <cellStyle name="Currency 5 3 2 3 5 2 3" xfId="13562" xr:uid="{77D24824-2A8C-46DA-8F52-88205D83CB42}"/>
    <cellStyle name="Currency 5 3 2 3 5 3" xfId="6308" xr:uid="{00000000-0005-0000-0000-0000C30C0000}"/>
    <cellStyle name="Currency 5 3 2 3 5 3 2" xfId="15634" xr:uid="{FC3EDE28-0190-44DF-B78B-9D4764D73623}"/>
    <cellStyle name="Currency 5 3 2 3 5 4" xfId="11417" xr:uid="{5B3084E7-4C6E-4B4D-9A1F-F2FBCE14A6B6}"/>
    <cellStyle name="Currency 5 3 2 3 6" xfId="2437" xr:uid="{00000000-0005-0000-0000-0000C40C0000}"/>
    <cellStyle name="Currency 5 3 2 3 6 2" xfId="6721" xr:uid="{00000000-0005-0000-0000-0000C50C0000}"/>
    <cellStyle name="Currency 5 3 2 3 6 2 2" xfId="16047" xr:uid="{A89572DE-1613-4526-A2D4-91AA12E03CB1}"/>
    <cellStyle name="Currency 5 3 2 3 6 3" xfId="11830" xr:uid="{EFAD1AEF-DA72-427F-A483-421EDC1CB00D}"/>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E59D4CCC-E031-4967-9B1B-F52CFF9F51C1}"/>
    <cellStyle name="Currency 5 3 2 3 8 3" xfId="12147" xr:uid="{D352D4A4-6348-4F74-B719-B2FB8276E893}"/>
    <cellStyle name="Currency 5 3 2 3 9" xfId="4655" xr:uid="{00000000-0005-0000-0000-0000C90C0000}"/>
    <cellStyle name="Currency 5 3 2 3 9 2" xfId="13981" xr:uid="{B61E5AFA-34C1-401F-8F98-CC7EB2CFEAD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ADFA579E-CE98-4A6D-BD57-9E4939E34349}"/>
    <cellStyle name="Currency 5 3 2 4 2 3" xfId="12320" xr:uid="{E4BCD432-E508-41B8-BDDB-B9FD66F845D4}"/>
    <cellStyle name="Currency 5 3 2 4 3" xfId="5066" xr:uid="{00000000-0005-0000-0000-0000CD0C0000}"/>
    <cellStyle name="Currency 5 3 2 4 3 2" xfId="14392" xr:uid="{4D1B6422-2A36-4F79-A20B-186D095F692C}"/>
    <cellStyle name="Currency 5 3 2 4 4" xfId="9235" xr:uid="{F2FD4117-6EF1-4663-964A-AB5B57E6F469}"/>
    <cellStyle name="Currency 5 3 2 4 4 2" xfId="18550" xr:uid="{114679CD-104F-43A9-8866-A32274B3DACA}"/>
    <cellStyle name="Currency 5 3 2 4 5" xfId="10175" xr:uid="{512881FA-F344-438A-B3B3-120EA77B0B8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9B0C7E06-59C0-4E17-9DE3-9916B8B5A8A2}"/>
    <cellStyle name="Currency 5 3 2 5 2 3" xfId="12733" xr:uid="{568856F6-3C1A-4EA6-8CA2-EEB85ADA2E10}"/>
    <cellStyle name="Currency 5 3 2 5 3" xfId="5479" xr:uid="{00000000-0005-0000-0000-0000D10C0000}"/>
    <cellStyle name="Currency 5 3 2 5 3 2" xfId="14805" xr:uid="{B9C87CD2-4652-44C6-B66D-BE59986F9CBA}"/>
    <cellStyle name="Currency 5 3 2 5 4" xfId="10588" xr:uid="{5DF000B9-F95E-4CB0-AC6B-C1EC1940B8E0}"/>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DEA24AC3-257E-4FAC-9BFE-73F15E93B031}"/>
    <cellStyle name="Currency 5 3 2 6 2 3" xfId="13146" xr:uid="{E0CBB422-31AB-46CA-9A2A-03ED8E157676}"/>
    <cellStyle name="Currency 5 3 2 6 3" xfId="5892" xr:uid="{00000000-0005-0000-0000-0000D50C0000}"/>
    <cellStyle name="Currency 5 3 2 6 3 2" xfId="15218" xr:uid="{DA152140-8C8E-4874-B799-2E8D9448FF33}"/>
    <cellStyle name="Currency 5 3 2 6 4" xfId="11001" xr:uid="{3DC0368F-96F3-407D-956A-3D3B9E2B08E8}"/>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66927B07-67AC-4159-9283-436AB3B5ECBC}"/>
    <cellStyle name="Currency 5 3 2 7 2 3" xfId="13559" xr:uid="{6FFFB116-99FE-44A0-BE9F-5D0BC95554A7}"/>
    <cellStyle name="Currency 5 3 2 7 3" xfId="6305" xr:uid="{00000000-0005-0000-0000-0000D90C0000}"/>
    <cellStyle name="Currency 5 3 2 7 3 2" xfId="15631" xr:uid="{268DBF9A-D599-4859-8488-522221900D51}"/>
    <cellStyle name="Currency 5 3 2 7 4" xfId="11414" xr:uid="{E290F838-97C4-4FD2-8FC0-4064C4FBC72E}"/>
    <cellStyle name="Currency 5 3 2 8" xfId="2434" xr:uid="{00000000-0005-0000-0000-0000DA0C0000}"/>
    <cellStyle name="Currency 5 3 2 8 2" xfId="6718" xr:uid="{00000000-0005-0000-0000-0000DB0C0000}"/>
    <cellStyle name="Currency 5 3 2 8 2 2" xfId="16044" xr:uid="{6A68C7A8-63B7-4D22-AF24-1DE49AD3292C}"/>
    <cellStyle name="Currency 5 3 2 8 3" xfId="11827" xr:uid="{FA7F9866-4797-4639-90AA-137786454FE3}"/>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7E755889-0C1E-4EB1-A72C-B915786BCDDB}"/>
    <cellStyle name="Currency 5 3 3 11" xfId="8882" xr:uid="{A86B3ED4-B552-42F3-9E77-C6763F86EEE6}"/>
    <cellStyle name="Currency 5 3 3 11 2" xfId="18206" xr:uid="{DF8C59F6-54C6-49BE-A3A6-A594975649B3}"/>
    <cellStyle name="Currency 5 3 3 12" xfId="9765" xr:uid="{E0201AB3-8455-43CA-8B65-3E3828FA1EEF}"/>
    <cellStyle name="Currency 5 3 3 2" xfId="215" xr:uid="{00000000-0005-0000-0000-0000DF0C0000}"/>
    <cellStyle name="Currency 5 3 3 2 10" xfId="9089" xr:uid="{7CFB8DCC-02AE-4CC5-8E10-3D33399ECECE}"/>
    <cellStyle name="Currency 5 3 3 2 10 2" xfId="18413" xr:uid="{292B8D54-574C-4476-8AFC-6B28DD4163E7}"/>
    <cellStyle name="Currency 5 3 3 2 11" xfId="9766" xr:uid="{DA7071C6-7D45-4F17-AA72-6D3BF8C2AFA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B320663F-F969-426F-992B-4375AA7873A9}"/>
    <cellStyle name="Currency 5 3 3 2 2 2 3" xfId="12325" xr:uid="{534648EB-F255-4C39-91BA-0FDFB335BE3A}"/>
    <cellStyle name="Currency 5 3 3 2 2 3" xfId="5071" xr:uid="{00000000-0005-0000-0000-0000E30C0000}"/>
    <cellStyle name="Currency 5 3 3 2 2 3 2" xfId="14397" xr:uid="{2FFB0D90-5047-4DE4-8F20-AE10249F1AE6}"/>
    <cellStyle name="Currency 5 3 3 2 2 4" xfId="9514" xr:uid="{9A504F43-6423-4200-B7AF-F17B65B2005C}"/>
    <cellStyle name="Currency 5 3 3 2 2 4 2" xfId="18829" xr:uid="{42DFB135-F760-4E17-A130-928A2E070188}"/>
    <cellStyle name="Currency 5 3 3 2 2 5" xfId="10180" xr:uid="{9918552D-305E-4661-8B23-F869EF9937C4}"/>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6DBFFBBF-1CF9-4E1F-93AD-2DF038899D73}"/>
    <cellStyle name="Currency 5 3 3 2 3 2 3" xfId="12738" xr:uid="{CE3A5356-DCFD-40CE-A4C0-32A155F227F3}"/>
    <cellStyle name="Currency 5 3 3 2 3 3" xfId="5484" xr:uid="{00000000-0005-0000-0000-0000E70C0000}"/>
    <cellStyle name="Currency 5 3 3 2 3 3 2" xfId="14810" xr:uid="{2D820A15-406B-4BBF-BE23-1C7F402E8702}"/>
    <cellStyle name="Currency 5 3 3 2 3 4" xfId="10593" xr:uid="{2BC82A5B-8B27-40E8-8DA6-83A29B3FE73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79D061F-F272-4F50-A418-11BC546E9C27}"/>
    <cellStyle name="Currency 5 3 3 2 4 2 3" xfId="13151" xr:uid="{FC75CDAE-F4E7-4089-AD93-FA8169D06D03}"/>
    <cellStyle name="Currency 5 3 3 2 4 3" xfId="5897" xr:uid="{00000000-0005-0000-0000-0000EB0C0000}"/>
    <cellStyle name="Currency 5 3 3 2 4 3 2" xfId="15223" xr:uid="{A098B252-33B2-4F26-849A-0ABBB743E284}"/>
    <cellStyle name="Currency 5 3 3 2 4 4" xfId="11006" xr:uid="{888BAF9F-EB3E-440B-A823-B6627FBC9A94}"/>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AA0F5569-81EA-4175-88FD-CA2F8AD22994}"/>
    <cellStyle name="Currency 5 3 3 2 5 2 3" xfId="13564" xr:uid="{A48DD8DC-0ACD-442F-9A5F-D2942392A083}"/>
    <cellStyle name="Currency 5 3 3 2 5 3" xfId="6310" xr:uid="{00000000-0005-0000-0000-0000EF0C0000}"/>
    <cellStyle name="Currency 5 3 3 2 5 3 2" xfId="15636" xr:uid="{D18D7C8A-5345-4424-AF5B-5CC55290A88F}"/>
    <cellStyle name="Currency 5 3 3 2 5 4" xfId="11419" xr:uid="{9AFF2B74-D858-4E27-9A1D-997F84EA769C}"/>
    <cellStyle name="Currency 5 3 3 2 6" xfId="2439" xr:uid="{00000000-0005-0000-0000-0000F00C0000}"/>
    <cellStyle name="Currency 5 3 3 2 6 2" xfId="6723" xr:uid="{00000000-0005-0000-0000-0000F10C0000}"/>
    <cellStyle name="Currency 5 3 3 2 6 2 2" xfId="16049" xr:uid="{F00451F9-41B1-4793-894E-B5292C9B2983}"/>
    <cellStyle name="Currency 5 3 3 2 6 3" xfId="11832" xr:uid="{B59B40B8-8DCD-4555-8E6E-49232B390CC8}"/>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35EE5099-E6C3-4A71-A06C-798FED8F6531}"/>
    <cellStyle name="Currency 5 3 3 2 8 3" xfId="12149" xr:uid="{5EAB06BF-49EF-4E64-9D8D-990C54FB1904}"/>
    <cellStyle name="Currency 5 3 3 2 9" xfId="4657" xr:uid="{00000000-0005-0000-0000-0000F50C0000}"/>
    <cellStyle name="Currency 5 3 3 2 9 2" xfId="13983" xr:uid="{BCFC7035-59EF-411F-9869-6D71E69587A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8837EC6E-BB21-47AE-A2A6-F66452FAE9BF}"/>
    <cellStyle name="Currency 5 3 3 3 2 3" xfId="12324" xr:uid="{5CDD4D0F-5ADF-4F4A-AAE9-0D8892084711}"/>
    <cellStyle name="Currency 5 3 3 3 3" xfId="5070" xr:uid="{00000000-0005-0000-0000-0000F90C0000}"/>
    <cellStyle name="Currency 5 3 3 3 3 2" xfId="14396" xr:uid="{854A33BC-0350-4613-8399-64C25AA275A9}"/>
    <cellStyle name="Currency 5 3 3 3 4" xfId="9307" xr:uid="{3F0512A0-B779-46E4-A963-62E327C6AC5F}"/>
    <cellStyle name="Currency 5 3 3 3 4 2" xfId="18622" xr:uid="{32BF4001-5DB1-410E-9523-FE3D1F4C8FD7}"/>
    <cellStyle name="Currency 5 3 3 3 5" xfId="10179" xr:uid="{4E4A8922-378C-4147-9812-3FEE12267DBB}"/>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01703E59-2043-4082-978D-BC7F76FEEDF8}"/>
    <cellStyle name="Currency 5 3 3 4 2 3" xfId="12737" xr:uid="{047DA1F8-0C45-41A9-A815-14B0C7DB54EA}"/>
    <cellStyle name="Currency 5 3 3 4 3" xfId="5483" xr:uid="{00000000-0005-0000-0000-0000FD0C0000}"/>
    <cellStyle name="Currency 5 3 3 4 3 2" xfId="14809" xr:uid="{4B5F3C11-E4ED-427C-959F-85FA3D1D7243}"/>
    <cellStyle name="Currency 5 3 3 4 4" xfId="10592" xr:uid="{68599640-75B9-4C2F-AD91-9B4D659903D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4FFFE403-4E9A-48C1-8CC3-74E28507A8F5}"/>
    <cellStyle name="Currency 5 3 3 5 2 3" xfId="13150" xr:uid="{B4553D49-FC60-4C52-9DCA-CAD24C24B6DD}"/>
    <cellStyle name="Currency 5 3 3 5 3" xfId="5896" xr:uid="{00000000-0005-0000-0000-0000010D0000}"/>
    <cellStyle name="Currency 5 3 3 5 3 2" xfId="15222" xr:uid="{84396946-786C-46E1-B88A-82B394F3B5BB}"/>
    <cellStyle name="Currency 5 3 3 5 4" xfId="11005" xr:uid="{6BF0F42F-F76C-4D75-A461-5489F8940DE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80A2AFB0-C3A3-4171-B9FD-5828F82A21D0}"/>
    <cellStyle name="Currency 5 3 3 6 2 3" xfId="13563" xr:uid="{786193FC-7BA1-4547-B320-06AE2E63A608}"/>
    <cellStyle name="Currency 5 3 3 6 3" xfId="6309" xr:uid="{00000000-0005-0000-0000-0000050D0000}"/>
    <cellStyle name="Currency 5 3 3 6 3 2" xfId="15635" xr:uid="{06283D4E-BB3D-4A97-8A41-1152F0CEED34}"/>
    <cellStyle name="Currency 5 3 3 6 4" xfId="11418" xr:uid="{4569BDFA-FF3E-4A80-A3B2-6E5E93F79788}"/>
    <cellStyle name="Currency 5 3 3 7" xfId="2438" xr:uid="{00000000-0005-0000-0000-0000060D0000}"/>
    <cellStyle name="Currency 5 3 3 7 2" xfId="6722" xr:uid="{00000000-0005-0000-0000-0000070D0000}"/>
    <cellStyle name="Currency 5 3 3 7 2 2" xfId="16048" xr:uid="{5155A0C8-A230-444B-B7CA-EB1AA653BA25}"/>
    <cellStyle name="Currency 5 3 3 7 3" xfId="11831" xr:uid="{EE84FDEF-4D8C-4AF8-B848-DEC128F5A944}"/>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90F4EE30-4ED0-4186-BE56-2AB5CAD829F5}"/>
    <cellStyle name="Currency 5 3 3 9 3" xfId="12148" xr:uid="{12EB7A5F-9F32-4BC7-82AA-2761D745BF1A}"/>
    <cellStyle name="Currency 5 3 4" xfId="216" xr:uid="{00000000-0005-0000-0000-00000B0D0000}"/>
    <cellStyle name="Currency 5 3 4 10" xfId="8986" xr:uid="{4F6CFA4A-F10A-4043-AD92-C0A3F7F06459}"/>
    <cellStyle name="Currency 5 3 4 10 2" xfId="18310" xr:uid="{5C462F11-E627-4AFD-8A59-2A3D88004556}"/>
    <cellStyle name="Currency 5 3 4 11" xfId="9767" xr:uid="{6907B3C3-735C-40F9-AB29-C2B0FC8A37EE}"/>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3C85F07A-AD2B-4E36-BC9C-DB45131BE197}"/>
    <cellStyle name="Currency 5 3 4 2 2 3" xfId="12326" xr:uid="{56E205F3-E5C0-42D1-8689-1FCBDE5DF164}"/>
    <cellStyle name="Currency 5 3 4 2 3" xfId="5072" xr:uid="{00000000-0005-0000-0000-00000F0D0000}"/>
    <cellStyle name="Currency 5 3 4 2 3 2" xfId="14398" xr:uid="{106575CA-DBCD-4063-A648-0A5916BFF23C}"/>
    <cellStyle name="Currency 5 3 4 2 4" xfId="9411" xr:uid="{2729DEB6-408B-463E-B468-91D932C31FD7}"/>
    <cellStyle name="Currency 5 3 4 2 4 2" xfId="18726" xr:uid="{7A56EA99-DC2D-4CAB-9828-DFB35A452CE2}"/>
    <cellStyle name="Currency 5 3 4 2 5" xfId="10181" xr:uid="{CB318853-DB7F-4BF2-956E-3EFE687D868A}"/>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2C815171-F1D3-4C1D-B82A-B9A79D69CA45}"/>
    <cellStyle name="Currency 5 3 4 3 2 3" xfId="12739" xr:uid="{A15CFAB0-4F8C-4B64-A922-9A145F3C5706}"/>
    <cellStyle name="Currency 5 3 4 3 3" xfId="5485" xr:uid="{00000000-0005-0000-0000-0000130D0000}"/>
    <cellStyle name="Currency 5 3 4 3 3 2" xfId="14811" xr:uid="{BCEEF054-1583-4FFD-A9D7-98A6675233A3}"/>
    <cellStyle name="Currency 5 3 4 3 4" xfId="10594" xr:uid="{C9313E9E-B080-4BC7-B9F9-F1CA63C1054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2EB30615-01AA-4D26-9579-72B91A488E0E}"/>
    <cellStyle name="Currency 5 3 4 4 2 3" xfId="13152" xr:uid="{CA4CED00-70FE-4E90-A30F-CD10732BA393}"/>
    <cellStyle name="Currency 5 3 4 4 3" xfId="5898" xr:uid="{00000000-0005-0000-0000-0000170D0000}"/>
    <cellStyle name="Currency 5 3 4 4 3 2" xfId="15224" xr:uid="{87851B0A-2B3F-44AF-B6CE-EEB42E8D967C}"/>
    <cellStyle name="Currency 5 3 4 4 4" xfId="11007" xr:uid="{E5F12FFF-0FF5-416F-A65C-01A3348F7EC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727081EF-DF95-4E2D-86A1-CC751026779B}"/>
    <cellStyle name="Currency 5 3 4 5 2 3" xfId="13565" xr:uid="{C2423E30-8AAD-4BF2-BA65-C719814ED148}"/>
    <cellStyle name="Currency 5 3 4 5 3" xfId="6311" xr:uid="{00000000-0005-0000-0000-00001B0D0000}"/>
    <cellStyle name="Currency 5 3 4 5 3 2" xfId="15637" xr:uid="{DF1B245F-275C-43F9-9ABF-3B50D7E80FBC}"/>
    <cellStyle name="Currency 5 3 4 5 4" xfId="11420" xr:uid="{03F032C1-7406-4EDF-9CBA-EB9393B35124}"/>
    <cellStyle name="Currency 5 3 4 6" xfId="2440" xr:uid="{00000000-0005-0000-0000-00001C0D0000}"/>
    <cellStyle name="Currency 5 3 4 6 2" xfId="6724" xr:uid="{00000000-0005-0000-0000-00001D0D0000}"/>
    <cellStyle name="Currency 5 3 4 6 2 2" xfId="16050" xr:uid="{047D03BA-0343-4DFE-9082-61AD54AD0EED}"/>
    <cellStyle name="Currency 5 3 4 6 3" xfId="11833" xr:uid="{B315E346-5D65-4298-BDD5-BCD42AF0952B}"/>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8E4F0CA5-0B83-48B8-ADC2-2BBA17B4D273}"/>
    <cellStyle name="Currency 5 3 4 8 3" xfId="12150" xr:uid="{06E526F8-B737-4829-A3EA-82EFA661D155}"/>
    <cellStyle name="Currency 5 3 4 9" xfId="4658" xr:uid="{00000000-0005-0000-0000-0000210D0000}"/>
    <cellStyle name="Currency 5 3 4 9 2" xfId="13984" xr:uid="{AB491AB1-B9D7-40AC-8628-4E954DE1370B}"/>
    <cellStyle name="Currency 5 3 5" xfId="217" xr:uid="{00000000-0005-0000-0000-0000220D0000}"/>
    <cellStyle name="Currency 5 3 5 10" xfId="9203" xr:uid="{6167CBBD-227C-4457-B6B6-18EF5C089771}"/>
    <cellStyle name="Currency 5 3 5 10 2" xfId="18519" xr:uid="{8F55FCB2-AA24-43AE-92B1-28D2F3532279}"/>
    <cellStyle name="Currency 5 3 5 11" xfId="9768" xr:uid="{D106C09C-9004-4760-B59F-FF42884E1D75}"/>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B4DD9225-431E-4DE3-9AC2-01620AFF72BA}"/>
    <cellStyle name="Currency 5 3 5 2 2 3" xfId="12327" xr:uid="{23DEA5F8-CBC7-4611-931A-78A496A57F4F}"/>
    <cellStyle name="Currency 5 3 5 2 3" xfId="5073" xr:uid="{00000000-0005-0000-0000-0000260D0000}"/>
    <cellStyle name="Currency 5 3 5 2 3 2" xfId="14399" xr:uid="{733E57DF-841F-4690-92DB-1732B022D855}"/>
    <cellStyle name="Currency 5 3 5 2 4" xfId="9600" xr:uid="{650A4058-48FE-4F3E-8845-8F52DF332026}"/>
    <cellStyle name="Currency 5 3 5 2 4 2" xfId="18904" xr:uid="{D4A26A2F-9BE2-4F55-A01A-7394BD77F58C}"/>
    <cellStyle name="Currency 5 3 5 2 5" xfId="10182" xr:uid="{54D9A8D7-84A7-44D5-8CEC-C4A7C4876FD4}"/>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7437489B-D061-4C7A-AF31-4B28B216B714}"/>
    <cellStyle name="Currency 5 3 5 3 2 3" xfId="12740" xr:uid="{08E0E4AC-0259-4ABD-93D4-97DC2DD1C012}"/>
    <cellStyle name="Currency 5 3 5 3 3" xfId="5486" xr:uid="{00000000-0005-0000-0000-00002A0D0000}"/>
    <cellStyle name="Currency 5 3 5 3 3 2" xfId="14812" xr:uid="{7D5F2FB5-AFAF-4051-8863-4137DB79B6DC}"/>
    <cellStyle name="Currency 5 3 5 3 4" xfId="10595" xr:uid="{DC7E0BB9-3BE9-4848-BEA3-922E6DE5DDE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04FDFBFD-C637-457B-8B6D-96FF5680771D}"/>
    <cellStyle name="Currency 5 3 5 4 2 3" xfId="13153" xr:uid="{FC649739-DD8C-4F00-A92C-301CAF0DDB8C}"/>
    <cellStyle name="Currency 5 3 5 4 3" xfId="5899" xr:uid="{00000000-0005-0000-0000-00002E0D0000}"/>
    <cellStyle name="Currency 5 3 5 4 3 2" xfId="15225" xr:uid="{1625E12B-D22A-4745-BA5A-A499E28FA29B}"/>
    <cellStyle name="Currency 5 3 5 4 4" xfId="11008" xr:uid="{DD5BB54A-1E00-4ED4-9574-C3F8749BA952}"/>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20E79CBF-2189-4641-B9F1-9E3916B973D2}"/>
    <cellStyle name="Currency 5 3 5 5 2 3" xfId="13566" xr:uid="{DE327196-1B5F-4BC8-9EDD-B75AC3DC0CE0}"/>
    <cellStyle name="Currency 5 3 5 5 3" xfId="6312" xr:uid="{00000000-0005-0000-0000-0000320D0000}"/>
    <cellStyle name="Currency 5 3 5 5 3 2" xfId="15638" xr:uid="{2C1859D9-CB1B-4EDF-BFCA-B36B9DF70CCB}"/>
    <cellStyle name="Currency 5 3 5 5 4" xfId="11421" xr:uid="{CD98901E-4387-4288-87C3-2DFA103B64D1}"/>
    <cellStyle name="Currency 5 3 5 6" xfId="2441" xr:uid="{00000000-0005-0000-0000-0000330D0000}"/>
    <cellStyle name="Currency 5 3 5 6 2" xfId="6725" xr:uid="{00000000-0005-0000-0000-0000340D0000}"/>
    <cellStyle name="Currency 5 3 5 6 2 2" xfId="16051" xr:uid="{AD439327-72A5-450B-A69E-D3B735FBF6E4}"/>
    <cellStyle name="Currency 5 3 5 6 3" xfId="11834" xr:uid="{8D75E833-672C-4A69-93C3-6B388D4248A6}"/>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CCA9F3BD-790E-4216-B874-253EF42FF86E}"/>
    <cellStyle name="Currency 5 3 5 8 3" xfId="12151" xr:uid="{08B83B76-8345-4F5B-9223-DEED111D900F}"/>
    <cellStyle name="Currency 5 3 5 9" xfId="4659" xr:uid="{00000000-0005-0000-0000-0000380D0000}"/>
    <cellStyle name="Currency 5 3 5 9 2" xfId="13985" xr:uid="{277535EC-371B-4A7C-A1D5-6EE6F1665007}"/>
    <cellStyle name="Currency 5 3 6" xfId="9585" xr:uid="{F259418A-5AC0-4C4E-A98C-07B5BEE6D673}"/>
    <cellStyle name="Currency 5 3 7" xfId="8779" xr:uid="{856D4C12-E347-4E8F-9200-2EC71AC3E0CB}"/>
    <cellStyle name="Currency 5 3 7 2" xfId="18103" xr:uid="{614B489A-43BE-469B-94E8-205327706C98}"/>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E738ED21-E51D-4583-9381-FC292F548FD8}"/>
    <cellStyle name="Currency 5 5 11" xfId="8850" xr:uid="{8F129173-F323-478F-8B06-1E2599EB26C1}"/>
    <cellStyle name="Currency 5 5 11 2" xfId="18174" xr:uid="{58925200-1267-4B30-8B58-6A83176FB795}"/>
    <cellStyle name="Currency 5 5 12" xfId="9769" xr:uid="{94B3EBFB-8F81-48A6-9090-B98A98CB2107}"/>
    <cellStyle name="Currency 5 5 2" xfId="220" xr:uid="{00000000-0005-0000-0000-00003D0D0000}"/>
    <cellStyle name="Currency 5 5 2 10" xfId="9057" xr:uid="{90E61E49-0971-4EC1-90D8-E015846E4FB2}"/>
    <cellStyle name="Currency 5 5 2 10 2" xfId="18381" xr:uid="{47654948-A05D-4336-8F67-A942C05189F1}"/>
    <cellStyle name="Currency 5 5 2 11" xfId="9770" xr:uid="{7D702D80-DDC8-45EB-9EE9-05A44ABA1405}"/>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D78DB84E-9CD0-498F-AFC8-71497011CF33}"/>
    <cellStyle name="Currency 5 5 2 2 2 3" xfId="12329" xr:uid="{EBF865EE-6836-44F2-B2F1-59EFF623238B}"/>
    <cellStyle name="Currency 5 5 2 2 3" xfId="5075" xr:uid="{00000000-0005-0000-0000-0000410D0000}"/>
    <cellStyle name="Currency 5 5 2 2 3 2" xfId="14401" xr:uid="{4F905256-7C01-4CDF-8AE9-DAD2DF10DA4C}"/>
    <cellStyle name="Currency 5 5 2 2 4" xfId="9482" xr:uid="{ECEE3E7C-42CD-4A2D-A90F-D54FFBA7E41F}"/>
    <cellStyle name="Currency 5 5 2 2 4 2" xfId="18797" xr:uid="{2AA14006-7D64-4DFA-BB0A-FE85250420EC}"/>
    <cellStyle name="Currency 5 5 2 2 5" xfId="10184" xr:uid="{1965E9BE-1C19-4CA8-B6AD-0436ED9E5BD7}"/>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75282B41-DE25-4F8F-98F3-C4B9038838DC}"/>
    <cellStyle name="Currency 5 5 2 3 2 3" xfId="12742" xr:uid="{4233AB68-578E-4667-A147-9583C3D3BFDF}"/>
    <cellStyle name="Currency 5 5 2 3 3" xfId="5488" xr:uid="{00000000-0005-0000-0000-0000450D0000}"/>
    <cellStyle name="Currency 5 5 2 3 3 2" xfId="14814" xr:uid="{1D7E1D85-DB57-4FDE-8857-0FDCBDD3AAB3}"/>
    <cellStyle name="Currency 5 5 2 3 4" xfId="10597" xr:uid="{F51B1F38-ED06-4BBA-AE2F-DE4CF4948C1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95DDEC22-220E-40B5-A94D-5FCB8AD08352}"/>
    <cellStyle name="Currency 5 5 2 4 2 3" xfId="13155" xr:uid="{E29AE19E-74F2-4A09-845B-1E34F2489C50}"/>
    <cellStyle name="Currency 5 5 2 4 3" xfId="5901" xr:uid="{00000000-0005-0000-0000-0000490D0000}"/>
    <cellStyle name="Currency 5 5 2 4 3 2" xfId="15227" xr:uid="{6F0DCD5A-B6C2-4B18-A4E2-8EB40B3C746E}"/>
    <cellStyle name="Currency 5 5 2 4 4" xfId="11010" xr:uid="{0D3888FF-3F6D-447F-B467-1DF4C7BCE06A}"/>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E89FF63A-411F-40F5-9F8C-669F0C01B53A}"/>
    <cellStyle name="Currency 5 5 2 5 2 3" xfId="13568" xr:uid="{9819C0AD-8572-4073-A1A1-341D4A0A9C25}"/>
    <cellStyle name="Currency 5 5 2 5 3" xfId="6314" xr:uid="{00000000-0005-0000-0000-00004D0D0000}"/>
    <cellStyle name="Currency 5 5 2 5 3 2" xfId="15640" xr:uid="{A7C59ACF-BB1A-469D-A07E-D24FCC960609}"/>
    <cellStyle name="Currency 5 5 2 5 4" xfId="11423" xr:uid="{F1A38E2C-C25C-44F5-A1C1-140B95EB5933}"/>
    <cellStyle name="Currency 5 5 2 6" xfId="2443" xr:uid="{00000000-0005-0000-0000-00004E0D0000}"/>
    <cellStyle name="Currency 5 5 2 6 2" xfId="6727" xr:uid="{00000000-0005-0000-0000-00004F0D0000}"/>
    <cellStyle name="Currency 5 5 2 6 2 2" xfId="16053" xr:uid="{6DE4CB2E-CD71-4803-B3BB-8127D757419D}"/>
    <cellStyle name="Currency 5 5 2 6 3" xfId="11836" xr:uid="{3E6D9F6C-03D5-4AB8-B8C1-D8BC796475C4}"/>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3F106A0E-9E34-4011-B54E-8CD5342DDB27}"/>
    <cellStyle name="Currency 5 5 2 8 3" xfId="12153" xr:uid="{93CB8008-9542-4772-B352-B66ADD3D1AF8}"/>
    <cellStyle name="Currency 5 5 2 9" xfId="4661" xr:uid="{00000000-0005-0000-0000-0000530D0000}"/>
    <cellStyle name="Currency 5 5 2 9 2" xfId="13987" xr:uid="{4CE8F2E9-5124-490E-998C-3F8D570EBE95}"/>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5827E83C-B897-4A6D-90C0-4C805961B3CD}"/>
    <cellStyle name="Currency 5 5 3 2 3" xfId="12328" xr:uid="{8D81432A-6260-4A3F-A8BB-841B2B7749D6}"/>
    <cellStyle name="Currency 5 5 3 3" xfId="5074" xr:uid="{00000000-0005-0000-0000-0000570D0000}"/>
    <cellStyle name="Currency 5 5 3 3 2" xfId="14400" xr:uid="{4D333C9C-EB45-4202-9E93-FF249472E006}"/>
    <cellStyle name="Currency 5 5 3 4" xfId="9275" xr:uid="{54783F20-34E5-4A58-80AE-EC7CC69A89C9}"/>
    <cellStyle name="Currency 5 5 3 4 2" xfId="18590" xr:uid="{8042C4CF-BD5F-4C8A-ACD4-685A566FF9A8}"/>
    <cellStyle name="Currency 5 5 3 5" xfId="10183" xr:uid="{4F8DA024-0851-4DF4-9C6C-154FB8AE4265}"/>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246F93E8-FB8B-4D03-BA02-C98DA682ED61}"/>
    <cellStyle name="Currency 5 5 4 2 3" xfId="12741" xr:uid="{8C3120B1-1132-4C34-8472-7944A38F4F60}"/>
    <cellStyle name="Currency 5 5 4 3" xfId="5487" xr:uid="{00000000-0005-0000-0000-00005B0D0000}"/>
    <cellStyle name="Currency 5 5 4 3 2" xfId="14813" xr:uid="{2B143B97-43C3-43AD-A3E3-3983CA3808F3}"/>
    <cellStyle name="Currency 5 5 4 4" xfId="10596" xr:uid="{00E9ED2B-34F5-412B-950F-1A1B21874821}"/>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521D56C7-01D3-4B69-911F-9B09A93C7EE9}"/>
    <cellStyle name="Currency 5 5 5 2 3" xfId="13154" xr:uid="{6DFD41B4-7B46-45F0-9E98-818C96EF3991}"/>
    <cellStyle name="Currency 5 5 5 3" xfId="5900" xr:uid="{00000000-0005-0000-0000-00005F0D0000}"/>
    <cellStyle name="Currency 5 5 5 3 2" xfId="15226" xr:uid="{DC368CA7-C05B-4323-82FE-1CCEE3B97007}"/>
    <cellStyle name="Currency 5 5 5 4" xfId="11009" xr:uid="{5CA97063-29E1-4A18-888F-818B52A9FDD9}"/>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4167C3C8-7EA9-41A9-A80C-F615DBFE845F}"/>
    <cellStyle name="Currency 5 5 6 2 3" xfId="13567" xr:uid="{9DB82B57-DB2D-4E89-B87E-FA888A17B7C0}"/>
    <cellStyle name="Currency 5 5 6 3" xfId="6313" xr:uid="{00000000-0005-0000-0000-0000630D0000}"/>
    <cellStyle name="Currency 5 5 6 3 2" xfId="15639" xr:uid="{C53E4B5A-C8DF-48F5-9CA4-FB0D5267388D}"/>
    <cellStyle name="Currency 5 5 6 4" xfId="11422" xr:uid="{A98D51E2-76AD-4F65-9723-D007EE0D26D1}"/>
    <cellStyle name="Currency 5 5 7" xfId="2442" xr:uid="{00000000-0005-0000-0000-0000640D0000}"/>
    <cellStyle name="Currency 5 5 7 2" xfId="6726" xr:uid="{00000000-0005-0000-0000-0000650D0000}"/>
    <cellStyle name="Currency 5 5 7 2 2" xfId="16052" xr:uid="{EAE0B175-6DEB-45A6-80FC-8C5BA1244703}"/>
    <cellStyle name="Currency 5 5 7 3" xfId="11835" xr:uid="{DBFFA363-A74E-4C40-AF70-69938F7E8F44}"/>
    <cellStyle name="Currency 5 5 8" xfId="2739" xr:uid="{00000000-0005-0000-0000-0000660D0000}"/>
    <cellStyle name="Currency 5 5 9" xfId="2820" xr:uid="{00000000-0005-0000-0000-0000670D0000}"/>
    <cellStyle name="Currency 5 5 9 2" xfId="7043" xr:uid="{00000000-0005-0000-0000-0000680D0000}"/>
    <cellStyle name="Currency 5 5 9 2 2" xfId="16369" xr:uid="{D0873206-5F92-488A-A404-4011A6A48DD7}"/>
    <cellStyle name="Currency 5 5 9 3" xfId="12152" xr:uid="{C618D823-F18A-4A59-9ED8-8B2017BE8FB4}"/>
    <cellStyle name="Currency 5 6" xfId="221" xr:uid="{00000000-0005-0000-0000-0000690D0000}"/>
    <cellStyle name="Currency 5 6 10" xfId="8966" xr:uid="{EC95BD1E-EAA8-4043-BDA7-06F3BBDBC3D5}"/>
    <cellStyle name="Currency 5 6 10 2" xfId="18290" xr:uid="{332D314E-2E7F-4303-9BE8-9CCDF9CE35A6}"/>
    <cellStyle name="Currency 5 6 11" xfId="9771" xr:uid="{7D9CA39F-9DCE-4221-B7B3-2B9A99603ED8}"/>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BD35A6B7-F73C-4C4C-B9E7-A2AF246D54E3}"/>
    <cellStyle name="Currency 5 6 2 2 3" xfId="12330" xr:uid="{39419DC5-CE87-497E-AF33-8CA1D6027A20}"/>
    <cellStyle name="Currency 5 6 2 3" xfId="5076" xr:uid="{00000000-0005-0000-0000-00006D0D0000}"/>
    <cellStyle name="Currency 5 6 2 3 2" xfId="14402" xr:uid="{346A58B0-669D-41B8-BFE8-90365B912221}"/>
    <cellStyle name="Currency 5 6 2 4" xfId="9391" xr:uid="{8CBF3F74-51EC-4402-B96A-0759E6537FC7}"/>
    <cellStyle name="Currency 5 6 2 4 2" xfId="18706" xr:uid="{395276CF-8E3B-4DC7-95D9-78796AAB10FF}"/>
    <cellStyle name="Currency 5 6 2 5" xfId="10185" xr:uid="{8FC3D81C-35C1-447B-85D6-4660AC61BB90}"/>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C9257BB-AF58-4AF6-8E47-C33F9592806F}"/>
    <cellStyle name="Currency 5 6 3 2 3" xfId="12743" xr:uid="{422329A8-3239-49B6-A742-8B2C8D34E89C}"/>
    <cellStyle name="Currency 5 6 3 3" xfId="5489" xr:uid="{00000000-0005-0000-0000-0000710D0000}"/>
    <cellStyle name="Currency 5 6 3 3 2" xfId="14815" xr:uid="{CA31E3AF-3627-419B-B7A2-BDB8DA50FA7F}"/>
    <cellStyle name="Currency 5 6 3 4" xfId="10598" xr:uid="{05F1A8C0-C1CE-4D48-A1E6-C87A44D3B891}"/>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07D77071-B25A-48FE-830B-0DC26FF5F0D2}"/>
    <cellStyle name="Currency 5 6 4 2 3" xfId="13156" xr:uid="{A736E831-F76B-42C0-AFDD-C2D3AD50E9B2}"/>
    <cellStyle name="Currency 5 6 4 3" xfId="5902" xr:uid="{00000000-0005-0000-0000-0000750D0000}"/>
    <cellStyle name="Currency 5 6 4 3 2" xfId="15228" xr:uid="{3BB1B1E0-F906-4DAF-A59F-FFE085D138E2}"/>
    <cellStyle name="Currency 5 6 4 4" xfId="11011" xr:uid="{472F061E-C732-4B5D-B83D-BED21302D620}"/>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BB980E3A-A843-4DF9-94FB-1D7CDD64A069}"/>
    <cellStyle name="Currency 5 6 5 2 3" xfId="13569" xr:uid="{D5E3C50E-1AED-470A-8416-006E1BB5507E}"/>
    <cellStyle name="Currency 5 6 5 3" xfId="6315" xr:uid="{00000000-0005-0000-0000-0000790D0000}"/>
    <cellStyle name="Currency 5 6 5 3 2" xfId="15641" xr:uid="{6137EFA6-D751-45CB-B0E3-F4B6F58388B5}"/>
    <cellStyle name="Currency 5 6 5 4" xfId="11424" xr:uid="{26C46501-78C2-422E-876D-5AA91B5DFFAE}"/>
    <cellStyle name="Currency 5 6 6" xfId="2444" xr:uid="{00000000-0005-0000-0000-00007A0D0000}"/>
    <cellStyle name="Currency 5 6 6 2" xfId="6728" xr:uid="{00000000-0005-0000-0000-00007B0D0000}"/>
    <cellStyle name="Currency 5 6 6 2 2" xfId="16054" xr:uid="{1D5E37B3-C15F-428F-B94E-5959DE192868}"/>
    <cellStyle name="Currency 5 6 6 3" xfId="11837" xr:uid="{D9131FFF-F44C-4B48-AD14-FF87E2C879C8}"/>
    <cellStyle name="Currency 5 6 7" xfId="2741" xr:uid="{00000000-0005-0000-0000-00007C0D0000}"/>
    <cellStyle name="Currency 5 6 8" xfId="2822" xr:uid="{00000000-0005-0000-0000-00007D0D0000}"/>
    <cellStyle name="Currency 5 6 8 2" xfId="7045" xr:uid="{00000000-0005-0000-0000-00007E0D0000}"/>
    <cellStyle name="Currency 5 6 8 2 2" xfId="16371" xr:uid="{F49A85DB-65A8-45D8-8401-596D046DEA38}"/>
    <cellStyle name="Currency 5 6 8 3" xfId="12154" xr:uid="{C03FFD15-1AC2-4482-98A8-1934F3481509}"/>
    <cellStyle name="Currency 5 6 9" xfId="4662" xr:uid="{00000000-0005-0000-0000-00007F0D0000}"/>
    <cellStyle name="Currency 5 6 9 2" xfId="13988" xr:uid="{A29CFB7D-A050-4DBC-971C-86184666FE24}"/>
    <cellStyle name="Currency 5 7" xfId="222" xr:uid="{00000000-0005-0000-0000-0000800D0000}"/>
    <cellStyle name="Currency 5 7 10" xfId="9169" xr:uid="{7A886DE7-136A-429E-90E2-A7C712D111D8}"/>
    <cellStyle name="Currency 5 7 10 2" xfId="18487" xr:uid="{67419FED-1DEC-4D35-93EC-38259C2D8767}"/>
    <cellStyle name="Currency 5 7 11" xfId="9772" xr:uid="{EA5B3110-6EC0-4896-AC59-BFF3DDF1490A}"/>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9C9EFC71-C259-4D37-962D-60C9D1CCA536}"/>
    <cellStyle name="Currency 5 7 2 2 3" xfId="12331" xr:uid="{46EA501F-3B07-49F1-BAD7-F1A2FD39533F}"/>
    <cellStyle name="Currency 5 7 2 3" xfId="5077" xr:uid="{00000000-0005-0000-0000-0000840D0000}"/>
    <cellStyle name="Currency 5 7 2 3 2" xfId="14403" xr:uid="{97620932-96F4-4F39-8720-FFF73D7BF34A}"/>
    <cellStyle name="Currency 5 7 2 4" xfId="9601" xr:uid="{DC93A830-0AF1-4EC4-B764-C728922F3FEF}"/>
    <cellStyle name="Currency 5 7 2 4 2" xfId="18905" xr:uid="{BCE5EDB3-1064-4586-9073-36F95FC6ECEB}"/>
    <cellStyle name="Currency 5 7 2 5" xfId="10186" xr:uid="{8B5F508B-F635-4AAB-86D0-F0B9CCAD4C63}"/>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12BA5EF6-CD63-4EDE-BEDF-AC3C72E8E3C1}"/>
    <cellStyle name="Currency 5 7 3 2 3" xfId="12744" xr:uid="{1520F23C-4FDD-4475-BA94-45CBE91B174B}"/>
    <cellStyle name="Currency 5 7 3 3" xfId="5490" xr:uid="{00000000-0005-0000-0000-0000880D0000}"/>
    <cellStyle name="Currency 5 7 3 3 2" xfId="14816" xr:uid="{DE3431E5-29F1-40D1-AC38-C97B496C92FC}"/>
    <cellStyle name="Currency 5 7 3 4" xfId="10599" xr:uid="{26522C55-5DAE-44D6-B4A9-46C79F750666}"/>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1F665170-F972-4FD4-B318-1467655EBD9F}"/>
    <cellStyle name="Currency 5 7 4 2 3" xfId="13157" xr:uid="{8B371A5A-EB31-4D8B-A585-E999B21D0073}"/>
    <cellStyle name="Currency 5 7 4 3" xfId="5903" xr:uid="{00000000-0005-0000-0000-00008C0D0000}"/>
    <cellStyle name="Currency 5 7 4 3 2" xfId="15229" xr:uid="{AC29DA44-FF7F-40C1-B539-17CC252115CE}"/>
    <cellStyle name="Currency 5 7 4 4" xfId="11012" xr:uid="{297EA7AF-465B-4269-81D7-1781DE431188}"/>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BC85F11D-E776-46D8-BFE4-A86D16E263ED}"/>
    <cellStyle name="Currency 5 7 5 2 3" xfId="13570" xr:uid="{098D5E49-0C04-43E1-8398-825DF090EF1C}"/>
    <cellStyle name="Currency 5 7 5 3" xfId="6316" xr:uid="{00000000-0005-0000-0000-0000900D0000}"/>
    <cellStyle name="Currency 5 7 5 3 2" xfId="15642" xr:uid="{FB887B42-23C4-4EB5-91D6-237AF1C7F382}"/>
    <cellStyle name="Currency 5 7 5 4" xfId="11425" xr:uid="{11F1B927-EC3A-4DCA-BB2C-41A8682C2284}"/>
    <cellStyle name="Currency 5 7 6" xfId="2445" xr:uid="{00000000-0005-0000-0000-0000910D0000}"/>
    <cellStyle name="Currency 5 7 6 2" xfId="6729" xr:uid="{00000000-0005-0000-0000-0000920D0000}"/>
    <cellStyle name="Currency 5 7 6 2 2" xfId="16055" xr:uid="{58B261E3-00FF-417E-B86B-1D4175C46228}"/>
    <cellStyle name="Currency 5 7 6 3" xfId="11838" xr:uid="{B75C844B-6A07-4938-BF1D-DA5CBC861338}"/>
    <cellStyle name="Currency 5 7 7" xfId="2742" xr:uid="{00000000-0005-0000-0000-0000930D0000}"/>
    <cellStyle name="Currency 5 7 8" xfId="2823" xr:uid="{00000000-0005-0000-0000-0000940D0000}"/>
    <cellStyle name="Currency 5 7 8 2" xfId="7046" xr:uid="{00000000-0005-0000-0000-0000950D0000}"/>
    <cellStyle name="Currency 5 7 8 2 2" xfId="16372" xr:uid="{B5D8704B-21BB-4E36-B9E6-71A1EF300A6B}"/>
    <cellStyle name="Currency 5 7 8 3" xfId="12155" xr:uid="{521C2C30-9A4F-45FC-BA0D-C880D807A1D7}"/>
    <cellStyle name="Currency 5 7 9" xfId="4663" xr:uid="{00000000-0005-0000-0000-0000960D0000}"/>
    <cellStyle name="Currency 5 7 9 2" xfId="13989" xr:uid="{2083673A-F9CB-4ACB-BE5C-2C563A94DC0F}"/>
    <cellStyle name="Currency 5 8" xfId="721" xr:uid="{00000000-0005-0000-0000-0000970D0000}"/>
    <cellStyle name="Currency 5 9" xfId="8747" xr:uid="{CCFF1C6E-BA46-44B7-A8DD-B170160D04FF}"/>
    <cellStyle name="Currency 5 9 2" xfId="18071" xr:uid="{BC5CAA74-9DEB-4A9B-86BF-2A2E1DBE1C8B}"/>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0CF4E501-6AD4-4D93-97D4-D49D2D56EEC2}"/>
    <cellStyle name="Normal 12 10 3" xfId="11839" xr:uid="{02F177FB-6342-4C6A-B76B-B94C073B464E}"/>
    <cellStyle name="Normal 12 11" xfId="4664" xr:uid="{00000000-0005-0000-0000-0000CC0D0000}"/>
    <cellStyle name="Normal 12 11 2" xfId="13990" xr:uid="{D22FC775-121D-4A72-A0C7-DCAC8E110D50}"/>
    <cellStyle name="Normal 12 12" xfId="8770" xr:uid="{16E7F001-A88D-4413-825E-78352A31064A}"/>
    <cellStyle name="Normal 12 12 2" xfId="18094" xr:uid="{9B0E1F1F-D530-42A0-A31D-C8DAC2934C11}"/>
    <cellStyle name="Normal 12 13" xfId="9773" xr:uid="{96FEED97-2FE1-4054-A677-54AC7F476CCE}"/>
    <cellStyle name="Normal 12 2" xfId="260" xr:uid="{00000000-0005-0000-0000-0000CD0D0000}"/>
    <cellStyle name="Normal 12 2 10" xfId="8811" xr:uid="{C610EFA7-DF28-475D-A7AA-61B6675A083B}"/>
    <cellStyle name="Normal 12 2 10 2" xfId="18135" xr:uid="{404BE420-3BF3-47FF-9116-FFEFB782B27B}"/>
    <cellStyle name="Normal 12 2 11" xfId="9774" xr:uid="{5BC2427D-EF05-4A6B-85CD-A4B3F481CEBB}"/>
    <cellStyle name="Normal 12 2 2" xfId="261" xr:uid="{00000000-0005-0000-0000-0000CE0D0000}"/>
    <cellStyle name="Normal 12 2 2 10" xfId="9775" xr:uid="{248FE306-11A3-464F-8858-B23882228F28}"/>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082E57EC-EDF5-466F-A170-41932275C453}"/>
    <cellStyle name="Normal 12 2 2 2 2 2 3" xfId="12335" xr:uid="{246D4178-DC80-4AE4-BDFA-90EBD7F88FC1}"/>
    <cellStyle name="Normal 12 2 2 2 2 3" xfId="5081" xr:uid="{00000000-0005-0000-0000-0000D30D0000}"/>
    <cellStyle name="Normal 12 2 2 2 2 3 2" xfId="14407" xr:uid="{B39CBAEF-314F-4C1F-B5F4-FF52AF17C4DD}"/>
    <cellStyle name="Normal 12 2 2 2 2 4" xfId="9546" xr:uid="{609DE280-4DA3-4355-9F1C-9E01708347EA}"/>
    <cellStyle name="Normal 12 2 2 2 2 4 2" xfId="18861" xr:uid="{CAAC03A4-1CAD-42DE-A33A-387DA74FA6EA}"/>
    <cellStyle name="Normal 12 2 2 2 2 5" xfId="10190" xr:uid="{5DB87AF5-6861-49FE-BBC0-B1AF11441E0C}"/>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2E860949-6216-4171-8C0A-809B76A693B5}"/>
    <cellStyle name="Normal 12 2 2 2 3 2 3" xfId="12748" xr:uid="{B73B08FD-E59F-45F7-BB8C-2D74430DBD94}"/>
    <cellStyle name="Normal 12 2 2 2 3 3" xfId="5494" xr:uid="{00000000-0005-0000-0000-0000D70D0000}"/>
    <cellStyle name="Normal 12 2 2 2 3 3 2" xfId="14820" xr:uid="{B388C0B6-4F07-4724-A3C4-4C8D6B428845}"/>
    <cellStyle name="Normal 12 2 2 2 3 4" xfId="10603" xr:uid="{1EB10F3A-3502-4226-A41C-B49A7123C9CE}"/>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E73F618F-92CA-44F2-AEE2-57917E92433E}"/>
    <cellStyle name="Normal 12 2 2 2 4 2 3" xfId="13161" xr:uid="{C7720A78-4950-47F3-996D-2D84BFED1378}"/>
    <cellStyle name="Normal 12 2 2 2 4 3" xfId="5907" xr:uid="{00000000-0005-0000-0000-0000DB0D0000}"/>
    <cellStyle name="Normal 12 2 2 2 4 3 2" xfId="15233" xr:uid="{39264E5C-5F46-4B7C-87C9-AABFB47045FE}"/>
    <cellStyle name="Normal 12 2 2 2 4 4" xfId="11016" xr:uid="{CF295723-3E5E-499C-9360-75997AE194F5}"/>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AAC90DDF-97D6-431F-A7E0-687D6F20EA52}"/>
    <cellStyle name="Normal 12 2 2 2 5 2 3" xfId="13574" xr:uid="{8239748B-66A1-415B-8F5A-07B8D4F58A43}"/>
    <cellStyle name="Normal 12 2 2 2 5 3" xfId="6320" xr:uid="{00000000-0005-0000-0000-0000DF0D0000}"/>
    <cellStyle name="Normal 12 2 2 2 5 3 2" xfId="15646" xr:uid="{A7E485D5-45FF-4C56-A20B-CC11FE0AAD72}"/>
    <cellStyle name="Normal 12 2 2 2 5 4" xfId="11429" xr:uid="{3535C39B-8935-4628-89CE-644E32FAF532}"/>
    <cellStyle name="Normal 12 2 2 2 6" xfId="2450" xr:uid="{00000000-0005-0000-0000-0000E00D0000}"/>
    <cellStyle name="Normal 12 2 2 2 6 2" xfId="6733" xr:uid="{00000000-0005-0000-0000-0000E10D0000}"/>
    <cellStyle name="Normal 12 2 2 2 6 2 2" xfId="16059" xr:uid="{FF15313D-2CD2-46CC-B6E1-C4E378985C6A}"/>
    <cellStyle name="Normal 12 2 2 2 6 3" xfId="11842" xr:uid="{3974DAA6-984A-4C29-9921-0FFE7FF2B40E}"/>
    <cellStyle name="Normal 12 2 2 2 7" xfId="4667" xr:uid="{00000000-0005-0000-0000-0000E20D0000}"/>
    <cellStyle name="Normal 12 2 2 2 7 2" xfId="13993" xr:uid="{4C8FFB79-6E0B-41C9-9784-A1B5D339A4D1}"/>
    <cellStyle name="Normal 12 2 2 2 8" xfId="9121" xr:uid="{527C15BB-BE4D-46AB-9317-CC8E6838C91D}"/>
    <cellStyle name="Normal 12 2 2 2 8 2" xfId="18445" xr:uid="{AD8E8FEC-41DE-49A4-8FB4-B4E101791841}"/>
    <cellStyle name="Normal 12 2 2 2 9" xfId="9776" xr:uid="{FAB9B216-4E63-4E8D-BA41-FBD6F8808BA4}"/>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591D0378-779E-4738-9517-43D9A1231C95}"/>
    <cellStyle name="Normal 12 2 2 3 2 3" xfId="12334" xr:uid="{F6A08AEB-FAC4-4238-A144-62090D111DEC}"/>
    <cellStyle name="Normal 12 2 2 3 3" xfId="5080" xr:uid="{00000000-0005-0000-0000-0000E60D0000}"/>
    <cellStyle name="Normal 12 2 2 3 3 2" xfId="14406" xr:uid="{D419F1A1-AF92-4069-894B-1356F721251B}"/>
    <cellStyle name="Normal 12 2 2 3 4" xfId="9339" xr:uid="{F3F800C1-92DF-4F1F-A561-C3F3C7F8BAD1}"/>
    <cellStyle name="Normal 12 2 2 3 4 2" xfId="18654" xr:uid="{0F57F7E5-4F6C-4652-9B01-33105958AD7A}"/>
    <cellStyle name="Normal 12 2 2 3 5" xfId="10189" xr:uid="{B636B219-95E7-434E-A8C7-1C8B227ECC52}"/>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1FB96E7A-72AA-4EF0-90A7-A3285FB3F5C0}"/>
    <cellStyle name="Normal 12 2 2 4 2 3" xfId="12747" xr:uid="{CAA3F012-449B-498C-8812-A5A94C0A1DE0}"/>
    <cellStyle name="Normal 12 2 2 4 3" xfId="5493" xr:uid="{00000000-0005-0000-0000-0000EA0D0000}"/>
    <cellStyle name="Normal 12 2 2 4 3 2" xfId="14819" xr:uid="{E32B7D40-B4B7-41B7-9C98-AFCBECFC401B}"/>
    <cellStyle name="Normal 12 2 2 4 4" xfId="10602" xr:uid="{12C06745-97A7-4D0F-8706-0B36C686910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C6DF34B1-A4D7-4688-905F-318541BAF4A5}"/>
    <cellStyle name="Normal 12 2 2 5 2 3" xfId="13160" xr:uid="{16D69439-EC2B-420E-A45D-BC70C2E9C546}"/>
    <cellStyle name="Normal 12 2 2 5 3" xfId="5906" xr:uid="{00000000-0005-0000-0000-0000EE0D0000}"/>
    <cellStyle name="Normal 12 2 2 5 3 2" xfId="15232" xr:uid="{61F3D182-43E6-466A-9A3A-B2B6B7DB87E4}"/>
    <cellStyle name="Normal 12 2 2 5 4" xfId="11015" xr:uid="{3390A008-C478-48E0-868D-60C61E514485}"/>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59975FAA-201F-4D89-82C8-3E3FFDD5FA23}"/>
    <cellStyle name="Normal 12 2 2 6 2 3" xfId="13573" xr:uid="{BBFA3339-8AAB-45F7-9DC9-C20517B1D1BC}"/>
    <cellStyle name="Normal 12 2 2 6 3" xfId="6319" xr:uid="{00000000-0005-0000-0000-0000F20D0000}"/>
    <cellStyle name="Normal 12 2 2 6 3 2" xfId="15645" xr:uid="{2FCF301E-7FA1-4E13-8888-5BE7B3459FA7}"/>
    <cellStyle name="Normal 12 2 2 6 4" xfId="11428" xr:uid="{0D09306A-493D-40BE-8E61-27134BBC470D}"/>
    <cellStyle name="Normal 12 2 2 7" xfId="2449" xr:uid="{00000000-0005-0000-0000-0000F30D0000}"/>
    <cellStyle name="Normal 12 2 2 7 2" xfId="6732" xr:uid="{00000000-0005-0000-0000-0000F40D0000}"/>
    <cellStyle name="Normal 12 2 2 7 2 2" xfId="16058" xr:uid="{46B341D3-4C4D-4F0B-8272-7E34BC857C73}"/>
    <cellStyle name="Normal 12 2 2 7 3" xfId="11841" xr:uid="{FE18BE2C-AE11-481F-B802-909FB91CB070}"/>
    <cellStyle name="Normal 12 2 2 8" xfId="4666" xr:uid="{00000000-0005-0000-0000-0000F50D0000}"/>
    <cellStyle name="Normal 12 2 2 8 2" xfId="13992" xr:uid="{E9F34372-CD7E-4CE8-98AA-959A083BE636}"/>
    <cellStyle name="Normal 12 2 2 9" xfId="8914" xr:uid="{85903DBC-FA0A-4A9D-9FB4-BA36A4B6F510}"/>
    <cellStyle name="Normal 12 2 2 9 2" xfId="18238" xr:uid="{6FAA0BC8-79F0-467B-B04C-60EE2580FA8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64DDD277-8F5B-4785-A811-EB05C8AE24B8}"/>
    <cellStyle name="Normal 12 2 3 2 2 3" xfId="12336" xr:uid="{EF60FCD2-3836-4367-8FD9-5C28C696D1D8}"/>
    <cellStyle name="Normal 12 2 3 2 3" xfId="5082" xr:uid="{00000000-0005-0000-0000-0000FA0D0000}"/>
    <cellStyle name="Normal 12 2 3 2 3 2" xfId="14408" xr:uid="{0CD4F66C-772D-44B3-93C0-06CB11780198}"/>
    <cellStyle name="Normal 12 2 3 2 4" xfId="9443" xr:uid="{61F0A971-1285-4215-8170-49D07520551A}"/>
    <cellStyle name="Normal 12 2 3 2 4 2" xfId="18758" xr:uid="{3B34407A-B31C-4BA7-85CB-918F0092328E}"/>
    <cellStyle name="Normal 12 2 3 2 5" xfId="10191" xr:uid="{50D3A8CF-5AAA-44B2-964B-2E2A73706954}"/>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6234DC99-2A04-4A8A-A7D9-8E81F6DA7EEA}"/>
    <cellStyle name="Normal 12 2 3 3 2 3" xfId="12749" xr:uid="{7B851057-F54B-4B26-AAE7-5991F802F190}"/>
    <cellStyle name="Normal 12 2 3 3 3" xfId="5495" xr:uid="{00000000-0005-0000-0000-0000FE0D0000}"/>
    <cellStyle name="Normal 12 2 3 3 3 2" xfId="14821" xr:uid="{8A78529D-E81C-4C94-A753-35317E9D19F3}"/>
    <cellStyle name="Normal 12 2 3 3 4" xfId="10604" xr:uid="{71F5F6A9-43E1-4367-A85C-76930B924E26}"/>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7ADE96EC-1273-4791-BC2E-05B35AD9DFB1}"/>
    <cellStyle name="Normal 12 2 3 4 2 3" xfId="13162" xr:uid="{3D211123-7836-48B3-971B-52088AC85BA2}"/>
    <cellStyle name="Normal 12 2 3 4 3" xfId="5908" xr:uid="{00000000-0005-0000-0000-0000020E0000}"/>
    <cellStyle name="Normal 12 2 3 4 3 2" xfId="15234" xr:uid="{833913E8-FCD9-400B-9B87-BBCBDF75517C}"/>
    <cellStyle name="Normal 12 2 3 4 4" xfId="11017" xr:uid="{770DBD91-8FB6-4BE8-9AA9-38F1363AF914}"/>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97AEC864-E61E-47BC-A336-B83633F245AC}"/>
    <cellStyle name="Normal 12 2 3 5 2 3" xfId="13575" xr:uid="{7F0E50C3-55EB-4F94-BC6F-00634CA7AE40}"/>
    <cellStyle name="Normal 12 2 3 5 3" xfId="6321" xr:uid="{00000000-0005-0000-0000-0000060E0000}"/>
    <cellStyle name="Normal 12 2 3 5 3 2" xfId="15647" xr:uid="{50CE28EE-2A9C-4C0B-BB12-66DBA0D4A641}"/>
    <cellStyle name="Normal 12 2 3 5 4" xfId="11430" xr:uid="{41874907-47F5-4E32-9E91-5D2C8DA55D98}"/>
    <cellStyle name="Normal 12 2 3 6" xfId="2451" xr:uid="{00000000-0005-0000-0000-0000070E0000}"/>
    <cellStyle name="Normal 12 2 3 6 2" xfId="6734" xr:uid="{00000000-0005-0000-0000-0000080E0000}"/>
    <cellStyle name="Normal 12 2 3 6 2 2" xfId="16060" xr:uid="{15157645-8ACD-4B01-AB8A-464559010A01}"/>
    <cellStyle name="Normal 12 2 3 6 3" xfId="11843" xr:uid="{5B9BA8F5-1260-4023-9FCB-88E671B37586}"/>
    <cellStyle name="Normal 12 2 3 7" xfId="4668" xr:uid="{00000000-0005-0000-0000-0000090E0000}"/>
    <cellStyle name="Normal 12 2 3 7 2" xfId="13994" xr:uid="{C900309F-1988-49F7-B48B-FB2DCD60CDCC}"/>
    <cellStyle name="Normal 12 2 3 8" xfId="9018" xr:uid="{C3F41DC6-3A80-4145-A68D-169ABB54B6D0}"/>
    <cellStyle name="Normal 12 2 3 8 2" xfId="18342" xr:uid="{46D96ED2-0B77-43E5-A17B-CE8B852CD78F}"/>
    <cellStyle name="Normal 12 2 3 9" xfId="9777" xr:uid="{86432F94-5949-4304-8C66-F65FA6E09E73}"/>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3D2D5167-881E-415E-8914-B90BC4B9A86E}"/>
    <cellStyle name="Normal 12 2 4 2 3" xfId="12333" xr:uid="{F2C37041-A973-4A7F-A26B-1FC2253F6505}"/>
    <cellStyle name="Normal 12 2 4 3" xfId="5079" xr:uid="{00000000-0005-0000-0000-00000D0E0000}"/>
    <cellStyle name="Normal 12 2 4 3 2" xfId="14405" xr:uid="{9A1C20F5-F525-42FA-A25F-C1F17F6F6366}"/>
    <cellStyle name="Normal 12 2 4 4" xfId="9236" xr:uid="{C3D0196D-4BB3-4870-9762-A3CF40E5B45B}"/>
    <cellStyle name="Normal 12 2 4 4 2" xfId="18551" xr:uid="{03F8D208-07E0-47D0-AC0F-DA47EFF02D90}"/>
    <cellStyle name="Normal 12 2 4 5" xfId="10188" xr:uid="{AF9F8156-089C-41AF-90A5-65632919D6A7}"/>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542DA3A9-2663-46A7-9844-6D9F229B157F}"/>
    <cellStyle name="Normal 12 2 5 2 3" xfId="12746" xr:uid="{387AA6E5-6D80-4AEB-A39D-BFCC3ABA49F0}"/>
    <cellStyle name="Normal 12 2 5 3" xfId="5492" xr:uid="{00000000-0005-0000-0000-0000110E0000}"/>
    <cellStyle name="Normal 12 2 5 3 2" xfId="14818" xr:uid="{B45527BA-A53C-45F3-94A4-F67C645E10B6}"/>
    <cellStyle name="Normal 12 2 5 4" xfId="10601" xr:uid="{CAE8FC23-9021-460D-867B-6B2EA10E9604}"/>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18BB384C-E8BE-4D2E-92A8-273C425ADB23}"/>
    <cellStyle name="Normal 12 2 6 2 3" xfId="13159" xr:uid="{14FAD012-392E-4D71-BACE-945DF237E852}"/>
    <cellStyle name="Normal 12 2 6 3" xfId="5905" xr:uid="{00000000-0005-0000-0000-0000150E0000}"/>
    <cellStyle name="Normal 12 2 6 3 2" xfId="15231" xr:uid="{5CB0B7EB-E153-4DF7-A70C-577761381F5E}"/>
    <cellStyle name="Normal 12 2 6 4" xfId="11014" xr:uid="{8A0D7A71-5139-4B60-B1CF-BBCED8CE6000}"/>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76D3C3D5-D7C2-4DC6-BEBD-A10402679036}"/>
    <cellStyle name="Normal 12 2 7 2 3" xfId="13572" xr:uid="{EFD33D0C-2D6A-4993-A7D3-7CA601922D70}"/>
    <cellStyle name="Normal 12 2 7 3" xfId="6318" xr:uid="{00000000-0005-0000-0000-0000190E0000}"/>
    <cellStyle name="Normal 12 2 7 3 2" xfId="15644" xr:uid="{D7DFECAA-DCE7-4AE0-92B6-4620E9534AE3}"/>
    <cellStyle name="Normal 12 2 7 4" xfId="11427" xr:uid="{572A4A5C-B0D9-49AE-B145-13341B61A941}"/>
    <cellStyle name="Normal 12 2 8" xfId="2448" xr:uid="{00000000-0005-0000-0000-00001A0E0000}"/>
    <cellStyle name="Normal 12 2 8 2" xfId="6731" xr:uid="{00000000-0005-0000-0000-00001B0E0000}"/>
    <cellStyle name="Normal 12 2 8 2 2" xfId="16057" xr:uid="{830D7556-F94F-473E-9340-2102A4833A6B}"/>
    <cellStyle name="Normal 12 2 8 3" xfId="11840" xr:uid="{F63159E0-BCE3-483E-BAED-6831C833E38A}"/>
    <cellStyle name="Normal 12 2 9" xfId="4665" xr:uid="{00000000-0005-0000-0000-00001C0E0000}"/>
    <cellStyle name="Normal 12 2 9 2" xfId="13991" xr:uid="{17274617-8C78-46B7-A122-A1C38AFCD8F0}"/>
    <cellStyle name="Normal 12 3" xfId="264" xr:uid="{00000000-0005-0000-0000-00001D0E0000}"/>
    <cellStyle name="Normal 12 3 10" xfId="9778" xr:uid="{E0BF9A9F-8506-4E3A-804B-03637AD61EF4}"/>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166E8688-04AE-4FF3-9BD9-30743C557605}"/>
    <cellStyle name="Normal 12 3 2 2 2 3" xfId="12338" xr:uid="{BBFB12D9-E72B-4FB5-9044-089D6BFB8957}"/>
    <cellStyle name="Normal 12 3 2 2 3" xfId="5084" xr:uid="{00000000-0005-0000-0000-0000220E0000}"/>
    <cellStyle name="Normal 12 3 2 2 3 2" xfId="14410" xr:uid="{34A19A00-AF9C-4BA8-840E-7EC24B5B2533}"/>
    <cellStyle name="Normal 12 3 2 2 4" xfId="9505" xr:uid="{B127619B-367D-40AD-851E-01DDBB2DCD13}"/>
    <cellStyle name="Normal 12 3 2 2 4 2" xfId="18820" xr:uid="{9D7BE52E-ABE1-4795-8054-E5C5CBA2147C}"/>
    <cellStyle name="Normal 12 3 2 2 5" xfId="10193" xr:uid="{1C9FB68F-3D74-447F-9217-F228C263B56C}"/>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2085B953-F6B8-4FFF-9F63-003C31CCC828}"/>
    <cellStyle name="Normal 12 3 2 3 2 3" xfId="12751" xr:uid="{84CA663B-5113-4021-A32F-6243BB358048}"/>
    <cellStyle name="Normal 12 3 2 3 3" xfId="5497" xr:uid="{00000000-0005-0000-0000-0000260E0000}"/>
    <cellStyle name="Normal 12 3 2 3 3 2" xfId="14823" xr:uid="{78536B74-88D6-4FB5-9FA8-C8FE32D2086E}"/>
    <cellStyle name="Normal 12 3 2 3 4" xfId="10606" xr:uid="{593F9724-3ECA-4F57-ACE9-D75939074DA1}"/>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91DC7693-2F4B-4981-BE5F-A4F844BDE0C6}"/>
    <cellStyle name="Normal 12 3 2 4 2 3" xfId="13164" xr:uid="{BE226BDD-7F15-430D-8A25-D0EBB97F72CF}"/>
    <cellStyle name="Normal 12 3 2 4 3" xfId="5910" xr:uid="{00000000-0005-0000-0000-00002A0E0000}"/>
    <cellStyle name="Normal 12 3 2 4 3 2" xfId="15236" xr:uid="{F9D737CC-D3FA-4E7A-B343-D60D28A70012}"/>
    <cellStyle name="Normal 12 3 2 4 4" xfId="11019" xr:uid="{0BE9B9AB-D127-460C-9FD3-A563E45472A5}"/>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7DF862E5-5CEA-4FDC-BB8C-EEC2C3246238}"/>
    <cellStyle name="Normal 12 3 2 5 2 3" xfId="13577" xr:uid="{4019BF34-D108-4B81-8169-B876A1CFA5DB}"/>
    <cellStyle name="Normal 12 3 2 5 3" xfId="6323" xr:uid="{00000000-0005-0000-0000-00002E0E0000}"/>
    <cellStyle name="Normal 12 3 2 5 3 2" xfId="15649" xr:uid="{95918538-AB75-4165-B5B5-8257E91FB7A2}"/>
    <cellStyle name="Normal 12 3 2 5 4" xfId="11432" xr:uid="{6F71080C-727B-485A-B211-41B395FDA0E3}"/>
    <cellStyle name="Normal 12 3 2 6" xfId="2453" xr:uid="{00000000-0005-0000-0000-00002F0E0000}"/>
    <cellStyle name="Normal 12 3 2 6 2" xfId="6736" xr:uid="{00000000-0005-0000-0000-0000300E0000}"/>
    <cellStyle name="Normal 12 3 2 6 2 2" xfId="16062" xr:uid="{6A904E8A-0EC7-49CF-9496-11E070336967}"/>
    <cellStyle name="Normal 12 3 2 6 3" xfId="11845" xr:uid="{01B94E39-5E3F-4F84-9643-264046553AC0}"/>
    <cellStyle name="Normal 12 3 2 7" xfId="4670" xr:uid="{00000000-0005-0000-0000-0000310E0000}"/>
    <cellStyle name="Normal 12 3 2 7 2" xfId="13996" xr:uid="{A52ECA78-9DD3-48E5-BE9D-8CB5BB6425D5}"/>
    <cellStyle name="Normal 12 3 2 8" xfId="9080" xr:uid="{403F3083-4A9F-4295-B676-C31241B8936E}"/>
    <cellStyle name="Normal 12 3 2 8 2" xfId="18404" xr:uid="{E97A741C-A895-4425-B7C3-A50038A022F0}"/>
    <cellStyle name="Normal 12 3 2 9" xfId="9779" xr:uid="{FDB06A4F-1286-4413-A33F-9FF55D6D15AE}"/>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5B5433AD-1C88-45B0-9096-F9DE7A117297}"/>
    <cellStyle name="Normal 12 3 3 2 3" xfId="12337" xr:uid="{77D76EDB-4E9C-448F-A67C-381836AC53BE}"/>
    <cellStyle name="Normal 12 3 3 3" xfId="5083" xr:uid="{00000000-0005-0000-0000-0000350E0000}"/>
    <cellStyle name="Normal 12 3 3 3 2" xfId="14409" xr:uid="{A81B99A5-3F47-4FF2-9454-774C12A38B6C}"/>
    <cellStyle name="Normal 12 3 3 4" xfId="9298" xr:uid="{A6F9D711-F86A-406D-B160-91678C261745}"/>
    <cellStyle name="Normal 12 3 3 4 2" xfId="18613" xr:uid="{AA6568C6-AEC8-41D8-AD69-6CEA8280EE60}"/>
    <cellStyle name="Normal 12 3 3 5" xfId="10192" xr:uid="{33DC3E39-79FF-4615-8C7E-17E919E91B87}"/>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C1C65DEB-969D-42E1-9424-532AEA52001D}"/>
    <cellStyle name="Normal 12 3 4 2 3" xfId="12750" xr:uid="{27DE7B40-053D-4891-BD25-37273B25F6D3}"/>
    <cellStyle name="Normal 12 3 4 3" xfId="5496" xr:uid="{00000000-0005-0000-0000-0000390E0000}"/>
    <cellStyle name="Normal 12 3 4 3 2" xfId="14822" xr:uid="{4621FD35-5CC6-412F-A945-4DACE850B220}"/>
    <cellStyle name="Normal 12 3 4 4" xfId="10605" xr:uid="{70DB2872-FF9C-426E-B607-056EE8DDC07F}"/>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7F8716F3-F3B5-4DEC-A3A1-2827C979B78D}"/>
    <cellStyle name="Normal 12 3 5 2 3" xfId="13163" xr:uid="{DDF3AC52-5231-4CE0-8E21-8CE842388739}"/>
    <cellStyle name="Normal 12 3 5 3" xfId="5909" xr:uid="{00000000-0005-0000-0000-00003D0E0000}"/>
    <cellStyle name="Normal 12 3 5 3 2" xfId="15235" xr:uid="{D650A5F4-BB7F-44D4-A64B-1428B95C9FC5}"/>
    <cellStyle name="Normal 12 3 5 4" xfId="11018" xr:uid="{344C12B5-B1A5-480E-8CDE-9C582F54B8DE}"/>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A7062F3E-559D-44E0-8DD5-98C242BA7BA4}"/>
    <cellStyle name="Normal 12 3 6 2 3" xfId="13576" xr:uid="{083600A5-910D-4517-A1E3-70404DCEB39F}"/>
    <cellStyle name="Normal 12 3 6 3" xfId="6322" xr:uid="{00000000-0005-0000-0000-0000410E0000}"/>
    <cellStyle name="Normal 12 3 6 3 2" xfId="15648" xr:uid="{CEFCC585-A1B5-46BC-B772-465918A87D1F}"/>
    <cellStyle name="Normal 12 3 6 4" xfId="11431" xr:uid="{6FA74A90-C189-4230-AFBF-8CD23364A11B}"/>
    <cellStyle name="Normal 12 3 7" xfId="2452" xr:uid="{00000000-0005-0000-0000-0000420E0000}"/>
    <cellStyle name="Normal 12 3 7 2" xfId="6735" xr:uid="{00000000-0005-0000-0000-0000430E0000}"/>
    <cellStyle name="Normal 12 3 7 2 2" xfId="16061" xr:uid="{964153E1-A3D9-46C4-AD20-74B7CD4FBAEC}"/>
    <cellStyle name="Normal 12 3 7 3" xfId="11844" xr:uid="{0F1BED74-EC57-457B-8451-D24356D9F9B8}"/>
    <cellStyle name="Normal 12 3 8" xfId="4669" xr:uid="{00000000-0005-0000-0000-0000440E0000}"/>
    <cellStyle name="Normal 12 3 8 2" xfId="13995" xr:uid="{677E1F06-65C4-46CC-8B5C-0F692167A454}"/>
    <cellStyle name="Normal 12 3 9" xfId="8873" xr:uid="{72AE7E6C-F254-4BFC-80A7-F73848FA4F21}"/>
    <cellStyle name="Normal 12 3 9 2" xfId="18197" xr:uid="{B4488B48-A678-41B3-8E84-1DFDB2F3D0F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A812480D-1897-4BA1-A673-CFCF6043CCC4}"/>
    <cellStyle name="Normal 12 4 2 2 3" xfId="12339" xr:uid="{2A21BE1D-C3C1-42B8-9BB0-177A1C75AB8E}"/>
    <cellStyle name="Normal 12 4 2 3" xfId="5085" xr:uid="{00000000-0005-0000-0000-0000490E0000}"/>
    <cellStyle name="Normal 12 4 2 3 2" xfId="14411" xr:uid="{67F672EF-918A-419D-B98B-5654F254B215}"/>
    <cellStyle name="Normal 12 4 2 4" xfId="9402" xr:uid="{F40C9AB7-F4D0-4A65-BBAA-FF5409160FE5}"/>
    <cellStyle name="Normal 12 4 2 4 2" xfId="18717" xr:uid="{7340BABC-9D3B-45A4-BD14-AC33A7326E3D}"/>
    <cellStyle name="Normal 12 4 2 5" xfId="10194" xr:uid="{3A399467-07BC-4DF5-9956-7D9F942C594F}"/>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16639124-DFBE-4012-B22B-DCFCDA83DED0}"/>
    <cellStyle name="Normal 12 4 3 2 3" xfId="12752" xr:uid="{9E37CEF7-E33F-4FC8-BDF5-E726CE30A40C}"/>
    <cellStyle name="Normal 12 4 3 3" xfId="5498" xr:uid="{00000000-0005-0000-0000-00004D0E0000}"/>
    <cellStyle name="Normal 12 4 3 3 2" xfId="14824" xr:uid="{53C1AB5D-3871-4249-B5B4-C08396FCBBEF}"/>
    <cellStyle name="Normal 12 4 3 4" xfId="10607" xr:uid="{C4F96823-4999-4ED5-90E9-E162450D4FB4}"/>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34BBFFFC-BDD3-44D7-8C07-756E55F6BA0B}"/>
    <cellStyle name="Normal 12 4 4 2 3" xfId="13165" xr:uid="{6E096906-65E8-47F9-9A05-8EFD736616C6}"/>
    <cellStyle name="Normal 12 4 4 3" xfId="5911" xr:uid="{00000000-0005-0000-0000-0000510E0000}"/>
    <cellStyle name="Normal 12 4 4 3 2" xfId="15237" xr:uid="{D18E0700-5E33-467A-BC82-A58B9B29E792}"/>
    <cellStyle name="Normal 12 4 4 4" xfId="11020" xr:uid="{0D71E171-5BA4-4BB9-B1AB-624762D33843}"/>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F7C79041-0DF2-44C7-8517-FB56198DAC21}"/>
    <cellStyle name="Normal 12 4 5 2 3" xfId="13578" xr:uid="{55C08B4B-47F0-448F-A94E-CAFAB9E51D73}"/>
    <cellStyle name="Normal 12 4 5 3" xfId="6324" xr:uid="{00000000-0005-0000-0000-0000550E0000}"/>
    <cellStyle name="Normal 12 4 5 3 2" xfId="15650" xr:uid="{431BDC71-5FBA-4E03-AE87-8500462EDF81}"/>
    <cellStyle name="Normal 12 4 5 4" xfId="11433" xr:uid="{6502CE25-1384-4425-8AB9-EC7D4D0E31B5}"/>
    <cellStyle name="Normal 12 4 6" xfId="2454" xr:uid="{00000000-0005-0000-0000-0000560E0000}"/>
    <cellStyle name="Normal 12 4 6 2" xfId="6737" xr:uid="{00000000-0005-0000-0000-0000570E0000}"/>
    <cellStyle name="Normal 12 4 6 2 2" xfId="16063" xr:uid="{40466C2A-CA88-4FC5-ABB9-9CDCA175318E}"/>
    <cellStyle name="Normal 12 4 6 3" xfId="11846" xr:uid="{F36E74C2-2DE2-4C5D-B404-CFD97D1FB20B}"/>
    <cellStyle name="Normal 12 4 7" xfId="4671" xr:uid="{00000000-0005-0000-0000-0000580E0000}"/>
    <cellStyle name="Normal 12 4 7 2" xfId="13997" xr:uid="{106735EA-A9DD-4E2E-8175-3FC970A70B3E}"/>
    <cellStyle name="Normal 12 4 8" xfId="8977" xr:uid="{5BFFE5F3-99F6-4DA1-A3EF-BF749B3B7ACB}"/>
    <cellStyle name="Normal 12 4 8 2" xfId="18301" xr:uid="{CF51050C-B375-4385-8238-BECECF4FBAA3}"/>
    <cellStyle name="Normal 12 4 9" xfId="9780" xr:uid="{F15A77CA-3188-4BDB-B5BA-4413B259135F}"/>
    <cellStyle name="Normal 12 5" xfId="267" xr:uid="{00000000-0005-0000-0000-0000590E0000}"/>
    <cellStyle name="Normal 12 5 2" xfId="9579" xr:uid="{43940F87-8803-4E34-B3E0-736FAF89CA32}"/>
    <cellStyle name="Normal 12 5 2 2" xfId="18894" xr:uid="{8DEAAE20-EAED-4798-861B-3FDD3A299F7F}"/>
    <cellStyle name="Normal 12 5 3" xfId="9586" xr:uid="{72B01073-C2DA-4DF8-9E0D-6932F6AF67FF}"/>
    <cellStyle name="Normal 12 5 4" xfId="9156" xr:uid="{4BCB05AE-5738-4A10-9D4D-B3A4CD16FD2C}"/>
    <cellStyle name="Normal 12 5 4 2" xfId="18478" xr:uid="{549057DD-7C04-4900-B0C6-692DEECBAE1F}"/>
    <cellStyle name="Normal 12 6" xfId="760" xr:uid="{00000000-0005-0000-0000-00005A0E0000}"/>
    <cellStyle name="Normal 12 6 2" xfId="3001" xr:uid="{00000000-0005-0000-0000-00005B0E0000}"/>
    <cellStyle name="Normal 12 6 2 2" xfId="7223" xr:uid="{00000000-0005-0000-0000-00005C0E0000}"/>
    <cellStyle name="Normal 12 6 2 2 2" xfId="16549" xr:uid="{7334A1F8-09A4-4AC1-8D2C-990F63F899F2}"/>
    <cellStyle name="Normal 12 6 2 3" xfId="12332" xr:uid="{624FDF53-4B82-44F9-B2F4-78F4C4F65330}"/>
    <cellStyle name="Normal 12 6 3" xfId="5078" xr:uid="{00000000-0005-0000-0000-00005D0E0000}"/>
    <cellStyle name="Normal 12 6 3 2" xfId="14404" xr:uid="{2B23FB5B-2FCF-4F31-8316-2C5D181DD312}"/>
    <cellStyle name="Normal 12 6 4" xfId="9194" xr:uid="{92D32932-3865-4F6F-A551-9A99EC116A43}"/>
    <cellStyle name="Normal 12 6 4 2" xfId="18510" xr:uid="{35D99ED0-A17E-4666-984F-C2253C1BFF01}"/>
    <cellStyle name="Normal 12 6 5" xfId="10187" xr:uid="{614523D1-BEDF-4DF7-B9F5-2CF30A264DD9}"/>
    <cellStyle name="Normal 12 7" xfId="1183" xr:uid="{00000000-0005-0000-0000-00005E0E0000}"/>
    <cellStyle name="Normal 12 7 2" xfId="3414" xr:uid="{00000000-0005-0000-0000-00005F0E0000}"/>
    <cellStyle name="Normal 12 7 2 2" xfId="7636" xr:uid="{00000000-0005-0000-0000-0000600E0000}"/>
    <cellStyle name="Normal 12 7 2 2 2" xfId="16962" xr:uid="{CA1A31B5-DCA2-4E0E-A064-C8663408D3E8}"/>
    <cellStyle name="Normal 12 7 2 3" xfId="12745" xr:uid="{85844A38-9838-4088-B7DE-BBAEFE64BCC3}"/>
    <cellStyle name="Normal 12 7 3" xfId="5491" xr:uid="{00000000-0005-0000-0000-0000610E0000}"/>
    <cellStyle name="Normal 12 7 3 2" xfId="14817" xr:uid="{AA359AA7-33F8-4F00-BDD1-59F729643A8B}"/>
    <cellStyle name="Normal 12 7 4" xfId="10600" xr:uid="{1E669422-7C2B-4422-A42E-F3BB1665AE61}"/>
    <cellStyle name="Normal 12 8" xfId="1597" xr:uid="{00000000-0005-0000-0000-0000620E0000}"/>
    <cellStyle name="Normal 12 8 2" xfId="3827" xr:uid="{00000000-0005-0000-0000-0000630E0000}"/>
    <cellStyle name="Normal 12 8 2 2" xfId="8049" xr:uid="{00000000-0005-0000-0000-0000640E0000}"/>
    <cellStyle name="Normal 12 8 2 2 2" xfId="17375" xr:uid="{E589CD25-56ED-40B8-B934-79D12E86E08D}"/>
    <cellStyle name="Normal 12 8 2 3" xfId="13158" xr:uid="{4F215801-FE5F-4DE0-86B3-E2B7E86DF667}"/>
    <cellStyle name="Normal 12 8 3" xfId="5904" xr:uid="{00000000-0005-0000-0000-0000650E0000}"/>
    <cellStyle name="Normal 12 8 3 2" xfId="15230" xr:uid="{86796386-D2EC-4357-AD72-C07CEA1CC951}"/>
    <cellStyle name="Normal 12 8 4" xfId="11013" xr:uid="{60032504-2572-4C18-8918-B2F7FB66CE94}"/>
    <cellStyle name="Normal 12 9" xfId="2011" xr:uid="{00000000-0005-0000-0000-0000660E0000}"/>
    <cellStyle name="Normal 12 9 2" xfId="4240" xr:uid="{00000000-0005-0000-0000-0000670E0000}"/>
    <cellStyle name="Normal 12 9 2 2" xfId="8462" xr:uid="{00000000-0005-0000-0000-0000680E0000}"/>
    <cellStyle name="Normal 12 9 2 2 2" xfId="17788" xr:uid="{1A71B4CF-39ED-4C38-B4E9-FA7B808FA0A0}"/>
    <cellStyle name="Normal 12 9 2 3" xfId="13571" xr:uid="{E3D846C4-A04A-483A-9668-BC7E80720A1C}"/>
    <cellStyle name="Normal 12 9 3" xfId="6317" xr:uid="{00000000-0005-0000-0000-0000690E0000}"/>
    <cellStyle name="Normal 12 9 3 2" xfId="15643" xr:uid="{AC8EF23B-EDC3-493B-A273-3E443275B585}"/>
    <cellStyle name="Normal 12 9 4" xfId="11426" xr:uid="{AF364FEA-CE27-46C7-AC7A-5F27BEF2BD36}"/>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7186B7A3-3742-4121-BF96-56580886E901}"/>
    <cellStyle name="Normal 14 2 2 3" xfId="12340" xr:uid="{D819E9C0-31A6-4BF1-A3CB-A4302964190F}"/>
    <cellStyle name="Normal 14 2 3" xfId="5086" xr:uid="{00000000-0005-0000-0000-0000700E0000}"/>
    <cellStyle name="Normal 14 2 3 2" xfId="14412" xr:uid="{C693F2DF-9724-4B43-9810-B9B9B5D6CA07}"/>
    <cellStyle name="Normal 14 2 4" xfId="9371" xr:uid="{E1AFB5B4-F468-480A-B09F-3374B2F03BDA}"/>
    <cellStyle name="Normal 14 2 4 2" xfId="18686" xr:uid="{E0B96AC1-2ABE-47F3-8D21-BAF8C615002A}"/>
    <cellStyle name="Normal 14 2 5" xfId="10195" xr:uid="{653AD9ED-043B-4D66-9F6D-83B63B1AB0C4}"/>
    <cellStyle name="Normal 14 3" xfId="1191" xr:uid="{00000000-0005-0000-0000-0000710E0000}"/>
    <cellStyle name="Normal 14 3 2" xfId="3422" xr:uid="{00000000-0005-0000-0000-0000720E0000}"/>
    <cellStyle name="Normal 14 3 2 2" xfId="7644" xr:uid="{00000000-0005-0000-0000-0000730E0000}"/>
    <cellStyle name="Normal 14 3 2 2 2" xfId="16970" xr:uid="{ABEDD502-C068-4C63-8728-543CDE84D829}"/>
    <cellStyle name="Normal 14 3 2 3" xfId="12753" xr:uid="{F0F08224-47DA-4A58-A0B2-F3E253578DA9}"/>
    <cellStyle name="Normal 14 3 3" xfId="5499" xr:uid="{00000000-0005-0000-0000-0000740E0000}"/>
    <cellStyle name="Normal 14 3 3 2" xfId="14825" xr:uid="{E65BA606-DAE2-43D6-8E18-301D8569FBF1}"/>
    <cellStyle name="Normal 14 3 4" xfId="10608" xr:uid="{97FCBAEC-8AEA-4696-8236-75B9D5C811CE}"/>
    <cellStyle name="Normal 14 4" xfId="1605" xr:uid="{00000000-0005-0000-0000-0000750E0000}"/>
    <cellStyle name="Normal 14 4 2" xfId="3835" xr:uid="{00000000-0005-0000-0000-0000760E0000}"/>
    <cellStyle name="Normal 14 4 2 2" xfId="8057" xr:uid="{00000000-0005-0000-0000-0000770E0000}"/>
    <cellStyle name="Normal 14 4 2 2 2" xfId="17383" xr:uid="{B1142611-2DFE-4919-904C-46E2458E1D46}"/>
    <cellStyle name="Normal 14 4 2 3" xfId="13166" xr:uid="{10B0B368-A6E9-4B69-B912-9CCAB8E6CC8C}"/>
    <cellStyle name="Normal 14 4 3" xfId="5912" xr:uid="{00000000-0005-0000-0000-0000780E0000}"/>
    <cellStyle name="Normal 14 4 3 2" xfId="15238" xr:uid="{A5C6554A-6C9C-4FA5-9C38-D58D51CB0784}"/>
    <cellStyle name="Normal 14 4 4" xfId="11021" xr:uid="{A5EDA07D-E139-4336-B22A-BDD6129B74C8}"/>
    <cellStyle name="Normal 14 5" xfId="2019" xr:uid="{00000000-0005-0000-0000-0000790E0000}"/>
    <cellStyle name="Normal 14 5 2" xfId="4248" xr:uid="{00000000-0005-0000-0000-00007A0E0000}"/>
    <cellStyle name="Normal 14 5 2 2" xfId="8470" xr:uid="{00000000-0005-0000-0000-00007B0E0000}"/>
    <cellStyle name="Normal 14 5 2 2 2" xfId="17796" xr:uid="{CD060F75-C496-4F28-AD06-32F6CA3EAAB1}"/>
    <cellStyle name="Normal 14 5 2 3" xfId="13579" xr:uid="{C1FCAA21-CC5E-4369-B887-D9CBB03398CD}"/>
    <cellStyle name="Normal 14 5 3" xfId="6325" xr:uid="{00000000-0005-0000-0000-00007C0E0000}"/>
    <cellStyle name="Normal 14 5 3 2" xfId="15651" xr:uid="{0D49CF0B-D399-4129-B5FE-B6C43C70B4DE}"/>
    <cellStyle name="Normal 14 5 4" xfId="11434" xr:uid="{46AF0534-4C22-4C3E-BAEF-E6A04DD38C35}"/>
    <cellStyle name="Normal 14 6" xfId="2455" xr:uid="{00000000-0005-0000-0000-00007D0E0000}"/>
    <cellStyle name="Normal 14 6 2" xfId="6738" xr:uid="{00000000-0005-0000-0000-00007E0E0000}"/>
    <cellStyle name="Normal 14 6 2 2" xfId="16064" xr:uid="{22B2CC3E-C085-4C61-8DB5-96C56D78DE29}"/>
    <cellStyle name="Normal 14 6 3" xfId="11847" xr:uid="{223BB09E-221A-4458-A946-F1D502C64F26}"/>
    <cellStyle name="Normal 14 7" xfId="4672" xr:uid="{00000000-0005-0000-0000-00007F0E0000}"/>
    <cellStyle name="Normal 14 7 2" xfId="13998" xr:uid="{A0EDBD11-A6A4-4873-AA0F-DE644276C7A3}"/>
    <cellStyle name="Normal 14 8" xfId="8946" xr:uid="{DD997A1C-6669-41AA-8AC1-78121AFC796C}"/>
    <cellStyle name="Normal 14 8 2" xfId="18270" xr:uid="{34DB093E-57BA-42C3-9921-2DECA4BA79BE}"/>
    <cellStyle name="Normal 14 9" xfId="9781" xr:uid="{441F74FE-EBAB-44DF-B711-80019BDA6EB7}"/>
    <cellStyle name="Normal 15" xfId="4496" xr:uid="{00000000-0005-0000-0000-0000800E0000}"/>
    <cellStyle name="Normal 15 2" xfId="9578" xr:uid="{99513E76-E7E2-49D8-ADC5-F882C61FFC79}"/>
    <cellStyle name="Normal 15 2 2" xfId="18893" xr:uid="{ACC3A2D1-3269-4FB0-AF28-45974ECC0E39}"/>
    <cellStyle name="Normal 15 3" xfId="9155" xr:uid="{47700DD8-A88A-4CB4-BFAD-BA75A2D4FC8E}"/>
    <cellStyle name="Normal 15 3 2" xfId="18477" xr:uid="{BA10115F-E6E2-4B5C-825C-32AFB62D8781}"/>
    <cellStyle name="Normal 15 4" xfId="13824" xr:uid="{016F41B1-DF58-4778-9D77-82C29C489878}"/>
    <cellStyle name="Normal 16" xfId="4500" xr:uid="{00000000-0005-0000-0000-0000810E0000}"/>
    <cellStyle name="Normal 16 2" xfId="8715" xr:uid="{00000000-0005-0000-0000-0000820E0000}"/>
    <cellStyle name="Normal 16 2 2" xfId="18041" xr:uid="{98DD61A7-3B84-4FAE-A9D3-4F13BAD4DD1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BF12A934-6592-4CB6-A3FA-56436B20E07E}"/>
    <cellStyle name="Normal 16 3 2 2 2 2 3" xfId="18057" xr:uid="{90694145-1AB8-430B-97F3-AE122BDEDD6D}"/>
    <cellStyle name="Normal 16 3 2 2 2 3" xfId="18054" xr:uid="{FC079101-F7D0-4DE8-B00F-AE92050D05B4}"/>
    <cellStyle name="Normal 16 3 2 2 3" xfId="18050" xr:uid="{5B6887EB-C49B-4B14-93EF-58274ADC1994}"/>
    <cellStyle name="Normal 16 3 2 3" xfId="18047" xr:uid="{780734B9-5600-4E7D-A232-E531CD7DD3DB}"/>
    <cellStyle name="Normal 16 3 3" xfId="18044" xr:uid="{D77ABEBD-B0C9-4B11-86EC-1A71D59F1800}"/>
    <cellStyle name="Normal 16 4" xfId="9612" xr:uid="{8729F6E8-3534-4DAE-B0B2-B2AF3CDCD313}"/>
    <cellStyle name="Normal 16 5" xfId="13827" xr:uid="{A69A76FD-1646-4758-B9C3-9B46BD2742B9}"/>
    <cellStyle name="Normal 17" xfId="8728" xr:uid="{3FF0972C-833B-4475-99D8-1A6907499E71}"/>
    <cellStyle name="Normal 17 2" xfId="9157" xr:uid="{6C872296-5E17-4821-9139-E52AD113B06C}"/>
    <cellStyle name="Normal 17 3" xfId="9154" xr:uid="{DC3FF210-EC1F-47CE-8CCE-F8F5460671B1}"/>
    <cellStyle name="Normal 17 4" xfId="18053" xr:uid="{355318FA-E5C8-4E15-BD88-29F7432030E1}"/>
    <cellStyle name="Normal 18" xfId="9153" xr:uid="{EF04732C-9519-4C21-BD73-A108E18EA17F}"/>
    <cellStyle name="Normal 19" xfId="8739" xr:uid="{D907EBA7-1F94-4726-9ABB-7E7835FFF57E}"/>
    <cellStyle name="Normal 19 2" xfId="18063" xr:uid="{3CC2C1E7-538C-494D-ABFC-D97E084E797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1900FE93-0AF7-4F7E-9244-FFC3C4E6E94A}"/>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473E624F-DA71-4899-8D45-3ECD90B32438}"/>
    <cellStyle name="Normal 2 4 2 10 2 3" xfId="13580" xr:uid="{E7E11AC8-C6A2-4D45-AC09-3DA06228FF82}"/>
    <cellStyle name="Normal 2 4 2 10 3" xfId="6326" xr:uid="{00000000-0005-0000-0000-0000910E0000}"/>
    <cellStyle name="Normal 2 4 2 10 3 2" xfId="15652" xr:uid="{5464BA4C-8290-4118-AF28-BE4CD85D13A7}"/>
    <cellStyle name="Normal 2 4 2 10 4" xfId="11435" xr:uid="{41CA20FF-8AB4-4870-8DDE-0B2791203DBE}"/>
    <cellStyle name="Normal 2 4 2 11" xfId="2456" xr:uid="{00000000-0005-0000-0000-0000920E0000}"/>
    <cellStyle name="Normal 2 4 2 11 2" xfId="6739" xr:uid="{00000000-0005-0000-0000-0000930E0000}"/>
    <cellStyle name="Normal 2 4 2 11 2 2" xfId="16065" xr:uid="{03EBD6FC-B920-445F-9BEA-E5F8092618E6}"/>
    <cellStyle name="Normal 2 4 2 11 3" xfId="11848" xr:uid="{75E2FE0C-61D9-4A9E-B3F5-0E0C268D2E4D}"/>
    <cellStyle name="Normal 2 4 2 12" xfId="4673" xr:uid="{00000000-0005-0000-0000-0000940E0000}"/>
    <cellStyle name="Normal 2 4 2 12 2" xfId="13999" xr:uid="{1D7A325F-AD5B-4F7B-9BC7-8BCD58601A8F}"/>
    <cellStyle name="Normal 2 4 2 13" xfId="8757" xr:uid="{563A76DD-F7DD-49F0-A61E-0419F4C31301}"/>
    <cellStyle name="Normal 2 4 2 13 2" xfId="18081" xr:uid="{36B96A46-2A47-4077-8DEA-9E58CDBFA358}"/>
    <cellStyle name="Normal 2 4 2 14" xfId="9782" xr:uid="{32B9F315-B16B-429D-94AE-26A2AABA3B87}"/>
    <cellStyle name="Normal 2 4 2 2" xfId="280" xr:uid="{00000000-0005-0000-0000-0000950E0000}"/>
    <cellStyle name="Normal 2 4 2 3" xfId="281" xr:uid="{00000000-0005-0000-0000-0000960E0000}"/>
    <cellStyle name="Normal 2 4 2 3 10" xfId="4674" xr:uid="{00000000-0005-0000-0000-0000970E0000}"/>
    <cellStyle name="Normal 2 4 2 3 10 2" xfId="14000" xr:uid="{2B4AD6B6-9EE8-4248-ACD3-B4B28F307A78}"/>
    <cellStyle name="Normal 2 4 2 3 11" xfId="8788" xr:uid="{EAD3D227-C8EF-4F54-8D24-EE1EA1F017BB}"/>
    <cellStyle name="Normal 2 4 2 3 11 2" xfId="18112" xr:uid="{33804FF1-45E7-4F27-AFE8-2E5C20B56B68}"/>
    <cellStyle name="Normal 2 4 2 3 12" xfId="9783" xr:uid="{6380FA1A-4BE3-4F38-B2A3-93B4FAEB8A2F}"/>
    <cellStyle name="Normal 2 4 2 3 2" xfId="282" xr:uid="{00000000-0005-0000-0000-0000980E0000}"/>
    <cellStyle name="Normal 2 4 2 3 2 10" xfId="8813" xr:uid="{C03AE35D-2438-4E07-AE9C-6D04EC6DA2B7}"/>
    <cellStyle name="Normal 2 4 2 3 2 10 2" xfId="18137" xr:uid="{58D89FBC-178A-49E8-87E3-19EC2489A3E0}"/>
    <cellStyle name="Normal 2 4 2 3 2 11" xfId="9784" xr:uid="{0F19049A-BA84-4743-B7C6-4E19B4435C01}"/>
    <cellStyle name="Normal 2 4 2 3 2 2" xfId="283" xr:uid="{00000000-0005-0000-0000-0000990E0000}"/>
    <cellStyle name="Normal 2 4 2 3 2 2 10" xfId="9785" xr:uid="{D0D8EB79-760E-476C-AF7F-B8A247E0457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C2267429-425E-4FDC-8480-5F91EA9ACB21}"/>
    <cellStyle name="Normal 2 4 2 3 2 2 2 2 2 3" xfId="12345" xr:uid="{1CF983D7-5468-44FE-BD96-8D82A75B2C4A}"/>
    <cellStyle name="Normal 2 4 2 3 2 2 2 2 3" xfId="5091" xr:uid="{00000000-0005-0000-0000-00009E0E0000}"/>
    <cellStyle name="Normal 2 4 2 3 2 2 2 2 3 2" xfId="14417" xr:uid="{9A9013CF-16AA-498E-92A3-846968CFC98B}"/>
    <cellStyle name="Normal 2 4 2 3 2 2 2 2 4" xfId="9548" xr:uid="{29E7289E-B3F4-4F63-9B9C-B531B0E50CEB}"/>
    <cellStyle name="Normal 2 4 2 3 2 2 2 2 4 2" xfId="18863" xr:uid="{B3DFD196-1605-4137-9F5A-12CC7AD4D967}"/>
    <cellStyle name="Normal 2 4 2 3 2 2 2 2 5" xfId="10200" xr:uid="{F8C41BC7-BE30-4097-86E4-729ECBEBAE6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2FCDB6FF-74DA-4A90-A714-C0E474112E3F}"/>
    <cellStyle name="Normal 2 4 2 3 2 2 2 3 2 3" xfId="12758" xr:uid="{B0E1DD15-D191-424F-8731-19FC9061CEF3}"/>
    <cellStyle name="Normal 2 4 2 3 2 2 2 3 3" xfId="5504" xr:uid="{00000000-0005-0000-0000-0000A20E0000}"/>
    <cellStyle name="Normal 2 4 2 3 2 2 2 3 3 2" xfId="14830" xr:uid="{1D868188-B67B-4414-AF4F-17B8A0E368F1}"/>
    <cellStyle name="Normal 2 4 2 3 2 2 2 3 4" xfId="10613" xr:uid="{728CE202-9C5F-4BEC-9082-05AC1F802C5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5C073FD6-36CA-4EF5-A65D-AD70CD3957B6}"/>
    <cellStyle name="Normal 2 4 2 3 2 2 2 4 2 3" xfId="13171" xr:uid="{0E83CECD-9433-4A70-9CD0-B833C671A781}"/>
    <cellStyle name="Normal 2 4 2 3 2 2 2 4 3" xfId="5917" xr:uid="{00000000-0005-0000-0000-0000A60E0000}"/>
    <cellStyle name="Normal 2 4 2 3 2 2 2 4 3 2" xfId="15243" xr:uid="{360B75C7-73FF-47CF-A69F-DD677CE7D6BD}"/>
    <cellStyle name="Normal 2 4 2 3 2 2 2 4 4" xfId="11026" xr:uid="{D13E9615-E356-4F93-8EC5-4A06A18C04D6}"/>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327DD27A-E5B9-4480-ACD1-83D7D31E919B}"/>
    <cellStyle name="Normal 2 4 2 3 2 2 2 5 2 3" xfId="13584" xr:uid="{7AD8AB50-2899-4A5C-9EE4-286B070E760F}"/>
    <cellStyle name="Normal 2 4 2 3 2 2 2 5 3" xfId="6330" xr:uid="{00000000-0005-0000-0000-0000AA0E0000}"/>
    <cellStyle name="Normal 2 4 2 3 2 2 2 5 3 2" xfId="15656" xr:uid="{8BA3A172-5943-4284-A55C-B4489DF906DD}"/>
    <cellStyle name="Normal 2 4 2 3 2 2 2 5 4" xfId="11439" xr:uid="{0C1B5A1E-0C90-4FFD-A4CF-519B02A208E0}"/>
    <cellStyle name="Normal 2 4 2 3 2 2 2 6" xfId="2460" xr:uid="{00000000-0005-0000-0000-0000AB0E0000}"/>
    <cellStyle name="Normal 2 4 2 3 2 2 2 6 2" xfId="6743" xr:uid="{00000000-0005-0000-0000-0000AC0E0000}"/>
    <cellStyle name="Normal 2 4 2 3 2 2 2 6 2 2" xfId="16069" xr:uid="{BF472693-C66F-4FD1-9BA5-703218DB9B35}"/>
    <cellStyle name="Normal 2 4 2 3 2 2 2 6 3" xfId="11852" xr:uid="{99384935-5E59-4AEF-AED1-C394A4B24F60}"/>
    <cellStyle name="Normal 2 4 2 3 2 2 2 7" xfId="4677" xr:uid="{00000000-0005-0000-0000-0000AD0E0000}"/>
    <cellStyle name="Normal 2 4 2 3 2 2 2 7 2" xfId="14003" xr:uid="{27608FB3-0E67-49AC-9789-B99EE512F716}"/>
    <cellStyle name="Normal 2 4 2 3 2 2 2 8" xfId="9123" xr:uid="{9F0183A9-880D-46D9-BB7D-5696E4723F5F}"/>
    <cellStyle name="Normal 2 4 2 3 2 2 2 8 2" xfId="18447" xr:uid="{15BC02C1-BF2E-4B82-8883-AF28A02AC9F9}"/>
    <cellStyle name="Normal 2 4 2 3 2 2 2 9" xfId="9786" xr:uid="{1D4DDFAE-885A-496C-98DF-C5B0FD07CA58}"/>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BB237C33-28A2-4D60-8F8D-819CCA7EDD62}"/>
    <cellStyle name="Normal 2 4 2 3 2 2 3 2 3" xfId="12344" xr:uid="{1E6FF935-48BE-4815-A4CB-DB96BB7B8141}"/>
    <cellStyle name="Normal 2 4 2 3 2 2 3 3" xfId="5090" xr:uid="{00000000-0005-0000-0000-0000B10E0000}"/>
    <cellStyle name="Normal 2 4 2 3 2 2 3 3 2" xfId="14416" xr:uid="{1C82B8EA-BCF1-4548-8BA1-194A3926AC4A}"/>
    <cellStyle name="Normal 2 4 2 3 2 2 3 4" xfId="9341" xr:uid="{4F113FF5-050D-47D1-A7D5-F829C93D993D}"/>
    <cellStyle name="Normal 2 4 2 3 2 2 3 4 2" xfId="18656" xr:uid="{850E3853-6911-472C-8E10-6131AD9DEF9A}"/>
    <cellStyle name="Normal 2 4 2 3 2 2 3 5" xfId="10199" xr:uid="{CEE1335E-306B-4ADC-B6D2-BE93981ADC52}"/>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A3360905-1BFA-49B7-A144-5289E83E3AA8}"/>
    <cellStyle name="Normal 2 4 2 3 2 2 4 2 3" xfId="12757" xr:uid="{ECE67AA5-3B8F-4ABA-85BF-0940C17BF45E}"/>
    <cellStyle name="Normal 2 4 2 3 2 2 4 3" xfId="5503" xr:uid="{00000000-0005-0000-0000-0000B50E0000}"/>
    <cellStyle name="Normal 2 4 2 3 2 2 4 3 2" xfId="14829" xr:uid="{8A12C369-E308-47C5-A9E4-2E27C3798BBF}"/>
    <cellStyle name="Normal 2 4 2 3 2 2 4 4" xfId="10612" xr:uid="{B5DCC5E6-D61C-4750-ABFF-FAA1F1FCCCF5}"/>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E4EA00AE-D87A-492D-A104-AE48250AA7B8}"/>
    <cellStyle name="Normal 2 4 2 3 2 2 5 2 3" xfId="13170" xr:uid="{279E12E1-E28A-449A-9D78-8FE6B637D0F9}"/>
    <cellStyle name="Normal 2 4 2 3 2 2 5 3" xfId="5916" xr:uid="{00000000-0005-0000-0000-0000B90E0000}"/>
    <cellStyle name="Normal 2 4 2 3 2 2 5 3 2" xfId="15242" xr:uid="{5C13E1E1-F29F-43DF-B06D-448FD50E3C0E}"/>
    <cellStyle name="Normal 2 4 2 3 2 2 5 4" xfId="11025" xr:uid="{B4BAC29E-11D4-4B1E-AAE8-2C124576620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647BDF28-2E96-43E8-BF3F-A2BCD93C76E2}"/>
    <cellStyle name="Normal 2 4 2 3 2 2 6 2 3" xfId="13583" xr:uid="{E6E19BEC-1502-46F0-9B91-D07515CD9A8E}"/>
    <cellStyle name="Normal 2 4 2 3 2 2 6 3" xfId="6329" xr:uid="{00000000-0005-0000-0000-0000BD0E0000}"/>
    <cellStyle name="Normal 2 4 2 3 2 2 6 3 2" xfId="15655" xr:uid="{11C8B5D3-DF54-4D27-8577-BC2DEDC3B653}"/>
    <cellStyle name="Normal 2 4 2 3 2 2 6 4" xfId="11438" xr:uid="{619EF7BC-B598-452D-863B-1D7F4AFBF7CE}"/>
    <cellStyle name="Normal 2 4 2 3 2 2 7" xfId="2459" xr:uid="{00000000-0005-0000-0000-0000BE0E0000}"/>
    <cellStyle name="Normal 2 4 2 3 2 2 7 2" xfId="6742" xr:uid="{00000000-0005-0000-0000-0000BF0E0000}"/>
    <cellStyle name="Normal 2 4 2 3 2 2 7 2 2" xfId="16068" xr:uid="{426540AB-ECA6-4E41-8767-5774548AB398}"/>
    <cellStyle name="Normal 2 4 2 3 2 2 7 3" xfId="11851" xr:uid="{54D81E8D-CEFE-4983-9B39-205A1D86AFC8}"/>
    <cellStyle name="Normal 2 4 2 3 2 2 8" xfId="4676" xr:uid="{00000000-0005-0000-0000-0000C00E0000}"/>
    <cellStyle name="Normal 2 4 2 3 2 2 8 2" xfId="14002" xr:uid="{EB59EA20-E5A1-425A-B993-0F58A64EFAAE}"/>
    <cellStyle name="Normal 2 4 2 3 2 2 9" xfId="8916" xr:uid="{1EF18CC7-44BB-43EB-8DB6-D193CEF128C1}"/>
    <cellStyle name="Normal 2 4 2 3 2 2 9 2" xfId="18240" xr:uid="{13ED1CCD-0E71-470B-945B-1C5F9705715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FA037676-338A-4EE9-A685-A35F9B980A58}"/>
    <cellStyle name="Normal 2 4 2 3 2 3 2 2 3" xfId="12346" xr:uid="{01AF589D-234C-4434-9471-8A58845F29A2}"/>
    <cellStyle name="Normal 2 4 2 3 2 3 2 3" xfId="5092" xr:uid="{00000000-0005-0000-0000-0000C50E0000}"/>
    <cellStyle name="Normal 2 4 2 3 2 3 2 3 2" xfId="14418" xr:uid="{9C3E6F15-6A0A-45FF-83BA-5BB7622089BD}"/>
    <cellStyle name="Normal 2 4 2 3 2 3 2 4" xfId="9445" xr:uid="{67F9E33C-8554-469D-8D7A-1147F632F3B0}"/>
    <cellStyle name="Normal 2 4 2 3 2 3 2 4 2" xfId="18760" xr:uid="{1F4887E0-AF6A-4E0E-B834-7DB56C5B07FB}"/>
    <cellStyle name="Normal 2 4 2 3 2 3 2 5" xfId="10201" xr:uid="{8419BF0C-3327-44F0-BE56-DB7E4E9EF55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72B84611-50A7-4E3F-800A-C08FA1DD2B94}"/>
    <cellStyle name="Normal 2 4 2 3 2 3 3 2 3" xfId="12759" xr:uid="{524609E1-325E-48D2-90F5-71608C99B0F2}"/>
    <cellStyle name="Normal 2 4 2 3 2 3 3 3" xfId="5505" xr:uid="{00000000-0005-0000-0000-0000C90E0000}"/>
    <cellStyle name="Normal 2 4 2 3 2 3 3 3 2" xfId="14831" xr:uid="{2DE78C23-F69A-45B1-BE86-A6B9A9D86C0F}"/>
    <cellStyle name="Normal 2 4 2 3 2 3 3 4" xfId="10614" xr:uid="{64A50D23-2AEF-4679-9AA0-ECCB2C1F723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551E13D-F801-4055-9986-9E31DC2B3A5C}"/>
    <cellStyle name="Normal 2 4 2 3 2 3 4 2 3" xfId="13172" xr:uid="{0620D313-A5D7-48F5-9610-39D8BA6EE315}"/>
    <cellStyle name="Normal 2 4 2 3 2 3 4 3" xfId="5918" xr:uid="{00000000-0005-0000-0000-0000CD0E0000}"/>
    <cellStyle name="Normal 2 4 2 3 2 3 4 3 2" xfId="15244" xr:uid="{386FCDAB-E878-4D29-801D-2E5EB273DFF4}"/>
    <cellStyle name="Normal 2 4 2 3 2 3 4 4" xfId="11027" xr:uid="{4D350077-A144-46FA-8D61-E7422BD0EA91}"/>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F06BCBE9-E575-45B4-B4E5-703216DE59A5}"/>
    <cellStyle name="Normal 2 4 2 3 2 3 5 2 3" xfId="13585" xr:uid="{142CD5AD-535C-4421-8892-65184033F2C2}"/>
    <cellStyle name="Normal 2 4 2 3 2 3 5 3" xfId="6331" xr:uid="{00000000-0005-0000-0000-0000D10E0000}"/>
    <cellStyle name="Normal 2 4 2 3 2 3 5 3 2" xfId="15657" xr:uid="{C9F69123-0046-4E5B-8DD5-746152388596}"/>
    <cellStyle name="Normal 2 4 2 3 2 3 5 4" xfId="11440" xr:uid="{5A42F41E-C252-409D-9578-F632D4E3A576}"/>
    <cellStyle name="Normal 2 4 2 3 2 3 6" xfId="2461" xr:uid="{00000000-0005-0000-0000-0000D20E0000}"/>
    <cellStyle name="Normal 2 4 2 3 2 3 6 2" xfId="6744" xr:uid="{00000000-0005-0000-0000-0000D30E0000}"/>
    <cellStyle name="Normal 2 4 2 3 2 3 6 2 2" xfId="16070" xr:uid="{32959698-284B-4412-BBCF-81FB9BA32FAC}"/>
    <cellStyle name="Normal 2 4 2 3 2 3 6 3" xfId="11853" xr:uid="{A3BA92E7-5CA7-4E05-940E-11EFB130C3BE}"/>
    <cellStyle name="Normal 2 4 2 3 2 3 7" xfId="4678" xr:uid="{00000000-0005-0000-0000-0000D40E0000}"/>
    <cellStyle name="Normal 2 4 2 3 2 3 7 2" xfId="14004" xr:uid="{417AB9FA-9DCB-4BF3-A53A-271B6CB5DE94}"/>
    <cellStyle name="Normal 2 4 2 3 2 3 8" xfId="9020" xr:uid="{5718F785-8E2C-4B45-91D1-4597173D90A6}"/>
    <cellStyle name="Normal 2 4 2 3 2 3 8 2" xfId="18344" xr:uid="{EAA833F0-DACE-4565-A38A-D57ED1915BE7}"/>
    <cellStyle name="Normal 2 4 2 3 2 3 9" xfId="9787" xr:uid="{DC4CA409-CE32-416A-A710-FECDC2930DE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8696A43C-7B37-4AFE-9973-B77E3150290B}"/>
    <cellStyle name="Normal 2 4 2 3 2 4 2 3" xfId="12343" xr:uid="{2F722A7A-A836-47D4-9519-2679CA47A770}"/>
    <cellStyle name="Normal 2 4 2 3 2 4 3" xfId="5089" xr:uid="{00000000-0005-0000-0000-0000D80E0000}"/>
    <cellStyle name="Normal 2 4 2 3 2 4 3 2" xfId="14415" xr:uid="{AC287F78-ABED-497D-910A-1E13B1A5CDCF}"/>
    <cellStyle name="Normal 2 4 2 3 2 4 4" xfId="9238" xr:uid="{BC6E5A3D-C256-46E9-A109-D643C24AA206}"/>
    <cellStyle name="Normal 2 4 2 3 2 4 4 2" xfId="18553" xr:uid="{DEB4524D-582E-479E-B1E9-085B1CE8933D}"/>
    <cellStyle name="Normal 2 4 2 3 2 4 5" xfId="10198" xr:uid="{98D3E103-D2C6-4793-A4FA-D0DB3EAE2F6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2907E264-60E5-4F45-84AC-D6CA2F3DEE48}"/>
    <cellStyle name="Normal 2 4 2 3 2 5 2 3" xfId="12756" xr:uid="{E617A2C5-611C-42BA-8609-43187DC5DC70}"/>
    <cellStyle name="Normal 2 4 2 3 2 5 3" xfId="5502" xr:uid="{00000000-0005-0000-0000-0000DC0E0000}"/>
    <cellStyle name="Normal 2 4 2 3 2 5 3 2" xfId="14828" xr:uid="{E94B9550-720A-4814-A81C-8C225AEF6B9E}"/>
    <cellStyle name="Normal 2 4 2 3 2 5 4" xfId="10611" xr:uid="{12969026-F2D6-41B0-9232-BF7E4987A9A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AD6BA5C0-69B9-4D4D-B4F6-D33B8E56B525}"/>
    <cellStyle name="Normal 2 4 2 3 2 6 2 3" xfId="13169" xr:uid="{18D00DA1-4EFE-4921-80DB-0B0225EB8D8B}"/>
    <cellStyle name="Normal 2 4 2 3 2 6 3" xfId="5915" xr:uid="{00000000-0005-0000-0000-0000E00E0000}"/>
    <cellStyle name="Normal 2 4 2 3 2 6 3 2" xfId="15241" xr:uid="{F034BDA6-65C7-4E77-9AF9-93517AC881BA}"/>
    <cellStyle name="Normal 2 4 2 3 2 6 4" xfId="11024" xr:uid="{8642521B-0B1F-4F72-9249-2C13EEC2BFA3}"/>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6716CF1D-CFAC-492B-8F97-CEDD66314A21}"/>
    <cellStyle name="Normal 2 4 2 3 2 7 2 3" xfId="13582" xr:uid="{A5E476CE-45C1-4262-92BA-19123F003AA1}"/>
    <cellStyle name="Normal 2 4 2 3 2 7 3" xfId="6328" xr:uid="{00000000-0005-0000-0000-0000E40E0000}"/>
    <cellStyle name="Normal 2 4 2 3 2 7 3 2" xfId="15654" xr:uid="{1CC5FEF3-997E-49F2-99BE-7A4EF9C77E45}"/>
    <cellStyle name="Normal 2 4 2 3 2 7 4" xfId="11437" xr:uid="{CA9F3718-6964-4D5C-9916-470DF71B92A5}"/>
    <cellStyle name="Normal 2 4 2 3 2 8" xfId="2458" xr:uid="{00000000-0005-0000-0000-0000E50E0000}"/>
    <cellStyle name="Normal 2 4 2 3 2 8 2" xfId="6741" xr:uid="{00000000-0005-0000-0000-0000E60E0000}"/>
    <cellStyle name="Normal 2 4 2 3 2 8 2 2" xfId="16067" xr:uid="{E30228AF-0277-473F-ABC1-4CCC7B8994CB}"/>
    <cellStyle name="Normal 2 4 2 3 2 8 3" xfId="11850" xr:uid="{4AD7F010-4ECB-48EA-B2E6-AD78AD8E12A5}"/>
    <cellStyle name="Normal 2 4 2 3 2 9" xfId="4675" xr:uid="{00000000-0005-0000-0000-0000E70E0000}"/>
    <cellStyle name="Normal 2 4 2 3 2 9 2" xfId="14001" xr:uid="{E49B6019-93D8-4127-9764-CD4A20F750FF}"/>
    <cellStyle name="Normal 2 4 2 3 3" xfId="286" xr:uid="{00000000-0005-0000-0000-0000E80E0000}"/>
    <cellStyle name="Normal 2 4 2 3 3 10" xfId="9788" xr:uid="{79A449AA-7D25-47EC-BDAC-674F578C3D2E}"/>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6C1A8515-24C6-4828-929E-6BE9F9E00776}"/>
    <cellStyle name="Normal 2 4 2 3 3 2 2 2 3" xfId="12348" xr:uid="{09DC7E6F-9C58-4BCA-80CF-F9254601AE26}"/>
    <cellStyle name="Normal 2 4 2 3 3 2 2 3" xfId="5094" xr:uid="{00000000-0005-0000-0000-0000ED0E0000}"/>
    <cellStyle name="Normal 2 4 2 3 3 2 2 3 2" xfId="14420" xr:uid="{E2C649F0-F43E-4335-A1C2-ADB3493AAE73}"/>
    <cellStyle name="Normal 2 4 2 3 3 2 2 4" xfId="9523" xr:uid="{49BCB42B-3FEB-4D87-8E20-52FE775F87DD}"/>
    <cellStyle name="Normal 2 4 2 3 3 2 2 4 2" xfId="18838" xr:uid="{EF6346B1-950F-4B26-94AF-411A31E934E3}"/>
    <cellStyle name="Normal 2 4 2 3 3 2 2 5" xfId="10203" xr:uid="{A715C440-5EAE-4E30-AC1E-EA441E044DBE}"/>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B9756114-EED9-427C-B9BD-EC6E9A160BA0}"/>
    <cellStyle name="Normal 2 4 2 3 3 2 3 2 3" xfId="12761" xr:uid="{FEC77D1E-8DE9-4DF1-B88B-572D5328067D}"/>
    <cellStyle name="Normal 2 4 2 3 3 2 3 3" xfId="5507" xr:uid="{00000000-0005-0000-0000-0000F10E0000}"/>
    <cellStyle name="Normal 2 4 2 3 3 2 3 3 2" xfId="14833" xr:uid="{AA88FD02-CCC9-41A3-936F-F5AFFE4DFE46}"/>
    <cellStyle name="Normal 2 4 2 3 3 2 3 4" xfId="10616" xr:uid="{12AD217F-404D-43DA-9200-D3A4E41B25AA}"/>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300FE7F9-563D-4FCB-9433-E33BC167C5B4}"/>
    <cellStyle name="Normal 2 4 2 3 3 2 4 2 3" xfId="13174" xr:uid="{7013F415-FF82-41D5-859B-994C029D32BE}"/>
    <cellStyle name="Normal 2 4 2 3 3 2 4 3" xfId="5920" xr:uid="{00000000-0005-0000-0000-0000F50E0000}"/>
    <cellStyle name="Normal 2 4 2 3 3 2 4 3 2" xfId="15246" xr:uid="{7137CD50-9084-4D7A-9E49-92C76E12634D}"/>
    <cellStyle name="Normal 2 4 2 3 3 2 4 4" xfId="11029" xr:uid="{868EBD18-8221-449D-9DFD-9EEA55DFD77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169C85E3-7D5E-4AEF-99B6-70410C3ABA65}"/>
    <cellStyle name="Normal 2 4 2 3 3 2 5 2 3" xfId="13587" xr:uid="{9568CA4A-2E4B-48B1-99B4-A5B646D9E782}"/>
    <cellStyle name="Normal 2 4 2 3 3 2 5 3" xfId="6333" xr:uid="{00000000-0005-0000-0000-0000F90E0000}"/>
    <cellStyle name="Normal 2 4 2 3 3 2 5 3 2" xfId="15659" xr:uid="{F8658009-028B-49DB-959B-1E4537C3EB16}"/>
    <cellStyle name="Normal 2 4 2 3 3 2 5 4" xfId="11442" xr:uid="{CE4A6EF0-3276-46A0-A587-688FA221D152}"/>
    <cellStyle name="Normal 2 4 2 3 3 2 6" xfId="2463" xr:uid="{00000000-0005-0000-0000-0000FA0E0000}"/>
    <cellStyle name="Normal 2 4 2 3 3 2 6 2" xfId="6746" xr:uid="{00000000-0005-0000-0000-0000FB0E0000}"/>
    <cellStyle name="Normal 2 4 2 3 3 2 6 2 2" xfId="16072" xr:uid="{D1E72357-77F7-41D5-AE07-95BEC9B31FA4}"/>
    <cellStyle name="Normal 2 4 2 3 3 2 6 3" xfId="11855" xr:uid="{D392D693-8013-4C3B-AF55-7499AD46603E}"/>
    <cellStyle name="Normal 2 4 2 3 3 2 7" xfId="4680" xr:uid="{00000000-0005-0000-0000-0000FC0E0000}"/>
    <cellStyle name="Normal 2 4 2 3 3 2 7 2" xfId="14006" xr:uid="{C0261F95-0608-48B0-BE94-8FD864E9D691}"/>
    <cellStyle name="Normal 2 4 2 3 3 2 8" xfId="9098" xr:uid="{15335B31-FFDD-479D-88EC-FAB83DC4E6EC}"/>
    <cellStyle name="Normal 2 4 2 3 3 2 8 2" xfId="18422" xr:uid="{41C6DC0A-2A46-48C2-B5AC-CA34A9FCF5F0}"/>
    <cellStyle name="Normal 2 4 2 3 3 2 9" xfId="9789" xr:uid="{4184F645-CFA8-4668-982A-41ACBAC6227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D4B6EAD3-982D-4291-A861-EC628149AE07}"/>
    <cellStyle name="Normal 2 4 2 3 3 3 2 3" xfId="12347" xr:uid="{364D0FD6-7983-4BED-93E9-C20856E3DD71}"/>
    <cellStyle name="Normal 2 4 2 3 3 3 3" xfId="5093" xr:uid="{00000000-0005-0000-0000-0000000F0000}"/>
    <cellStyle name="Normal 2 4 2 3 3 3 3 2" xfId="14419" xr:uid="{BD4EE0D4-DC68-4610-93F4-7ADE7DEE18F1}"/>
    <cellStyle name="Normal 2 4 2 3 3 3 4" xfId="9316" xr:uid="{C8C83D09-5A3A-4C90-8A04-9D7CD8C85B11}"/>
    <cellStyle name="Normal 2 4 2 3 3 3 4 2" xfId="18631" xr:uid="{C7B742CD-88C5-4DA4-9CEA-01F4AA0F14ED}"/>
    <cellStyle name="Normal 2 4 2 3 3 3 5" xfId="10202" xr:uid="{5EA280F1-366F-442C-8421-5225D0262AB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314B1C34-3FFC-4904-BDC5-67D6D87028C4}"/>
    <cellStyle name="Normal 2 4 2 3 3 4 2 3" xfId="12760" xr:uid="{5F382123-6090-44CC-9288-010EF6AF175A}"/>
    <cellStyle name="Normal 2 4 2 3 3 4 3" xfId="5506" xr:uid="{00000000-0005-0000-0000-0000040F0000}"/>
    <cellStyle name="Normal 2 4 2 3 3 4 3 2" xfId="14832" xr:uid="{68FE5B96-C071-4508-8FE9-F5D4119AA1D1}"/>
    <cellStyle name="Normal 2 4 2 3 3 4 4" xfId="10615" xr:uid="{9806151D-C289-4D67-9DCC-6639AD8702E7}"/>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FB5387AB-4A3C-4F04-A2CA-FE1397770AFA}"/>
    <cellStyle name="Normal 2 4 2 3 3 5 2 3" xfId="13173" xr:uid="{6B53008F-30A0-4C7F-B2E1-D0BF304A0210}"/>
    <cellStyle name="Normal 2 4 2 3 3 5 3" xfId="5919" xr:uid="{00000000-0005-0000-0000-0000080F0000}"/>
    <cellStyle name="Normal 2 4 2 3 3 5 3 2" xfId="15245" xr:uid="{5C8C012D-BDC4-4E80-AD41-CE33504329CC}"/>
    <cellStyle name="Normal 2 4 2 3 3 5 4" xfId="11028" xr:uid="{1D097E7F-0603-4701-80E3-BB50B182E6B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FC861EDC-554A-4EB3-8AEA-FF126AFAFF8A}"/>
    <cellStyle name="Normal 2 4 2 3 3 6 2 3" xfId="13586" xr:uid="{C8D49CDA-4408-43EC-9E1E-4BC4C7AE4E47}"/>
    <cellStyle name="Normal 2 4 2 3 3 6 3" xfId="6332" xr:uid="{00000000-0005-0000-0000-00000C0F0000}"/>
    <cellStyle name="Normal 2 4 2 3 3 6 3 2" xfId="15658" xr:uid="{8311D638-A0D7-4F84-832D-291E61956FF6}"/>
    <cellStyle name="Normal 2 4 2 3 3 6 4" xfId="11441" xr:uid="{9E916F75-F5DF-465F-9178-824B1009A87D}"/>
    <cellStyle name="Normal 2 4 2 3 3 7" xfId="2462" xr:uid="{00000000-0005-0000-0000-00000D0F0000}"/>
    <cellStyle name="Normal 2 4 2 3 3 7 2" xfId="6745" xr:uid="{00000000-0005-0000-0000-00000E0F0000}"/>
    <cellStyle name="Normal 2 4 2 3 3 7 2 2" xfId="16071" xr:uid="{8B4D9200-6676-46D3-9C42-FF5B8F4AB900}"/>
    <cellStyle name="Normal 2 4 2 3 3 7 3" xfId="11854" xr:uid="{85738F2A-7340-4F28-885F-4311DF47C675}"/>
    <cellStyle name="Normal 2 4 2 3 3 8" xfId="4679" xr:uid="{00000000-0005-0000-0000-00000F0F0000}"/>
    <cellStyle name="Normal 2 4 2 3 3 8 2" xfId="14005" xr:uid="{351CA400-E565-4DAF-94A5-934D1886107F}"/>
    <cellStyle name="Normal 2 4 2 3 3 9" xfId="8891" xr:uid="{D2DF60A1-A34B-4A3F-B29E-E581EFBA8360}"/>
    <cellStyle name="Normal 2 4 2 3 3 9 2" xfId="18215" xr:uid="{D94828C2-EEC2-4F23-9691-A475FE359CBF}"/>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89CCA7CA-0869-443F-9350-7F5D77C2746F}"/>
    <cellStyle name="Normal 2 4 2 3 4 2 2 3" xfId="12349" xr:uid="{13F1762F-F2E9-40E7-9432-8287E596DB09}"/>
    <cellStyle name="Normal 2 4 2 3 4 2 3" xfId="5095" xr:uid="{00000000-0005-0000-0000-0000140F0000}"/>
    <cellStyle name="Normal 2 4 2 3 4 2 3 2" xfId="14421" xr:uid="{EB7076E6-460A-4B5D-9DE3-A1028B925041}"/>
    <cellStyle name="Normal 2 4 2 3 4 2 4" xfId="9420" xr:uid="{49E252B3-99BC-416A-A0CB-FE2641ECFDE3}"/>
    <cellStyle name="Normal 2 4 2 3 4 2 4 2" xfId="18735" xr:uid="{C91A61C8-9970-4273-B27D-DDE35846D8E4}"/>
    <cellStyle name="Normal 2 4 2 3 4 2 5" xfId="10204" xr:uid="{D78CAA3F-AA77-4E11-BDFB-39475328C554}"/>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9322A509-F6F0-412A-8060-AA8DE70A4BAF}"/>
    <cellStyle name="Normal 2 4 2 3 4 3 2 3" xfId="12762" xr:uid="{3C819806-2CEC-427A-BD83-BC6801BC5A68}"/>
    <cellStyle name="Normal 2 4 2 3 4 3 3" xfId="5508" xr:uid="{00000000-0005-0000-0000-0000180F0000}"/>
    <cellStyle name="Normal 2 4 2 3 4 3 3 2" xfId="14834" xr:uid="{5D4AEC5A-4A53-48D0-965E-8002B40FE930}"/>
    <cellStyle name="Normal 2 4 2 3 4 3 4" xfId="10617" xr:uid="{AF1D8152-8894-4BB3-9C19-EF1E0C208946}"/>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9BC9DCAE-56C3-4901-A1F9-6F9209AE1145}"/>
    <cellStyle name="Normal 2 4 2 3 4 4 2 3" xfId="13175" xr:uid="{A20F2927-98F5-422C-82E9-5A8B6C49D77E}"/>
    <cellStyle name="Normal 2 4 2 3 4 4 3" xfId="5921" xr:uid="{00000000-0005-0000-0000-00001C0F0000}"/>
    <cellStyle name="Normal 2 4 2 3 4 4 3 2" xfId="15247" xr:uid="{AE34BDBD-1739-4E0B-8673-278C1D494ACE}"/>
    <cellStyle name="Normal 2 4 2 3 4 4 4" xfId="11030" xr:uid="{7B29ACEA-C5FF-411A-B604-4D9593C2EECC}"/>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C3FE0531-FC54-4B13-A036-3B6F56A33058}"/>
    <cellStyle name="Normal 2 4 2 3 4 5 2 3" xfId="13588" xr:uid="{E55A725E-BC08-4AAE-8A98-0CA8B77DB803}"/>
    <cellStyle name="Normal 2 4 2 3 4 5 3" xfId="6334" xr:uid="{00000000-0005-0000-0000-0000200F0000}"/>
    <cellStyle name="Normal 2 4 2 3 4 5 3 2" xfId="15660" xr:uid="{4909DEF2-B9B1-4B9E-A8F5-FF543FC3C79B}"/>
    <cellStyle name="Normal 2 4 2 3 4 5 4" xfId="11443" xr:uid="{B9D5C7B5-F5E1-483E-986D-AEB42BC8AF44}"/>
    <cellStyle name="Normal 2 4 2 3 4 6" xfId="2464" xr:uid="{00000000-0005-0000-0000-0000210F0000}"/>
    <cellStyle name="Normal 2 4 2 3 4 6 2" xfId="6747" xr:uid="{00000000-0005-0000-0000-0000220F0000}"/>
    <cellStyle name="Normal 2 4 2 3 4 6 2 2" xfId="16073" xr:uid="{B450C5F1-FCCB-47B1-AF78-72F356D201EC}"/>
    <cellStyle name="Normal 2 4 2 3 4 6 3" xfId="11856" xr:uid="{DBB7BAA5-4250-464A-B4D2-D0B603E30B5D}"/>
    <cellStyle name="Normal 2 4 2 3 4 7" xfId="4681" xr:uid="{00000000-0005-0000-0000-0000230F0000}"/>
    <cellStyle name="Normal 2 4 2 3 4 7 2" xfId="14007" xr:uid="{BBE337EE-84FD-47B3-B456-CDF751E369AD}"/>
    <cellStyle name="Normal 2 4 2 3 4 8" xfId="8995" xr:uid="{EEE25A27-4C18-4948-8341-FF27707A7A86}"/>
    <cellStyle name="Normal 2 4 2 3 4 8 2" xfId="18319" xr:uid="{34BB497E-2EA8-4D4C-946B-1D7EF1899FA0}"/>
    <cellStyle name="Normal 2 4 2 3 4 9" xfId="9790" xr:uid="{153DBD10-5AB2-40D5-8C50-16927627EAF7}"/>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59FDE173-0E9F-4CC6-9F8D-4AAC6CCD8712}"/>
    <cellStyle name="Normal 2 4 2 3 5 2 3" xfId="12342" xr:uid="{7FCDAB4E-36D3-445C-9BB5-3572BB87B6D8}"/>
    <cellStyle name="Normal 2 4 2 3 5 3" xfId="5088" xr:uid="{00000000-0005-0000-0000-0000270F0000}"/>
    <cellStyle name="Normal 2 4 2 3 5 3 2" xfId="14414" xr:uid="{62FE6D49-15E2-4C25-BB90-F232B71E8B81}"/>
    <cellStyle name="Normal 2 4 2 3 5 4" xfId="9212" xr:uid="{39F1BF9F-C79C-4226-B2D8-665EAA6F3686}"/>
    <cellStyle name="Normal 2 4 2 3 5 4 2" xfId="18528" xr:uid="{60ADAA26-114F-4258-B6FF-FE4F2D45293B}"/>
    <cellStyle name="Normal 2 4 2 3 5 5" xfId="10197" xr:uid="{20B06282-9E6C-4E39-9AC3-3E8FE5A66AB2}"/>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C7CBCC83-E56C-46E7-8865-DB4E04C5EBB3}"/>
    <cellStyle name="Normal 2 4 2 3 6 2 3" xfId="12755" xr:uid="{F40493B5-6730-4254-9230-85F346CF5070}"/>
    <cellStyle name="Normal 2 4 2 3 6 3" xfId="5501" xr:uid="{00000000-0005-0000-0000-00002B0F0000}"/>
    <cellStyle name="Normal 2 4 2 3 6 3 2" xfId="14827" xr:uid="{8D5483C7-D96A-4A66-A24C-26CA4DF0F59F}"/>
    <cellStyle name="Normal 2 4 2 3 6 4" xfId="10610" xr:uid="{C0267D87-3F61-46AD-8CD3-6AEF1F255A1E}"/>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26FB4DC1-9025-4214-A3C9-B536769C8DCA}"/>
    <cellStyle name="Normal 2 4 2 3 7 2 3" xfId="13168" xr:uid="{75209A18-A6B9-48E3-9C3F-5EB060F93F71}"/>
    <cellStyle name="Normal 2 4 2 3 7 3" xfId="5914" xr:uid="{00000000-0005-0000-0000-00002F0F0000}"/>
    <cellStyle name="Normal 2 4 2 3 7 3 2" xfId="15240" xr:uid="{C8715F40-9F25-447E-B83D-75B58A6C1BDD}"/>
    <cellStyle name="Normal 2 4 2 3 7 4" xfId="11023" xr:uid="{DA6BBA9B-908C-4AB8-A042-444E7C75834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A020D7D5-53E0-43AC-8F05-65DAAF1CE103}"/>
    <cellStyle name="Normal 2 4 2 3 8 2 3" xfId="13581" xr:uid="{8CE73BA2-351C-4365-BB56-622B97595D87}"/>
    <cellStyle name="Normal 2 4 2 3 8 3" xfId="6327" xr:uid="{00000000-0005-0000-0000-0000330F0000}"/>
    <cellStyle name="Normal 2 4 2 3 8 3 2" xfId="15653" xr:uid="{980C5A6B-0B60-46BA-ADB7-76DF67D27D3D}"/>
    <cellStyle name="Normal 2 4 2 3 8 4" xfId="11436" xr:uid="{CA5D7D7F-E586-4964-876E-A038A3607F12}"/>
    <cellStyle name="Normal 2 4 2 3 9" xfId="2457" xr:uid="{00000000-0005-0000-0000-0000340F0000}"/>
    <cellStyle name="Normal 2 4 2 3 9 2" xfId="6740" xr:uid="{00000000-0005-0000-0000-0000350F0000}"/>
    <cellStyle name="Normal 2 4 2 3 9 2 2" xfId="16066" xr:uid="{0B11F995-7596-49D6-9550-2E0EA5BEFDCB}"/>
    <cellStyle name="Normal 2 4 2 3 9 3" xfId="11849" xr:uid="{FBC96889-1F2F-4AC9-8AFD-CE04FA96A65F}"/>
    <cellStyle name="Normal 2 4 2 4" xfId="289" xr:uid="{00000000-0005-0000-0000-0000360F0000}"/>
    <cellStyle name="Normal 2 4 2 4 10" xfId="8812" xr:uid="{C2E08BA7-2068-4F74-AFE2-E0AED0B82FE2}"/>
    <cellStyle name="Normal 2 4 2 4 10 2" xfId="18136" xr:uid="{C2D7F015-CB1D-4E58-9574-9417C46EE710}"/>
    <cellStyle name="Normal 2 4 2 4 11" xfId="9791" xr:uid="{6F8314C6-5DF4-461C-8588-26B0FE1A7473}"/>
    <cellStyle name="Normal 2 4 2 4 2" xfId="290" xr:uid="{00000000-0005-0000-0000-0000370F0000}"/>
    <cellStyle name="Normal 2 4 2 4 2 10" xfId="9792" xr:uid="{7037F226-8F50-4F38-941D-7AFC0659401A}"/>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14B0F987-2E74-4D7B-96DD-2021CFE7267E}"/>
    <cellStyle name="Normal 2 4 2 4 2 2 2 2 3" xfId="12352" xr:uid="{9DAA3D58-F27B-43B4-AAA4-56AE6DF6E44A}"/>
    <cellStyle name="Normal 2 4 2 4 2 2 2 3" xfId="5098" xr:uid="{00000000-0005-0000-0000-00003C0F0000}"/>
    <cellStyle name="Normal 2 4 2 4 2 2 2 3 2" xfId="14424" xr:uid="{EF478C10-7272-4ADF-A9EB-7B756B40F52C}"/>
    <cellStyle name="Normal 2 4 2 4 2 2 2 4" xfId="9547" xr:uid="{F8909421-8B16-4168-8B85-A5523C430C3C}"/>
    <cellStyle name="Normal 2 4 2 4 2 2 2 4 2" xfId="18862" xr:uid="{9C3805D5-8CC8-4A56-AB13-27C64E15233B}"/>
    <cellStyle name="Normal 2 4 2 4 2 2 2 5" xfId="10207" xr:uid="{223CA5EE-DB24-4DCB-ADCC-BB74D16B2F3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E5EBC99E-E796-467D-91BA-2B132532844F}"/>
    <cellStyle name="Normal 2 4 2 4 2 2 3 2 3" xfId="12765" xr:uid="{EFC79136-E9F2-4A33-A776-74C1B28CC195}"/>
    <cellStyle name="Normal 2 4 2 4 2 2 3 3" xfId="5511" xr:uid="{00000000-0005-0000-0000-0000400F0000}"/>
    <cellStyle name="Normal 2 4 2 4 2 2 3 3 2" xfId="14837" xr:uid="{FA5C3309-4AD5-4A12-83EC-960EE0F25AA7}"/>
    <cellStyle name="Normal 2 4 2 4 2 2 3 4" xfId="10620" xr:uid="{0497FD70-B021-4F64-BA01-28849C999DDB}"/>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F62ECB8E-E51C-430C-935C-120D6C2376B0}"/>
    <cellStyle name="Normal 2 4 2 4 2 2 4 2 3" xfId="13178" xr:uid="{B4E8C6F8-5E4D-4E1D-B400-5336058CCB00}"/>
    <cellStyle name="Normal 2 4 2 4 2 2 4 3" xfId="5924" xr:uid="{00000000-0005-0000-0000-0000440F0000}"/>
    <cellStyle name="Normal 2 4 2 4 2 2 4 3 2" xfId="15250" xr:uid="{41FE9603-DE57-4821-8A1A-A2280EA499F7}"/>
    <cellStyle name="Normal 2 4 2 4 2 2 4 4" xfId="11033" xr:uid="{7126434B-66C7-4070-B4B4-082D71ECF7AD}"/>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057AA2D5-8F85-4F6D-AA73-32CF00529298}"/>
    <cellStyle name="Normal 2 4 2 4 2 2 5 2 3" xfId="13591" xr:uid="{068A45EF-171B-4CE9-9CAB-AD23F9DB61C8}"/>
    <cellStyle name="Normal 2 4 2 4 2 2 5 3" xfId="6337" xr:uid="{00000000-0005-0000-0000-0000480F0000}"/>
    <cellStyle name="Normal 2 4 2 4 2 2 5 3 2" xfId="15663" xr:uid="{85D60EC3-0FC9-4ABC-B9FB-18E2242CDF5D}"/>
    <cellStyle name="Normal 2 4 2 4 2 2 5 4" xfId="11446" xr:uid="{7490ADD2-9647-4AD4-8872-6754D3ADD092}"/>
    <cellStyle name="Normal 2 4 2 4 2 2 6" xfId="2467" xr:uid="{00000000-0005-0000-0000-0000490F0000}"/>
    <cellStyle name="Normal 2 4 2 4 2 2 6 2" xfId="6750" xr:uid="{00000000-0005-0000-0000-00004A0F0000}"/>
    <cellStyle name="Normal 2 4 2 4 2 2 6 2 2" xfId="16076" xr:uid="{0518EE24-5C81-4FF5-8130-656268D9BF41}"/>
    <cellStyle name="Normal 2 4 2 4 2 2 6 3" xfId="11859" xr:uid="{040E66C5-7ECC-4312-ABAD-9A5CADFA1757}"/>
    <cellStyle name="Normal 2 4 2 4 2 2 7" xfId="4684" xr:uid="{00000000-0005-0000-0000-00004B0F0000}"/>
    <cellStyle name="Normal 2 4 2 4 2 2 7 2" xfId="14010" xr:uid="{9FD72EED-68D5-4443-B447-B46228340099}"/>
    <cellStyle name="Normal 2 4 2 4 2 2 8" xfId="9122" xr:uid="{861CB008-611F-4F3F-9D09-5BCA5A4CB255}"/>
    <cellStyle name="Normal 2 4 2 4 2 2 8 2" xfId="18446" xr:uid="{9E88643A-7F1E-4197-84EF-21D1EA4FD324}"/>
    <cellStyle name="Normal 2 4 2 4 2 2 9" xfId="9793" xr:uid="{5E5263DF-9185-49EA-97F3-BEA98C71538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D5BB9B72-2F52-4DE4-9B47-E5DA09D49C48}"/>
    <cellStyle name="Normal 2 4 2 4 2 3 2 3" xfId="12351" xr:uid="{1B4ED809-990C-4462-B0EB-DCD0D1D386B3}"/>
    <cellStyle name="Normal 2 4 2 4 2 3 3" xfId="5097" xr:uid="{00000000-0005-0000-0000-00004F0F0000}"/>
    <cellStyle name="Normal 2 4 2 4 2 3 3 2" xfId="14423" xr:uid="{D36D3B3D-DB94-4E09-B461-16F5FF360173}"/>
    <cellStyle name="Normal 2 4 2 4 2 3 4" xfId="9340" xr:uid="{2D1F2F91-F6E8-42AC-98D0-B8667E0ECE37}"/>
    <cellStyle name="Normal 2 4 2 4 2 3 4 2" xfId="18655" xr:uid="{E913B239-8709-4833-ADF8-A0592589E4FA}"/>
    <cellStyle name="Normal 2 4 2 4 2 3 5" xfId="10206" xr:uid="{38B1945D-7D62-47C9-9098-B7427F939AC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48610BD9-FA85-4D51-8814-7EFAB9E93A4F}"/>
    <cellStyle name="Normal 2 4 2 4 2 4 2 3" xfId="12764" xr:uid="{88A17BEA-00B9-4970-B663-72C0F49234A7}"/>
    <cellStyle name="Normal 2 4 2 4 2 4 3" xfId="5510" xr:uid="{00000000-0005-0000-0000-0000530F0000}"/>
    <cellStyle name="Normal 2 4 2 4 2 4 3 2" xfId="14836" xr:uid="{DB61DD33-557E-4123-A9B9-F00233A318D4}"/>
    <cellStyle name="Normal 2 4 2 4 2 4 4" xfId="10619" xr:uid="{278685FC-9E97-4C4B-A25B-A74F033EFE15}"/>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88935D87-17B7-450A-BB42-55A8EB552697}"/>
    <cellStyle name="Normal 2 4 2 4 2 5 2 3" xfId="13177" xr:uid="{58487E18-CE4B-4490-94EB-5E5CFE435715}"/>
    <cellStyle name="Normal 2 4 2 4 2 5 3" xfId="5923" xr:uid="{00000000-0005-0000-0000-0000570F0000}"/>
    <cellStyle name="Normal 2 4 2 4 2 5 3 2" xfId="15249" xr:uid="{E8FBD63A-3B5F-4DA5-A0A8-BA12C224DBF4}"/>
    <cellStyle name="Normal 2 4 2 4 2 5 4" xfId="11032" xr:uid="{BBA0529F-55D5-4FDC-AA02-3FF6232923B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73BFDB01-6949-47A9-9BFE-69213C263576}"/>
    <cellStyle name="Normal 2 4 2 4 2 6 2 3" xfId="13590" xr:uid="{F5BEA864-44D5-480C-88A3-77925F05E6DC}"/>
    <cellStyle name="Normal 2 4 2 4 2 6 3" xfId="6336" xr:uid="{00000000-0005-0000-0000-00005B0F0000}"/>
    <cellStyle name="Normal 2 4 2 4 2 6 3 2" xfId="15662" xr:uid="{87070AA5-9B66-444C-861A-C8691315922A}"/>
    <cellStyle name="Normal 2 4 2 4 2 6 4" xfId="11445" xr:uid="{A6760671-FB52-4867-B399-4CF998229891}"/>
    <cellStyle name="Normal 2 4 2 4 2 7" xfId="2466" xr:uid="{00000000-0005-0000-0000-00005C0F0000}"/>
    <cellStyle name="Normal 2 4 2 4 2 7 2" xfId="6749" xr:uid="{00000000-0005-0000-0000-00005D0F0000}"/>
    <cellStyle name="Normal 2 4 2 4 2 7 2 2" xfId="16075" xr:uid="{BF54C1B9-71A2-4C4B-929A-367BDD61DE8C}"/>
    <cellStyle name="Normal 2 4 2 4 2 7 3" xfId="11858" xr:uid="{4C52EFD6-3346-40C7-9439-066209369E15}"/>
    <cellStyle name="Normal 2 4 2 4 2 8" xfId="4683" xr:uid="{00000000-0005-0000-0000-00005E0F0000}"/>
    <cellStyle name="Normal 2 4 2 4 2 8 2" xfId="14009" xr:uid="{DD1B159A-8CF5-4B28-8726-E5B2070067B7}"/>
    <cellStyle name="Normal 2 4 2 4 2 9" xfId="8915" xr:uid="{2BEB15AA-2AFA-47D4-AC0E-63DAF2CFE119}"/>
    <cellStyle name="Normal 2 4 2 4 2 9 2" xfId="18239" xr:uid="{2AD0811F-047F-4001-8FFC-44BCA1F6A588}"/>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B6E12296-EA32-4248-BE91-6CF2D9FB342E}"/>
    <cellStyle name="Normal 2 4 2 4 3 2 2 3" xfId="12353" xr:uid="{51F5A75C-5200-40F0-B57E-4FF671511B45}"/>
    <cellStyle name="Normal 2 4 2 4 3 2 3" xfId="5099" xr:uid="{00000000-0005-0000-0000-0000630F0000}"/>
    <cellStyle name="Normal 2 4 2 4 3 2 3 2" xfId="14425" xr:uid="{E72EF3D6-7E49-484F-A677-425A1E4B2C92}"/>
    <cellStyle name="Normal 2 4 2 4 3 2 4" xfId="9444" xr:uid="{807939DF-E7C0-4015-A3D8-AE9E56020172}"/>
    <cellStyle name="Normal 2 4 2 4 3 2 4 2" xfId="18759" xr:uid="{6C95898B-826B-475A-925B-F504CB1C64B7}"/>
    <cellStyle name="Normal 2 4 2 4 3 2 5" xfId="10208" xr:uid="{2F542D03-2D60-452F-B910-40F0BC0994E5}"/>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890D72A9-3C40-48AD-8C98-7CF48C74BC47}"/>
    <cellStyle name="Normal 2 4 2 4 3 3 2 3" xfId="12766" xr:uid="{6B9214D1-6E4E-4DA7-A749-681F981F5448}"/>
    <cellStyle name="Normal 2 4 2 4 3 3 3" xfId="5512" xr:uid="{00000000-0005-0000-0000-0000670F0000}"/>
    <cellStyle name="Normal 2 4 2 4 3 3 3 2" xfId="14838" xr:uid="{FC81E74B-504D-46B7-B4CC-7D95F7C9341A}"/>
    <cellStyle name="Normal 2 4 2 4 3 3 4" xfId="10621" xr:uid="{5C05F1A0-AF06-4D91-AC05-0552A5B5C4EE}"/>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A3A21B79-AF59-4BDA-B0A1-74E523496F97}"/>
    <cellStyle name="Normal 2 4 2 4 3 4 2 3" xfId="13179" xr:uid="{F6C0EEAC-B201-4C63-9B1D-88AEC71F932B}"/>
    <cellStyle name="Normal 2 4 2 4 3 4 3" xfId="5925" xr:uid="{00000000-0005-0000-0000-00006B0F0000}"/>
    <cellStyle name="Normal 2 4 2 4 3 4 3 2" xfId="15251" xr:uid="{ED8C1A6E-F116-4DC9-8BED-1E58F1A762B0}"/>
    <cellStyle name="Normal 2 4 2 4 3 4 4" xfId="11034" xr:uid="{3897CA07-028B-4682-9F0D-D7010265F306}"/>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F6EDBE42-65D2-4498-ABAD-478DDCA00151}"/>
    <cellStyle name="Normal 2 4 2 4 3 5 2 3" xfId="13592" xr:uid="{A2592906-D718-4717-8B5A-59AB721A7902}"/>
    <cellStyle name="Normal 2 4 2 4 3 5 3" xfId="6338" xr:uid="{00000000-0005-0000-0000-00006F0F0000}"/>
    <cellStyle name="Normal 2 4 2 4 3 5 3 2" xfId="15664" xr:uid="{7EE90C47-C977-4EDD-A8CA-6F3CE8F22C8B}"/>
    <cellStyle name="Normal 2 4 2 4 3 5 4" xfId="11447" xr:uid="{28D48F88-A4D7-42D8-BAC7-7E8180BBD99A}"/>
    <cellStyle name="Normal 2 4 2 4 3 6" xfId="2468" xr:uid="{00000000-0005-0000-0000-0000700F0000}"/>
    <cellStyle name="Normal 2 4 2 4 3 6 2" xfId="6751" xr:uid="{00000000-0005-0000-0000-0000710F0000}"/>
    <cellStyle name="Normal 2 4 2 4 3 6 2 2" xfId="16077" xr:uid="{D139B25E-70B5-4CA9-B3D9-8365B77D8F60}"/>
    <cellStyle name="Normal 2 4 2 4 3 6 3" xfId="11860" xr:uid="{DC57205E-D225-4432-BCC0-050D12469118}"/>
    <cellStyle name="Normal 2 4 2 4 3 7" xfId="4685" xr:uid="{00000000-0005-0000-0000-0000720F0000}"/>
    <cellStyle name="Normal 2 4 2 4 3 7 2" xfId="14011" xr:uid="{660F1BD3-9A79-49ED-B44A-9BEB3C29487B}"/>
    <cellStyle name="Normal 2 4 2 4 3 8" xfId="9019" xr:uid="{1F22810F-FF7D-4FF4-861A-F2BA8F253428}"/>
    <cellStyle name="Normal 2 4 2 4 3 8 2" xfId="18343" xr:uid="{DE0AB19D-26B0-4946-B753-DA909A1DB8DB}"/>
    <cellStyle name="Normal 2 4 2 4 3 9" xfId="9794" xr:uid="{FB9B9128-E395-4A46-BBD0-98684D1C8076}"/>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F29C85F0-B761-4791-8481-A44797BCC3C4}"/>
    <cellStyle name="Normal 2 4 2 4 4 2 3" xfId="12350" xr:uid="{A88170D7-52DE-4BDD-91EB-003D1C4AA012}"/>
    <cellStyle name="Normal 2 4 2 4 4 3" xfId="5096" xr:uid="{00000000-0005-0000-0000-0000760F0000}"/>
    <cellStyle name="Normal 2 4 2 4 4 3 2" xfId="14422" xr:uid="{62CEE960-265D-41DB-8C47-4F7B80F26959}"/>
    <cellStyle name="Normal 2 4 2 4 4 4" xfId="9237" xr:uid="{FF4B133D-A40B-4895-9E3D-E727B18E66C8}"/>
    <cellStyle name="Normal 2 4 2 4 4 4 2" xfId="18552" xr:uid="{1A496241-F29A-4C13-81DB-6AF8CF2625E9}"/>
    <cellStyle name="Normal 2 4 2 4 4 5" xfId="10205" xr:uid="{D1E0A52D-4BD3-4BA9-873E-7361C72D44D7}"/>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A5543310-012B-4D97-B3ED-93279CCD306F}"/>
    <cellStyle name="Normal 2 4 2 4 5 2 3" xfId="12763" xr:uid="{0081B734-8776-428F-BA39-AEA6C7E23857}"/>
    <cellStyle name="Normal 2 4 2 4 5 3" xfId="5509" xr:uid="{00000000-0005-0000-0000-00007A0F0000}"/>
    <cellStyle name="Normal 2 4 2 4 5 3 2" xfId="14835" xr:uid="{F6579EA1-F43B-4E52-9175-426BA696C057}"/>
    <cellStyle name="Normal 2 4 2 4 5 4" xfId="10618" xr:uid="{B1AE41CF-2EA1-4A82-9DC7-D922F7281D4D}"/>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52269D74-E499-4124-8760-000FAEC17DB7}"/>
    <cellStyle name="Normal 2 4 2 4 6 2 3" xfId="13176" xr:uid="{F23ED5E5-964F-4BA5-BFED-7F6CA724148A}"/>
    <cellStyle name="Normal 2 4 2 4 6 3" xfId="5922" xr:uid="{00000000-0005-0000-0000-00007E0F0000}"/>
    <cellStyle name="Normal 2 4 2 4 6 3 2" xfId="15248" xr:uid="{11E1CF84-8467-473A-9D68-277C54458894}"/>
    <cellStyle name="Normal 2 4 2 4 6 4" xfId="11031" xr:uid="{A9739DEE-1444-4560-B485-D58E54D14D39}"/>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F33120D7-6BBE-4CC4-997D-D85495BACCC0}"/>
    <cellStyle name="Normal 2 4 2 4 7 2 3" xfId="13589" xr:uid="{C8E4CB7C-BC21-4225-9578-47BEC4F42880}"/>
    <cellStyle name="Normal 2 4 2 4 7 3" xfId="6335" xr:uid="{00000000-0005-0000-0000-0000820F0000}"/>
    <cellStyle name="Normal 2 4 2 4 7 3 2" xfId="15661" xr:uid="{B26DF072-7157-4403-84AC-E9A956254990}"/>
    <cellStyle name="Normal 2 4 2 4 7 4" xfId="11444" xr:uid="{BDDEDB5E-2370-43F0-AC79-4AA0EDE616F5}"/>
    <cellStyle name="Normal 2 4 2 4 8" xfId="2465" xr:uid="{00000000-0005-0000-0000-0000830F0000}"/>
    <cellStyle name="Normal 2 4 2 4 8 2" xfId="6748" xr:uid="{00000000-0005-0000-0000-0000840F0000}"/>
    <cellStyle name="Normal 2 4 2 4 8 2 2" xfId="16074" xr:uid="{A33C65C0-CF81-49AD-8387-59B301910F1D}"/>
    <cellStyle name="Normal 2 4 2 4 8 3" xfId="11857" xr:uid="{265DD558-7654-4315-B96B-CBE79D229977}"/>
    <cellStyle name="Normal 2 4 2 4 9" xfId="4682" xr:uid="{00000000-0005-0000-0000-0000850F0000}"/>
    <cellStyle name="Normal 2 4 2 4 9 2" xfId="14008" xr:uid="{BA5BA77E-11EA-435D-AC40-5F6790D177F2}"/>
    <cellStyle name="Normal 2 4 2 5" xfId="293" xr:uid="{00000000-0005-0000-0000-0000860F0000}"/>
    <cellStyle name="Normal 2 4 2 5 10" xfId="9795" xr:uid="{ED8556BB-D71C-4AC4-8352-196841691A49}"/>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83B158B0-5B72-4501-BF9E-0DB8917DDC8E}"/>
    <cellStyle name="Normal 2 4 2 5 2 2 2 3" xfId="12355" xr:uid="{26871878-7F55-4628-98F6-22EF6303CF1A}"/>
    <cellStyle name="Normal 2 4 2 5 2 2 3" xfId="5101" xr:uid="{00000000-0005-0000-0000-00008B0F0000}"/>
    <cellStyle name="Normal 2 4 2 5 2 2 3 2" xfId="14427" xr:uid="{7832F64F-EF5F-4F24-939F-109BF3B1F4EC}"/>
    <cellStyle name="Normal 2 4 2 5 2 2 4" xfId="9492" xr:uid="{07DC9204-2F52-408E-80EE-617A106DD9FD}"/>
    <cellStyle name="Normal 2 4 2 5 2 2 4 2" xfId="18807" xr:uid="{7356EC0D-5FA4-48F9-8FC6-8F821C1267AD}"/>
    <cellStyle name="Normal 2 4 2 5 2 2 5" xfId="10210" xr:uid="{0489E35F-9994-44D2-8F89-5CB732B63ED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5EB2C31-3AEA-47B1-8CFC-14F1EBAAFD11}"/>
    <cellStyle name="Normal 2 4 2 5 2 3 2 3" xfId="12768" xr:uid="{7C7DDAC3-1917-4C0C-ACFB-16B4B52B8786}"/>
    <cellStyle name="Normal 2 4 2 5 2 3 3" xfId="5514" xr:uid="{00000000-0005-0000-0000-00008F0F0000}"/>
    <cellStyle name="Normal 2 4 2 5 2 3 3 2" xfId="14840" xr:uid="{F55EB29E-078E-4D0D-86F7-49A628AE113C}"/>
    <cellStyle name="Normal 2 4 2 5 2 3 4" xfId="10623" xr:uid="{931294B7-9F60-403D-8F4D-824484B8B56C}"/>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9ED4B6C0-D3EF-4170-8134-DA701E71312F}"/>
    <cellStyle name="Normal 2 4 2 5 2 4 2 3" xfId="13181" xr:uid="{35C834B9-B83F-46D0-8EC0-6D6F96B72E76}"/>
    <cellStyle name="Normal 2 4 2 5 2 4 3" xfId="5927" xr:uid="{00000000-0005-0000-0000-0000930F0000}"/>
    <cellStyle name="Normal 2 4 2 5 2 4 3 2" xfId="15253" xr:uid="{D300C35E-BF8A-4B43-892E-7757CABB9E25}"/>
    <cellStyle name="Normal 2 4 2 5 2 4 4" xfId="11036" xr:uid="{24F68612-48A9-4E85-9B07-D8BDCCE0B152}"/>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B5153920-4A71-4050-98FB-44A66E88C54F}"/>
    <cellStyle name="Normal 2 4 2 5 2 5 2 3" xfId="13594" xr:uid="{BFBB4966-2971-450E-8C61-B8609BAA2CD9}"/>
    <cellStyle name="Normal 2 4 2 5 2 5 3" xfId="6340" xr:uid="{00000000-0005-0000-0000-0000970F0000}"/>
    <cellStyle name="Normal 2 4 2 5 2 5 3 2" xfId="15666" xr:uid="{BD93E2A8-5660-40D2-ABD6-C472B153710E}"/>
    <cellStyle name="Normal 2 4 2 5 2 5 4" xfId="11449" xr:uid="{AD7C1BC6-61E2-4912-8082-0BD1E912ACF1}"/>
    <cellStyle name="Normal 2 4 2 5 2 6" xfId="2470" xr:uid="{00000000-0005-0000-0000-0000980F0000}"/>
    <cellStyle name="Normal 2 4 2 5 2 6 2" xfId="6753" xr:uid="{00000000-0005-0000-0000-0000990F0000}"/>
    <cellStyle name="Normal 2 4 2 5 2 6 2 2" xfId="16079" xr:uid="{46B02B94-30F4-49C7-B5BF-443369D8BDEA}"/>
    <cellStyle name="Normal 2 4 2 5 2 6 3" xfId="11862" xr:uid="{154449A9-70E4-45C8-8E08-726589DC0C6E}"/>
    <cellStyle name="Normal 2 4 2 5 2 7" xfId="4687" xr:uid="{00000000-0005-0000-0000-00009A0F0000}"/>
    <cellStyle name="Normal 2 4 2 5 2 7 2" xfId="14013" xr:uid="{20759BC2-7482-47F4-BDBE-B94AAA2FF566}"/>
    <cellStyle name="Normal 2 4 2 5 2 8" xfId="9067" xr:uid="{89D5CB5A-ADE0-44B8-BC1E-FDE984B579C9}"/>
    <cellStyle name="Normal 2 4 2 5 2 8 2" xfId="18391" xr:uid="{758B2B5B-B2D4-49A5-B831-0AC94E373F67}"/>
    <cellStyle name="Normal 2 4 2 5 2 9" xfId="9796" xr:uid="{76BD5B05-A275-4DC8-8FD7-E9738C12C05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BC7F23BD-40A4-4C43-A4D0-4B6C43CBC09D}"/>
    <cellStyle name="Normal 2 4 2 5 3 2 3" xfId="12354" xr:uid="{2B69D5F0-BDAC-49DB-A2A0-98571BB40BF5}"/>
    <cellStyle name="Normal 2 4 2 5 3 3" xfId="5100" xr:uid="{00000000-0005-0000-0000-00009E0F0000}"/>
    <cellStyle name="Normal 2 4 2 5 3 3 2" xfId="14426" xr:uid="{B47FC47F-1806-4071-8DEB-BC090CC0D27E}"/>
    <cellStyle name="Normal 2 4 2 5 3 4" xfId="9285" xr:uid="{5DA39FB9-904E-46D3-8E24-58BF2F19DA5B}"/>
    <cellStyle name="Normal 2 4 2 5 3 4 2" xfId="18600" xr:uid="{374FC760-6095-47F4-85C8-1F0EFF2BD0B3}"/>
    <cellStyle name="Normal 2 4 2 5 3 5" xfId="10209" xr:uid="{E535926D-B249-4E6E-9491-A031FD88FB0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7725C4CE-B400-4ED7-8CC7-AF49DB2009EF}"/>
    <cellStyle name="Normal 2 4 2 5 4 2 3" xfId="12767" xr:uid="{5D44755B-9147-42EC-B126-107B5EE9917D}"/>
    <cellStyle name="Normal 2 4 2 5 4 3" xfId="5513" xr:uid="{00000000-0005-0000-0000-0000A20F0000}"/>
    <cellStyle name="Normal 2 4 2 5 4 3 2" xfId="14839" xr:uid="{7EBC91B3-6A97-4BF4-85BC-C9AC12910CF9}"/>
    <cellStyle name="Normal 2 4 2 5 4 4" xfId="10622" xr:uid="{62F56C0A-A731-420C-9BAE-BF2E96AF51E7}"/>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A6F07509-B747-4508-9AA9-DD766F69D740}"/>
    <cellStyle name="Normal 2 4 2 5 5 2 3" xfId="13180" xr:uid="{2FBC3DEA-71F3-42E5-8B7D-E043CA58DCE7}"/>
    <cellStyle name="Normal 2 4 2 5 5 3" xfId="5926" xr:uid="{00000000-0005-0000-0000-0000A60F0000}"/>
    <cellStyle name="Normal 2 4 2 5 5 3 2" xfId="15252" xr:uid="{87560AFA-C946-423F-BAE0-DE5A12FE8B55}"/>
    <cellStyle name="Normal 2 4 2 5 5 4" xfId="11035" xr:uid="{6816806C-19FE-47C8-8729-5279D7819CF2}"/>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3CC57E5E-02B3-48E4-98BA-04589ED8AF2F}"/>
    <cellStyle name="Normal 2 4 2 5 6 2 3" xfId="13593" xr:uid="{B0485E47-0831-4674-9217-6CE52331B5A4}"/>
    <cellStyle name="Normal 2 4 2 5 6 3" xfId="6339" xr:uid="{00000000-0005-0000-0000-0000AA0F0000}"/>
    <cellStyle name="Normal 2 4 2 5 6 3 2" xfId="15665" xr:uid="{E35931DB-E6FA-4267-83AB-3292B954FE6E}"/>
    <cellStyle name="Normal 2 4 2 5 6 4" xfId="11448" xr:uid="{1604ECDC-B31D-4B8C-A803-14B9FF337F32}"/>
    <cellStyle name="Normal 2 4 2 5 7" xfId="2469" xr:uid="{00000000-0005-0000-0000-0000AB0F0000}"/>
    <cellStyle name="Normal 2 4 2 5 7 2" xfId="6752" xr:uid="{00000000-0005-0000-0000-0000AC0F0000}"/>
    <cellStyle name="Normal 2 4 2 5 7 2 2" xfId="16078" xr:uid="{4A6AC79B-CB52-4232-85F6-B3E106E61D30}"/>
    <cellStyle name="Normal 2 4 2 5 7 3" xfId="11861" xr:uid="{08500312-A8E3-4EDE-893B-4B5A84F53F0E}"/>
    <cellStyle name="Normal 2 4 2 5 8" xfId="4686" xr:uid="{00000000-0005-0000-0000-0000AD0F0000}"/>
    <cellStyle name="Normal 2 4 2 5 8 2" xfId="14012" xr:uid="{7F34EE4E-FBC9-47AD-9A09-3051849C3841}"/>
    <cellStyle name="Normal 2 4 2 5 9" xfId="8860" xr:uid="{5FAFEFC0-3249-464B-9F12-2B1DA137C588}"/>
    <cellStyle name="Normal 2 4 2 5 9 2" xfId="18184" xr:uid="{C7FCAB83-C1AC-41FD-9F55-7C17C7CF6B93}"/>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3225A215-8300-46A4-A452-9A9094FD5363}"/>
    <cellStyle name="Normal 2 4 2 6 2 2 3" xfId="12356" xr:uid="{1DC7342E-BF63-4CE5-B537-1E16BAF878A8}"/>
    <cellStyle name="Normal 2 4 2 6 2 3" xfId="5102" xr:uid="{00000000-0005-0000-0000-0000B20F0000}"/>
    <cellStyle name="Normal 2 4 2 6 2 3 2" xfId="14428" xr:uid="{8EBD93E6-9CA8-4F22-BEE7-82A1AD33DF71}"/>
    <cellStyle name="Normal 2 4 2 6 2 4" xfId="9401" xr:uid="{C89DD342-23DD-474B-84C5-F9DED42F169B}"/>
    <cellStyle name="Normal 2 4 2 6 2 4 2" xfId="18716" xr:uid="{E861E15A-940D-4066-B376-8F5F5F7C6797}"/>
    <cellStyle name="Normal 2 4 2 6 2 5" xfId="10211" xr:uid="{446172B5-C33E-4360-9871-752523D11A16}"/>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12D41305-9DBE-4B70-ACF1-7627C1228C0A}"/>
    <cellStyle name="Normal 2 4 2 6 3 2 3" xfId="12769" xr:uid="{5100667B-FD08-4074-BFA3-8CF54EC7A0C2}"/>
    <cellStyle name="Normal 2 4 2 6 3 3" xfId="5515" xr:uid="{00000000-0005-0000-0000-0000B60F0000}"/>
    <cellStyle name="Normal 2 4 2 6 3 3 2" xfId="14841" xr:uid="{4E821805-5D02-4D3D-B8F9-8C1767A9F9E2}"/>
    <cellStyle name="Normal 2 4 2 6 3 4" xfId="10624" xr:uid="{CE3EBDC3-3AB8-409E-8CE9-095A0BFCEAB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E98BCCEB-34A3-4483-AEB7-D4417327E34B}"/>
    <cellStyle name="Normal 2 4 2 6 4 2 3" xfId="13182" xr:uid="{E43722EF-02B6-4A42-83A7-1D06B98A5C73}"/>
    <cellStyle name="Normal 2 4 2 6 4 3" xfId="5928" xr:uid="{00000000-0005-0000-0000-0000BA0F0000}"/>
    <cellStyle name="Normal 2 4 2 6 4 3 2" xfId="15254" xr:uid="{30260378-008C-4E8F-809C-3B2AC8A7A940}"/>
    <cellStyle name="Normal 2 4 2 6 4 4" xfId="11037" xr:uid="{D5E9729D-460E-4615-ACD8-98D786F5857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C7E3B543-1A77-402C-B21B-E580DF3921CD}"/>
    <cellStyle name="Normal 2 4 2 6 5 2 3" xfId="13595" xr:uid="{CC85B96A-F7E1-416E-8E03-67C9C96196D7}"/>
    <cellStyle name="Normal 2 4 2 6 5 3" xfId="6341" xr:uid="{00000000-0005-0000-0000-0000BE0F0000}"/>
    <cellStyle name="Normal 2 4 2 6 5 3 2" xfId="15667" xr:uid="{AE4131EE-82D0-4B36-BB29-E60908FB5A9B}"/>
    <cellStyle name="Normal 2 4 2 6 5 4" xfId="11450" xr:uid="{4C63F784-81C8-4C3E-B4F7-5E366718BBE5}"/>
    <cellStyle name="Normal 2 4 2 6 6" xfId="2471" xr:uid="{00000000-0005-0000-0000-0000BF0F0000}"/>
    <cellStyle name="Normal 2 4 2 6 6 2" xfId="6754" xr:uid="{00000000-0005-0000-0000-0000C00F0000}"/>
    <cellStyle name="Normal 2 4 2 6 6 2 2" xfId="16080" xr:uid="{C3E5FF03-7062-469F-9558-0EEB8303B87E}"/>
    <cellStyle name="Normal 2 4 2 6 6 3" xfId="11863" xr:uid="{2B308342-2A34-49C0-8F7D-5A921331ECCA}"/>
    <cellStyle name="Normal 2 4 2 6 7" xfId="4688" xr:uid="{00000000-0005-0000-0000-0000C10F0000}"/>
    <cellStyle name="Normal 2 4 2 6 7 2" xfId="14014" xr:uid="{F0AEF81D-F015-4346-BCE8-74908AC50F4F}"/>
    <cellStyle name="Normal 2 4 2 6 8" xfId="8976" xr:uid="{6DEAFF8C-68CB-4364-A161-479509F453AE}"/>
    <cellStyle name="Normal 2 4 2 6 8 2" xfId="18300" xr:uid="{068FA163-9019-48B0-99E7-49B7A0BE5191}"/>
    <cellStyle name="Normal 2 4 2 6 9" xfId="9797" xr:uid="{DFD76E66-2D83-4BE6-A90A-766ACCB72503}"/>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0DCA0DC7-65C7-4D30-8C5A-07E75CFC27A2}"/>
    <cellStyle name="Normal 2 4 2 7 2 3" xfId="12341" xr:uid="{E16ABD11-5FE1-45F4-9195-7BEDC7E45AB6}"/>
    <cellStyle name="Normal 2 4 2 7 3" xfId="5087" xr:uid="{00000000-0005-0000-0000-0000C50F0000}"/>
    <cellStyle name="Normal 2 4 2 7 3 2" xfId="14413" xr:uid="{F900A9AD-F4E8-4A22-AACB-2CA348DECA0C}"/>
    <cellStyle name="Normal 2 4 2 7 4" xfId="9179" xr:uid="{D1C44CED-398E-43B3-AFA3-1E7DC60C5D92}"/>
    <cellStyle name="Normal 2 4 2 7 4 2" xfId="18497" xr:uid="{D14C656A-17FE-47AD-9122-FA7CF219C889}"/>
    <cellStyle name="Normal 2 4 2 7 5" xfId="10196" xr:uid="{A6A89DD1-79DC-4B4A-A002-49C050832240}"/>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0E98A73A-E658-4F4D-8947-0D002BFBDFDA}"/>
    <cellStyle name="Normal 2 4 2 8 2 3" xfId="12754" xr:uid="{8D30A602-025D-48A3-8DC0-F14BB137191B}"/>
    <cellStyle name="Normal 2 4 2 8 3" xfId="5500" xr:uid="{00000000-0005-0000-0000-0000C90F0000}"/>
    <cellStyle name="Normal 2 4 2 8 3 2" xfId="14826" xr:uid="{7EFDCB6B-054D-43CE-8051-2643A05012CB}"/>
    <cellStyle name="Normal 2 4 2 8 4" xfId="10609" xr:uid="{CE1D1127-8352-4D73-92BB-373DF18640E7}"/>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71079CF0-A281-4C8B-ADCF-B4CFE7FDB880}"/>
    <cellStyle name="Normal 2 4 2 9 2 3" xfId="13167" xr:uid="{1DC0C455-7EAD-4037-978B-53457CCA2A18}"/>
    <cellStyle name="Normal 2 4 2 9 3" xfId="5913" xr:uid="{00000000-0005-0000-0000-0000CD0F0000}"/>
    <cellStyle name="Normal 2 4 2 9 3 2" xfId="15239" xr:uid="{22701357-3705-46E6-ACD2-5792CC784387}"/>
    <cellStyle name="Normal 2 4 2 9 4" xfId="11022" xr:uid="{699B0E34-31F2-4040-9515-AFE1452028B3}"/>
    <cellStyle name="Normal 2 4 3" xfId="296" xr:uid="{00000000-0005-0000-0000-0000CE0F0000}"/>
    <cellStyle name="Normal 2 4 3 10" xfId="9798" xr:uid="{9444E403-6FE3-4120-99BC-A6F95AF9E051}"/>
    <cellStyle name="Normal 2 4 3 2" xfId="297" xr:uid="{00000000-0005-0000-0000-0000CF0F0000}"/>
    <cellStyle name="Normal 2 4 3 3" xfId="298" xr:uid="{00000000-0005-0000-0000-0000D00F0000}"/>
    <cellStyle name="Normal 2 4 3 3 10" xfId="8814" xr:uid="{F78EFD99-FCC5-4915-ACA3-DFC3FC0D45A5}"/>
    <cellStyle name="Normal 2 4 3 3 10 2" xfId="18138" xr:uid="{A054EF91-FF34-4E2B-A83E-86D739CDB58F}"/>
    <cellStyle name="Normal 2 4 3 3 11" xfId="9799" xr:uid="{5C4CE6FE-6F54-4EBC-85F5-EEF613C14137}"/>
    <cellStyle name="Normal 2 4 3 3 2" xfId="299" xr:uid="{00000000-0005-0000-0000-0000D10F0000}"/>
    <cellStyle name="Normal 2 4 3 3 2 10" xfId="9800" xr:uid="{9F508908-ADAE-421F-B01C-CDF5214C0E31}"/>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D32913C7-2730-473D-9DDF-AC0E5A1F5CA1}"/>
    <cellStyle name="Normal 2 4 3 3 2 2 2 2 3" xfId="12360" xr:uid="{72C7C4AB-67D9-48D5-AA2F-9A447FB42DB6}"/>
    <cellStyle name="Normal 2 4 3 3 2 2 2 3" xfId="5106" xr:uid="{00000000-0005-0000-0000-0000D60F0000}"/>
    <cellStyle name="Normal 2 4 3 3 2 2 2 3 2" xfId="14432" xr:uid="{97EC68AE-7931-40AE-BCC6-ADFADB03AEEA}"/>
    <cellStyle name="Normal 2 4 3 3 2 2 2 4" xfId="9549" xr:uid="{EA88B7BC-E37D-4688-A768-0D7FE5EF9F42}"/>
    <cellStyle name="Normal 2 4 3 3 2 2 2 4 2" xfId="18864" xr:uid="{044AF898-C506-4083-8700-8AFBEEF64297}"/>
    <cellStyle name="Normal 2 4 3 3 2 2 2 5" xfId="10215" xr:uid="{A02B3695-D4EC-4E26-8517-E98D5DE2117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EEA0FBA7-D880-4A12-8F75-58F185461E38}"/>
    <cellStyle name="Normal 2 4 3 3 2 2 3 2 3" xfId="12773" xr:uid="{0C7C43D4-091E-4AAA-8945-B5E4A11C4F09}"/>
    <cellStyle name="Normal 2 4 3 3 2 2 3 3" xfId="5519" xr:uid="{00000000-0005-0000-0000-0000DA0F0000}"/>
    <cellStyle name="Normal 2 4 3 3 2 2 3 3 2" xfId="14845" xr:uid="{8ADAE0C1-5741-4059-9D7B-5F70C2A2D515}"/>
    <cellStyle name="Normal 2 4 3 3 2 2 3 4" xfId="10628" xr:uid="{076BD29A-D058-4F77-BA3C-2FEA162DD939}"/>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7883C6FF-39BE-44F9-A78E-D402A2B8BD44}"/>
    <cellStyle name="Normal 2 4 3 3 2 2 4 2 3" xfId="13186" xr:uid="{B7439198-DC82-4658-B8CD-D2E6ADEF0BA0}"/>
    <cellStyle name="Normal 2 4 3 3 2 2 4 3" xfId="5932" xr:uid="{00000000-0005-0000-0000-0000DE0F0000}"/>
    <cellStyle name="Normal 2 4 3 3 2 2 4 3 2" xfId="15258" xr:uid="{8F140191-0405-4A07-8B3A-975CCD851795}"/>
    <cellStyle name="Normal 2 4 3 3 2 2 4 4" xfId="11041" xr:uid="{28B0509C-5355-4AFC-A607-81A760B40E65}"/>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AE08E62F-7BE1-466E-B92A-B2B619004504}"/>
    <cellStyle name="Normal 2 4 3 3 2 2 5 2 3" xfId="13599" xr:uid="{E559690F-C440-4E85-A038-6EAA857C0C26}"/>
    <cellStyle name="Normal 2 4 3 3 2 2 5 3" xfId="6345" xr:uid="{00000000-0005-0000-0000-0000E20F0000}"/>
    <cellStyle name="Normal 2 4 3 3 2 2 5 3 2" xfId="15671" xr:uid="{605A8DC5-41AF-4D3D-8DD2-71C69E834BAD}"/>
    <cellStyle name="Normal 2 4 3 3 2 2 5 4" xfId="11454" xr:uid="{9CD88C95-BB24-4325-BA38-CDF9B563E62E}"/>
    <cellStyle name="Normal 2 4 3 3 2 2 6" xfId="2475" xr:uid="{00000000-0005-0000-0000-0000E30F0000}"/>
    <cellStyle name="Normal 2 4 3 3 2 2 6 2" xfId="6758" xr:uid="{00000000-0005-0000-0000-0000E40F0000}"/>
    <cellStyle name="Normal 2 4 3 3 2 2 6 2 2" xfId="16084" xr:uid="{4D051EEF-438C-4D91-9238-328E04BD38BE}"/>
    <cellStyle name="Normal 2 4 3 3 2 2 6 3" xfId="11867" xr:uid="{85595A6C-D1C3-4736-BF57-D4925718F56F}"/>
    <cellStyle name="Normal 2 4 3 3 2 2 7" xfId="4692" xr:uid="{00000000-0005-0000-0000-0000E50F0000}"/>
    <cellStyle name="Normal 2 4 3 3 2 2 7 2" xfId="14018" xr:uid="{95DB1D78-39F1-49C4-A7D0-2374BD85ED26}"/>
    <cellStyle name="Normal 2 4 3 3 2 2 8" xfId="9124" xr:uid="{1FF2B195-09C8-4D7B-A363-E8AF809A669B}"/>
    <cellStyle name="Normal 2 4 3 3 2 2 8 2" xfId="18448" xr:uid="{8198C2CC-EC95-4239-8613-F0978FEAFA95}"/>
    <cellStyle name="Normal 2 4 3 3 2 2 9" xfId="9801" xr:uid="{3D6DF8EB-527E-417D-807C-BD12E29AAB9D}"/>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5AE72FDE-7751-4FCC-8FA0-67C0A148F3A1}"/>
    <cellStyle name="Normal 2 4 3 3 2 3 2 3" xfId="12359" xr:uid="{024717F5-DA18-4E0A-B6E7-C6E19B4B7928}"/>
    <cellStyle name="Normal 2 4 3 3 2 3 3" xfId="5105" xr:uid="{00000000-0005-0000-0000-0000E90F0000}"/>
    <cellStyle name="Normal 2 4 3 3 2 3 3 2" xfId="14431" xr:uid="{BDD79519-5A0B-469B-840D-65C2C2F269AA}"/>
    <cellStyle name="Normal 2 4 3 3 2 3 4" xfId="9342" xr:uid="{41454CF9-47C1-4E8A-868A-8F39341308EB}"/>
    <cellStyle name="Normal 2 4 3 3 2 3 4 2" xfId="18657" xr:uid="{FEDE6C17-F080-4150-9275-65AFF980A3EE}"/>
    <cellStyle name="Normal 2 4 3 3 2 3 5" xfId="10214" xr:uid="{490C6BAF-4A97-4D7B-A2D8-03A214B721A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0867F155-DA5A-4343-A374-CF415D079FF0}"/>
    <cellStyle name="Normal 2 4 3 3 2 4 2 3" xfId="12772" xr:uid="{BC933924-1859-4CE9-9ED6-EE5A2D851F53}"/>
    <cellStyle name="Normal 2 4 3 3 2 4 3" xfId="5518" xr:uid="{00000000-0005-0000-0000-0000ED0F0000}"/>
    <cellStyle name="Normal 2 4 3 3 2 4 3 2" xfId="14844" xr:uid="{C215A6A2-BDD2-4DE4-9396-DEAFB285D7D6}"/>
    <cellStyle name="Normal 2 4 3 3 2 4 4" xfId="10627" xr:uid="{F84BDB23-C647-411D-ABE0-3B81170B2929}"/>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CA241E00-5130-40AC-9498-0C9E212BF7F7}"/>
    <cellStyle name="Normal 2 4 3 3 2 5 2 3" xfId="13185" xr:uid="{6CCE8AB2-3893-4E4A-B389-510BC649D974}"/>
    <cellStyle name="Normal 2 4 3 3 2 5 3" xfId="5931" xr:uid="{00000000-0005-0000-0000-0000F10F0000}"/>
    <cellStyle name="Normal 2 4 3 3 2 5 3 2" xfId="15257" xr:uid="{A790D4F5-6D6C-4109-B713-89B6EECB01CA}"/>
    <cellStyle name="Normal 2 4 3 3 2 5 4" xfId="11040" xr:uid="{37B46937-F300-457A-BACC-09319492925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6FEEB6BF-0552-42F1-94A6-456B0A9F36BB}"/>
    <cellStyle name="Normal 2 4 3 3 2 6 2 3" xfId="13598" xr:uid="{25756F02-49D5-4705-8C88-C576A502A0BA}"/>
    <cellStyle name="Normal 2 4 3 3 2 6 3" xfId="6344" xr:uid="{00000000-0005-0000-0000-0000F50F0000}"/>
    <cellStyle name="Normal 2 4 3 3 2 6 3 2" xfId="15670" xr:uid="{216DC16D-394B-41B1-844E-2104A532EEF4}"/>
    <cellStyle name="Normal 2 4 3 3 2 6 4" xfId="11453" xr:uid="{D464D777-FCD8-4175-8C55-EF577CE0F1A3}"/>
    <cellStyle name="Normal 2 4 3 3 2 7" xfId="2474" xr:uid="{00000000-0005-0000-0000-0000F60F0000}"/>
    <cellStyle name="Normal 2 4 3 3 2 7 2" xfId="6757" xr:uid="{00000000-0005-0000-0000-0000F70F0000}"/>
    <cellStyle name="Normal 2 4 3 3 2 7 2 2" xfId="16083" xr:uid="{2590E11E-C465-4C52-816B-640272912AA2}"/>
    <cellStyle name="Normal 2 4 3 3 2 7 3" xfId="11866" xr:uid="{E3F978CE-65FA-46D0-BD97-EA29F84AA889}"/>
    <cellStyle name="Normal 2 4 3 3 2 8" xfId="4691" xr:uid="{00000000-0005-0000-0000-0000F80F0000}"/>
    <cellStyle name="Normal 2 4 3 3 2 8 2" xfId="14017" xr:uid="{87C86472-52A0-465A-B497-86941A453FA4}"/>
    <cellStyle name="Normal 2 4 3 3 2 9" xfId="8917" xr:uid="{1E22693C-F4B1-4678-80B0-65CF6DC31586}"/>
    <cellStyle name="Normal 2 4 3 3 2 9 2" xfId="18241" xr:uid="{6FB0BF2C-D566-43F9-9406-B67A990EE727}"/>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74B60B5A-E36E-446A-BA5A-8B89A9EFEE27}"/>
    <cellStyle name="Normal 2 4 3 3 3 2 2 3" xfId="12361" xr:uid="{D6BBFD6A-EFD0-468C-A4AF-96C6B264770E}"/>
    <cellStyle name="Normal 2 4 3 3 3 2 3" xfId="5107" xr:uid="{00000000-0005-0000-0000-0000FD0F0000}"/>
    <cellStyle name="Normal 2 4 3 3 3 2 3 2" xfId="14433" xr:uid="{C1E2A0C2-19A2-4B3E-9B9B-27F465C58EB5}"/>
    <cellStyle name="Normal 2 4 3 3 3 2 4" xfId="9446" xr:uid="{7ACDBBC8-943F-41CF-9832-96F56BCB3985}"/>
    <cellStyle name="Normal 2 4 3 3 3 2 4 2" xfId="18761" xr:uid="{B81D24B8-FE63-4D52-96BF-4BA75BF23475}"/>
    <cellStyle name="Normal 2 4 3 3 3 2 5" xfId="10216" xr:uid="{DC223E6B-F18A-4B80-A018-18DEB70DA15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C1D7E53D-7D8E-4078-B38C-CB7AAB5D7C47}"/>
    <cellStyle name="Normal 2 4 3 3 3 3 2 3" xfId="12774" xr:uid="{92C986B5-E2D8-4F7F-84F0-78C2DCD5C959}"/>
    <cellStyle name="Normal 2 4 3 3 3 3 3" xfId="5520" xr:uid="{00000000-0005-0000-0000-000001100000}"/>
    <cellStyle name="Normal 2 4 3 3 3 3 3 2" xfId="14846" xr:uid="{8C556BE3-B3AA-405E-A0E3-A878E351AA82}"/>
    <cellStyle name="Normal 2 4 3 3 3 3 4" xfId="10629" xr:uid="{421102EE-1478-434B-A869-E6E0FB5AE40E}"/>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2760FD09-49F4-4BD4-B843-44C124F3DF3E}"/>
    <cellStyle name="Normal 2 4 3 3 3 4 2 3" xfId="13187" xr:uid="{DF9C03DC-EBC4-4197-810B-36EEA9CE6887}"/>
    <cellStyle name="Normal 2 4 3 3 3 4 3" xfId="5933" xr:uid="{00000000-0005-0000-0000-000005100000}"/>
    <cellStyle name="Normal 2 4 3 3 3 4 3 2" xfId="15259" xr:uid="{440BECB0-EC4B-4D67-A013-ACABCD4DF152}"/>
    <cellStyle name="Normal 2 4 3 3 3 4 4" xfId="11042" xr:uid="{C711644D-0B51-4381-ADCB-FD28FAFF95B4}"/>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5E3F94B0-712F-4380-919A-66FCD19BF8CD}"/>
    <cellStyle name="Normal 2 4 3 3 3 5 2 3" xfId="13600" xr:uid="{E3256E76-6E44-4FE9-AB33-78C9D2EB63FB}"/>
    <cellStyle name="Normal 2 4 3 3 3 5 3" xfId="6346" xr:uid="{00000000-0005-0000-0000-000009100000}"/>
    <cellStyle name="Normal 2 4 3 3 3 5 3 2" xfId="15672" xr:uid="{91ECDF01-03CD-4287-815D-5D8E95142267}"/>
    <cellStyle name="Normal 2 4 3 3 3 5 4" xfId="11455" xr:uid="{1251E6E4-1794-4243-A3B8-D6737236D8C9}"/>
    <cellStyle name="Normal 2 4 3 3 3 6" xfId="2476" xr:uid="{00000000-0005-0000-0000-00000A100000}"/>
    <cellStyle name="Normal 2 4 3 3 3 6 2" xfId="6759" xr:uid="{00000000-0005-0000-0000-00000B100000}"/>
    <cellStyle name="Normal 2 4 3 3 3 6 2 2" xfId="16085" xr:uid="{16F0E0B7-57D5-4BE2-BDE1-47A3851B8DE5}"/>
    <cellStyle name="Normal 2 4 3 3 3 6 3" xfId="11868" xr:uid="{2FD0A922-F487-4133-9282-9700A9020410}"/>
    <cellStyle name="Normal 2 4 3 3 3 7" xfId="4693" xr:uid="{00000000-0005-0000-0000-00000C100000}"/>
    <cellStyle name="Normal 2 4 3 3 3 7 2" xfId="14019" xr:uid="{0D97BD96-C2A0-4DF4-85B7-D48228A22FEB}"/>
    <cellStyle name="Normal 2 4 3 3 3 8" xfId="9021" xr:uid="{4EC0F035-DC07-4262-9C58-7142AC357944}"/>
    <cellStyle name="Normal 2 4 3 3 3 8 2" xfId="18345" xr:uid="{E2DC75F5-5D2D-4294-8902-E16EAD584408}"/>
    <cellStyle name="Normal 2 4 3 3 3 9" xfId="9802" xr:uid="{7C1CC3D8-2488-4832-A38B-8A6E2FC49D26}"/>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7272F868-306B-418C-BFF0-032E57B9865E}"/>
    <cellStyle name="Normal 2 4 3 3 4 2 3" xfId="12358" xr:uid="{7187D0D8-AE89-4E77-AF28-32FEF0A52352}"/>
    <cellStyle name="Normal 2 4 3 3 4 3" xfId="5104" xr:uid="{00000000-0005-0000-0000-000010100000}"/>
    <cellStyle name="Normal 2 4 3 3 4 3 2" xfId="14430" xr:uid="{7D5A64E3-C7CC-43D9-B240-977757EDEAE1}"/>
    <cellStyle name="Normal 2 4 3 3 4 4" xfId="9239" xr:uid="{3DCBA9AF-C63D-4CA9-81B6-AC7CB7B67292}"/>
    <cellStyle name="Normal 2 4 3 3 4 4 2" xfId="18554" xr:uid="{5EF9FF75-920B-4B12-98AE-DCFE699E025E}"/>
    <cellStyle name="Normal 2 4 3 3 4 5" xfId="10213" xr:uid="{E59EF8A8-2E4C-4B98-964A-7004BD7FC71A}"/>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71A926CB-534E-4B1B-85AE-C09736C662FE}"/>
    <cellStyle name="Normal 2 4 3 3 5 2 3" xfId="12771" xr:uid="{D5C5A5AF-2AD1-40C8-89E2-D79276D208AB}"/>
    <cellStyle name="Normal 2 4 3 3 5 3" xfId="5517" xr:uid="{00000000-0005-0000-0000-000014100000}"/>
    <cellStyle name="Normal 2 4 3 3 5 3 2" xfId="14843" xr:uid="{A0D6C474-2F5F-48F0-814F-FD258D7ABDBB}"/>
    <cellStyle name="Normal 2 4 3 3 5 4" xfId="10626" xr:uid="{6E051B34-4C34-4B4D-9017-96E1E2D1F34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AED09C69-0604-44B2-B12D-1B74A188A5F7}"/>
    <cellStyle name="Normal 2 4 3 3 6 2 3" xfId="13184" xr:uid="{8ECD1544-634B-46B3-8913-0F2CC20A65BE}"/>
    <cellStyle name="Normal 2 4 3 3 6 3" xfId="5930" xr:uid="{00000000-0005-0000-0000-000018100000}"/>
    <cellStyle name="Normal 2 4 3 3 6 3 2" xfId="15256" xr:uid="{CA04B243-41C3-45CA-B6B0-EBDF7CEB7CE8}"/>
    <cellStyle name="Normal 2 4 3 3 6 4" xfId="11039" xr:uid="{DC7ACE1F-0863-4235-ACF6-C1D537D076CD}"/>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2785ED69-4DC1-420F-9B44-286801E14E9F}"/>
    <cellStyle name="Normal 2 4 3 3 7 2 3" xfId="13597" xr:uid="{15F10757-1990-4449-B702-92CC6227EE18}"/>
    <cellStyle name="Normal 2 4 3 3 7 3" xfId="6343" xr:uid="{00000000-0005-0000-0000-00001C100000}"/>
    <cellStyle name="Normal 2 4 3 3 7 3 2" xfId="15669" xr:uid="{27043851-716C-48C3-88A2-9492D5704B1F}"/>
    <cellStyle name="Normal 2 4 3 3 7 4" xfId="11452" xr:uid="{134B7F58-5F17-49BD-A7C5-8868A3F68332}"/>
    <cellStyle name="Normal 2 4 3 3 8" xfId="2473" xr:uid="{00000000-0005-0000-0000-00001D100000}"/>
    <cellStyle name="Normal 2 4 3 3 8 2" xfId="6756" xr:uid="{00000000-0005-0000-0000-00001E100000}"/>
    <cellStyle name="Normal 2 4 3 3 8 2 2" xfId="16082" xr:uid="{FBF5FB2A-EBB6-4354-9873-940E989F83F1}"/>
    <cellStyle name="Normal 2 4 3 3 8 3" xfId="11865" xr:uid="{0646E93C-A330-4A89-9347-25E55CD4527D}"/>
    <cellStyle name="Normal 2 4 3 3 9" xfId="4690" xr:uid="{00000000-0005-0000-0000-00001F100000}"/>
    <cellStyle name="Normal 2 4 3 3 9 2" xfId="14016" xr:uid="{1DAAC74D-F0C4-48BB-9C50-6798EEB590BF}"/>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E4C63C70-9F14-4D14-B1A7-BC8AD610027C}"/>
    <cellStyle name="Normal 2 4 3 4 2 3" xfId="12357" xr:uid="{6D0CD93D-1142-4C44-A6A4-6DA43424546C}"/>
    <cellStyle name="Normal 2 4 3 4 3" xfId="5103" xr:uid="{00000000-0005-0000-0000-000023100000}"/>
    <cellStyle name="Normal 2 4 3 4 3 2" xfId="14429" xr:uid="{AC44E7FB-9021-45E2-A0D3-DF50D51F54A6}"/>
    <cellStyle name="Normal 2 4 3 4 4" xfId="9605" xr:uid="{31B075F0-6828-4EC6-AC77-4B4B0626A722}"/>
    <cellStyle name="Normal 2 4 3 4 4 2" xfId="18906" xr:uid="{C1B0D2C3-63CD-42BE-8BE0-A58917B3FEBA}"/>
    <cellStyle name="Normal 2 4 3 4 5" xfId="10212" xr:uid="{811FBABC-D210-4C33-88C6-A3D173A5EB5B}"/>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6E27026C-C587-4BC8-9289-42FE386B6098}"/>
    <cellStyle name="Normal 2 4 3 5 2 3" xfId="12770" xr:uid="{5440DFD5-AD58-4241-9E27-DC4DEF6193AA}"/>
    <cellStyle name="Normal 2 4 3 5 3" xfId="5516" xr:uid="{00000000-0005-0000-0000-000027100000}"/>
    <cellStyle name="Normal 2 4 3 5 3 2" xfId="14842" xr:uid="{3B2EF921-029F-4C79-A329-BF4259BAF0D2}"/>
    <cellStyle name="Normal 2 4 3 5 4" xfId="10625" xr:uid="{88EC1528-A38B-45E7-91E3-EFE97555C5D3}"/>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DC286475-E997-46F1-9ED7-DFB4F0D446E6}"/>
    <cellStyle name="Normal 2 4 3 6 2 3" xfId="13183" xr:uid="{CC006F32-323D-4004-BA8E-1198EE5E354A}"/>
    <cellStyle name="Normal 2 4 3 6 3" xfId="5929" xr:uid="{00000000-0005-0000-0000-00002B100000}"/>
    <cellStyle name="Normal 2 4 3 6 3 2" xfId="15255" xr:uid="{E8187AB4-E0F5-4A95-A410-42D99C154664}"/>
    <cellStyle name="Normal 2 4 3 6 4" xfId="11038" xr:uid="{BE057B95-AE43-43DD-A9D0-27FC86A01FB2}"/>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71796FDD-4240-4A29-841C-007E3CFF8906}"/>
    <cellStyle name="Normal 2 4 3 7 2 3" xfId="13596" xr:uid="{9528DCCE-8143-4FC0-8538-FEB2B34C15A3}"/>
    <cellStyle name="Normal 2 4 3 7 3" xfId="6342" xr:uid="{00000000-0005-0000-0000-00002F100000}"/>
    <cellStyle name="Normal 2 4 3 7 3 2" xfId="15668" xr:uid="{3718DDE4-49A1-4FD3-BCEA-B53C0C0035E6}"/>
    <cellStyle name="Normal 2 4 3 7 4" xfId="11451" xr:uid="{DBC2123F-56A9-44E7-A256-9EFF81E42DC1}"/>
    <cellStyle name="Normal 2 4 3 8" xfId="2472" xr:uid="{00000000-0005-0000-0000-000030100000}"/>
    <cellStyle name="Normal 2 4 3 8 2" xfId="6755" xr:uid="{00000000-0005-0000-0000-000031100000}"/>
    <cellStyle name="Normal 2 4 3 8 2 2" xfId="16081" xr:uid="{ACD02D8D-7250-4192-A4F1-694373F73248}"/>
    <cellStyle name="Normal 2 4 3 8 3" xfId="11864" xr:uid="{7E7CB883-93A9-4EB8-9F8E-07F6E6170939}"/>
    <cellStyle name="Normal 2 4 3 9" xfId="4689" xr:uid="{00000000-0005-0000-0000-000032100000}"/>
    <cellStyle name="Normal 2 4 3 9 2" xfId="14015" xr:uid="{45CEEEA6-58D6-4C42-8619-00FC311124C4}"/>
    <cellStyle name="Normal 2 4 4" xfId="302" xr:uid="{00000000-0005-0000-0000-000033100000}"/>
    <cellStyle name="Normal 2 4 5" xfId="303" xr:uid="{00000000-0005-0000-0000-000034100000}"/>
    <cellStyle name="Normal 2 4 5 10" xfId="4694" xr:uid="{00000000-0005-0000-0000-000035100000}"/>
    <cellStyle name="Normal 2 4 5 10 2" xfId="14020" xr:uid="{379916EA-CBF3-4B11-B400-288F4E49898B}"/>
    <cellStyle name="Normal 2 4 5 11" xfId="8780" xr:uid="{7650B30D-5C17-47F0-B17B-A5E27258C29E}"/>
    <cellStyle name="Normal 2 4 5 11 2" xfId="18104" xr:uid="{BC881A12-F464-42FE-B981-32B40EC1DC5E}"/>
    <cellStyle name="Normal 2 4 5 12" xfId="9803" xr:uid="{B71D6436-A3BE-407C-BEBD-61B84D9C2214}"/>
    <cellStyle name="Normal 2 4 5 2" xfId="304" xr:uid="{00000000-0005-0000-0000-000036100000}"/>
    <cellStyle name="Normal 2 4 5 2 10" xfId="8815" xr:uid="{40A5EFE5-2EC9-4F25-B9EC-CAF9321E00F7}"/>
    <cellStyle name="Normal 2 4 5 2 10 2" xfId="18139" xr:uid="{8E0FC936-460F-4D57-A37E-B726657EF483}"/>
    <cellStyle name="Normal 2 4 5 2 11" xfId="9804" xr:uid="{2DF4193C-3557-45AE-B7DC-1326D73B9BAD}"/>
    <cellStyle name="Normal 2 4 5 2 2" xfId="305" xr:uid="{00000000-0005-0000-0000-000037100000}"/>
    <cellStyle name="Normal 2 4 5 2 2 10" xfId="9805" xr:uid="{148CAA0D-1597-4461-A8C2-1FCD4598E032}"/>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323C9ADA-242F-4EDE-9ECA-3EE73EBC5FD0}"/>
    <cellStyle name="Normal 2 4 5 2 2 2 2 2 3" xfId="12365" xr:uid="{A4431657-5E5A-4A8D-9F1F-C7DA39CB1918}"/>
    <cellStyle name="Normal 2 4 5 2 2 2 2 3" xfId="5111" xr:uid="{00000000-0005-0000-0000-00003C100000}"/>
    <cellStyle name="Normal 2 4 5 2 2 2 2 3 2" xfId="14437" xr:uid="{388B739D-3D64-4B20-98DD-A024916D92D8}"/>
    <cellStyle name="Normal 2 4 5 2 2 2 2 4" xfId="9550" xr:uid="{8A7671EC-AB7E-4F51-9B1B-FE1F0FDC42A9}"/>
    <cellStyle name="Normal 2 4 5 2 2 2 2 4 2" xfId="18865" xr:uid="{DA68998B-039F-4B47-B213-EFAA3B702919}"/>
    <cellStyle name="Normal 2 4 5 2 2 2 2 5" xfId="10220" xr:uid="{D668278D-006C-4186-8080-52383A4C2E0C}"/>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8932C513-1CF0-4A08-B226-064548F12C77}"/>
    <cellStyle name="Normal 2 4 5 2 2 2 3 2 3" xfId="12778" xr:uid="{675AEA36-7BBC-4967-A619-3EE27B32F369}"/>
    <cellStyle name="Normal 2 4 5 2 2 2 3 3" xfId="5524" xr:uid="{00000000-0005-0000-0000-000040100000}"/>
    <cellStyle name="Normal 2 4 5 2 2 2 3 3 2" xfId="14850" xr:uid="{D2CDCC2E-4CFF-412A-A1CB-46E2FFAC54C2}"/>
    <cellStyle name="Normal 2 4 5 2 2 2 3 4" xfId="10633" xr:uid="{89781889-B194-4A34-AE76-D533B079C7B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A2B9E3F9-5964-4C16-88F5-121209784FE7}"/>
    <cellStyle name="Normal 2 4 5 2 2 2 4 2 3" xfId="13191" xr:uid="{1450196F-0740-4B4C-A66E-D371EBE93B8A}"/>
    <cellStyle name="Normal 2 4 5 2 2 2 4 3" xfId="5937" xr:uid="{00000000-0005-0000-0000-000044100000}"/>
    <cellStyle name="Normal 2 4 5 2 2 2 4 3 2" xfId="15263" xr:uid="{69B04054-EB68-439E-A09B-10749A967FA7}"/>
    <cellStyle name="Normal 2 4 5 2 2 2 4 4" xfId="11046" xr:uid="{0ECF3EE9-9CDE-4624-9CB6-240C331CEF4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1219A8C2-5DB6-4A91-B0A8-9C223F265729}"/>
    <cellStyle name="Normal 2 4 5 2 2 2 5 2 3" xfId="13604" xr:uid="{5EED31AD-E408-4009-91EF-B4C26E193E64}"/>
    <cellStyle name="Normal 2 4 5 2 2 2 5 3" xfId="6350" xr:uid="{00000000-0005-0000-0000-000048100000}"/>
    <cellStyle name="Normal 2 4 5 2 2 2 5 3 2" xfId="15676" xr:uid="{8AAB55DE-3F74-4AFE-81B9-D046D4FC7675}"/>
    <cellStyle name="Normal 2 4 5 2 2 2 5 4" xfId="11459" xr:uid="{DCE742A8-CBF1-406B-A310-836A5D26FC58}"/>
    <cellStyle name="Normal 2 4 5 2 2 2 6" xfId="2480" xr:uid="{00000000-0005-0000-0000-000049100000}"/>
    <cellStyle name="Normal 2 4 5 2 2 2 6 2" xfId="6763" xr:uid="{00000000-0005-0000-0000-00004A100000}"/>
    <cellStyle name="Normal 2 4 5 2 2 2 6 2 2" xfId="16089" xr:uid="{5BE00D50-B8D1-42D1-B451-00884C2C4996}"/>
    <cellStyle name="Normal 2 4 5 2 2 2 6 3" xfId="11872" xr:uid="{EAFF532E-DCDF-4E6C-9297-2FB26305A25C}"/>
    <cellStyle name="Normal 2 4 5 2 2 2 7" xfId="4697" xr:uid="{00000000-0005-0000-0000-00004B100000}"/>
    <cellStyle name="Normal 2 4 5 2 2 2 7 2" xfId="14023" xr:uid="{587E889E-0932-4232-B002-D650B96C6FCF}"/>
    <cellStyle name="Normal 2 4 5 2 2 2 8" xfId="9125" xr:uid="{AE6B93A1-5C0B-49F1-AF15-6FC3FAFFE3B2}"/>
    <cellStyle name="Normal 2 4 5 2 2 2 8 2" xfId="18449" xr:uid="{003ED215-8157-4109-9274-BFBC6A63364C}"/>
    <cellStyle name="Normal 2 4 5 2 2 2 9" xfId="9806" xr:uid="{757A73F3-D5BF-4DB2-8E76-B146881AE359}"/>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65158DC5-153C-4230-9B01-43CF1ED7FA0A}"/>
    <cellStyle name="Normal 2 4 5 2 2 3 2 3" xfId="12364" xr:uid="{D5DCAE78-0645-470B-9ADE-FCBE2C8D42C5}"/>
    <cellStyle name="Normal 2 4 5 2 2 3 3" xfId="5110" xr:uid="{00000000-0005-0000-0000-00004F100000}"/>
    <cellStyle name="Normal 2 4 5 2 2 3 3 2" xfId="14436" xr:uid="{A2795BE4-990F-475B-AC69-E90018D4E206}"/>
    <cellStyle name="Normal 2 4 5 2 2 3 4" xfId="9343" xr:uid="{FC4CD386-4202-45E2-8021-2A85CACF4E8B}"/>
    <cellStyle name="Normal 2 4 5 2 2 3 4 2" xfId="18658" xr:uid="{23D0089D-FE3E-43B5-B4FF-809807EA9E15}"/>
    <cellStyle name="Normal 2 4 5 2 2 3 5" xfId="10219" xr:uid="{D7855E1F-DD7D-4699-8FB4-A1BFBD5DC463}"/>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F1A718BA-2492-4AA1-9653-4B584C8AFA91}"/>
    <cellStyle name="Normal 2 4 5 2 2 4 2 3" xfId="12777" xr:uid="{77629E29-9502-487A-A8AC-F2274563FF3F}"/>
    <cellStyle name="Normal 2 4 5 2 2 4 3" xfId="5523" xr:uid="{00000000-0005-0000-0000-000053100000}"/>
    <cellStyle name="Normal 2 4 5 2 2 4 3 2" xfId="14849" xr:uid="{49F068B7-4782-414A-BDD3-D9B7D26CC86D}"/>
    <cellStyle name="Normal 2 4 5 2 2 4 4" xfId="10632" xr:uid="{A8AF9AA0-B3E3-49DF-B3C3-3D99BE4E7E5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71FC3086-D58F-4FFF-BC8D-9B273088D00D}"/>
    <cellStyle name="Normal 2 4 5 2 2 5 2 3" xfId="13190" xr:uid="{411B59CA-8587-46FD-9F89-0683708BDAF4}"/>
    <cellStyle name="Normal 2 4 5 2 2 5 3" xfId="5936" xr:uid="{00000000-0005-0000-0000-000057100000}"/>
    <cellStyle name="Normal 2 4 5 2 2 5 3 2" xfId="15262" xr:uid="{554484C2-D442-44A6-A355-2E7693DC3460}"/>
    <cellStyle name="Normal 2 4 5 2 2 5 4" xfId="11045" xr:uid="{02D9F72D-8CEA-45EE-8E0E-E67C8C0F2D3E}"/>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7AE7F97C-1F76-4082-9120-B4CEFBC7C1C5}"/>
    <cellStyle name="Normal 2 4 5 2 2 6 2 3" xfId="13603" xr:uid="{2AA56815-121B-4EC3-B7F1-B5F551781C4D}"/>
    <cellStyle name="Normal 2 4 5 2 2 6 3" xfId="6349" xr:uid="{00000000-0005-0000-0000-00005B100000}"/>
    <cellStyle name="Normal 2 4 5 2 2 6 3 2" xfId="15675" xr:uid="{6B364BE2-0F81-47FF-833F-99AB9D9AFA3E}"/>
    <cellStyle name="Normal 2 4 5 2 2 6 4" xfId="11458" xr:uid="{15578226-7183-4BEF-B56F-B276663A7BBB}"/>
    <cellStyle name="Normal 2 4 5 2 2 7" xfId="2479" xr:uid="{00000000-0005-0000-0000-00005C100000}"/>
    <cellStyle name="Normal 2 4 5 2 2 7 2" xfId="6762" xr:uid="{00000000-0005-0000-0000-00005D100000}"/>
    <cellStyle name="Normal 2 4 5 2 2 7 2 2" xfId="16088" xr:uid="{12207D3A-E366-4C7D-9C34-165B7231CDA0}"/>
    <cellStyle name="Normal 2 4 5 2 2 7 3" xfId="11871" xr:uid="{ADAE2757-9576-4D83-82DB-39849915B7BD}"/>
    <cellStyle name="Normal 2 4 5 2 2 8" xfId="4696" xr:uid="{00000000-0005-0000-0000-00005E100000}"/>
    <cellStyle name="Normal 2 4 5 2 2 8 2" xfId="14022" xr:uid="{AB050BA5-B2C1-4502-8FA2-0AF25898D007}"/>
    <cellStyle name="Normal 2 4 5 2 2 9" xfId="8918" xr:uid="{C191AFB9-5B9B-45BF-8589-0BB68E370D0F}"/>
    <cellStyle name="Normal 2 4 5 2 2 9 2" xfId="18242" xr:uid="{0A391B19-B7F9-4675-87E8-985382CE802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5366FA00-4E2A-4568-8431-44D88106C08B}"/>
    <cellStyle name="Normal 2 4 5 2 3 2 2 3" xfId="12366" xr:uid="{B7927DCD-89FA-4D59-AEB1-BDD2CBAA66D9}"/>
    <cellStyle name="Normal 2 4 5 2 3 2 3" xfId="5112" xr:uid="{00000000-0005-0000-0000-000063100000}"/>
    <cellStyle name="Normal 2 4 5 2 3 2 3 2" xfId="14438" xr:uid="{6EDA374C-B7FD-45B7-8114-78EFB05BFBE1}"/>
    <cellStyle name="Normal 2 4 5 2 3 2 4" xfId="9447" xr:uid="{5DAE67B2-15F6-4C7F-9310-B9C816D42F72}"/>
    <cellStyle name="Normal 2 4 5 2 3 2 4 2" xfId="18762" xr:uid="{E51F9642-A276-413A-B2C8-6898F09DF56C}"/>
    <cellStyle name="Normal 2 4 5 2 3 2 5" xfId="10221" xr:uid="{109D8492-12F4-4AFF-B9AD-592B014A07B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AE11D4F-5F00-4ED2-B24B-7F43BB1EBCF1}"/>
    <cellStyle name="Normal 2 4 5 2 3 3 2 3" xfId="12779" xr:uid="{EEE36A18-FF39-467C-B60D-18DA8B1FA2C9}"/>
    <cellStyle name="Normal 2 4 5 2 3 3 3" xfId="5525" xr:uid="{00000000-0005-0000-0000-000067100000}"/>
    <cellStyle name="Normal 2 4 5 2 3 3 3 2" xfId="14851" xr:uid="{7449B257-15CB-4539-BFA5-2871D8D028E1}"/>
    <cellStyle name="Normal 2 4 5 2 3 3 4" xfId="10634" xr:uid="{ABC88152-31A3-4C54-8E05-2854781A416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89DE312B-235C-45F8-A1A5-C8FA316E0C12}"/>
    <cellStyle name="Normal 2 4 5 2 3 4 2 3" xfId="13192" xr:uid="{DF81524E-634B-46ED-A0E2-8A6708B40DB7}"/>
    <cellStyle name="Normal 2 4 5 2 3 4 3" xfId="5938" xr:uid="{00000000-0005-0000-0000-00006B100000}"/>
    <cellStyle name="Normal 2 4 5 2 3 4 3 2" xfId="15264" xr:uid="{8A867D1E-EFEF-47A6-A2A2-6611CF9C1525}"/>
    <cellStyle name="Normal 2 4 5 2 3 4 4" xfId="11047" xr:uid="{B7341580-EBE6-4204-85F8-1BAF01CD23EA}"/>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BD62D7E0-4065-4D10-960A-411155EC5400}"/>
    <cellStyle name="Normal 2 4 5 2 3 5 2 3" xfId="13605" xr:uid="{C537DBBA-9B84-47EC-A96A-610FDE26F505}"/>
    <cellStyle name="Normal 2 4 5 2 3 5 3" xfId="6351" xr:uid="{00000000-0005-0000-0000-00006F100000}"/>
    <cellStyle name="Normal 2 4 5 2 3 5 3 2" xfId="15677" xr:uid="{58731E14-2DD1-4FB9-B037-1B36CAD1D0B2}"/>
    <cellStyle name="Normal 2 4 5 2 3 5 4" xfId="11460" xr:uid="{4831A5F0-FF72-49C5-B4C3-EAD80DE9E8DF}"/>
    <cellStyle name="Normal 2 4 5 2 3 6" xfId="2481" xr:uid="{00000000-0005-0000-0000-000070100000}"/>
    <cellStyle name="Normal 2 4 5 2 3 6 2" xfId="6764" xr:uid="{00000000-0005-0000-0000-000071100000}"/>
    <cellStyle name="Normal 2 4 5 2 3 6 2 2" xfId="16090" xr:uid="{A27D654C-0C2F-4ACF-B25A-9AA3C2565583}"/>
    <cellStyle name="Normal 2 4 5 2 3 6 3" xfId="11873" xr:uid="{B6F736CE-BDC0-4197-869B-914DB5BE074F}"/>
    <cellStyle name="Normal 2 4 5 2 3 7" xfId="4698" xr:uid="{00000000-0005-0000-0000-000072100000}"/>
    <cellStyle name="Normal 2 4 5 2 3 7 2" xfId="14024" xr:uid="{FFC63D42-4917-4324-A401-6928BE1BBE27}"/>
    <cellStyle name="Normal 2 4 5 2 3 8" xfId="9022" xr:uid="{B979F5DF-A88B-437D-B1B4-B92D08856DC7}"/>
    <cellStyle name="Normal 2 4 5 2 3 8 2" xfId="18346" xr:uid="{E58B38F6-20AC-477E-B35A-15689B91649E}"/>
    <cellStyle name="Normal 2 4 5 2 3 9" xfId="9807" xr:uid="{7D195F8C-B8D3-4FD6-ACF2-245F37F20EA2}"/>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B42191E4-DE75-403A-9D62-56C23A6515D6}"/>
    <cellStyle name="Normal 2 4 5 2 4 2 3" xfId="12363" xr:uid="{26FEC632-8993-493D-8C6A-4D87011D5918}"/>
    <cellStyle name="Normal 2 4 5 2 4 3" xfId="5109" xr:uid="{00000000-0005-0000-0000-000076100000}"/>
    <cellStyle name="Normal 2 4 5 2 4 3 2" xfId="14435" xr:uid="{B43EB081-7C08-40A4-A46F-E9CA6EE3EC85}"/>
    <cellStyle name="Normal 2 4 5 2 4 4" xfId="9240" xr:uid="{16FBE981-4867-4157-8C0D-9C1339DB5B3F}"/>
    <cellStyle name="Normal 2 4 5 2 4 4 2" xfId="18555" xr:uid="{7083D37C-C6A1-457F-A483-146946EB8828}"/>
    <cellStyle name="Normal 2 4 5 2 4 5" xfId="10218" xr:uid="{F9129E4F-8761-4751-9748-CD86BBAA8B2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0F90AFB-E652-4101-BEF6-7BB33793A335}"/>
    <cellStyle name="Normal 2 4 5 2 5 2 3" xfId="12776" xr:uid="{3E8F58D9-774C-4286-961E-C660BF7C720E}"/>
    <cellStyle name="Normal 2 4 5 2 5 3" xfId="5522" xr:uid="{00000000-0005-0000-0000-00007A100000}"/>
    <cellStyle name="Normal 2 4 5 2 5 3 2" xfId="14848" xr:uid="{2B6EF7BF-6F8E-4426-BA03-74D9B253B72F}"/>
    <cellStyle name="Normal 2 4 5 2 5 4" xfId="10631" xr:uid="{2739AF70-5D71-4CB8-B49F-D8E2B43B22D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9F5B305E-8FE1-4834-8283-AA004DD23388}"/>
    <cellStyle name="Normal 2 4 5 2 6 2 3" xfId="13189" xr:uid="{F6DA7BDD-40A9-4558-AA10-C8737DBBB7D0}"/>
    <cellStyle name="Normal 2 4 5 2 6 3" xfId="5935" xr:uid="{00000000-0005-0000-0000-00007E100000}"/>
    <cellStyle name="Normal 2 4 5 2 6 3 2" xfId="15261" xr:uid="{2922A9B0-E837-470A-A256-AD5C02134276}"/>
    <cellStyle name="Normal 2 4 5 2 6 4" xfId="11044" xr:uid="{A820212A-3AE5-4DC5-A5A3-A9977B3EC0FC}"/>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D0AA4D07-F2B5-4DDE-9939-6A7E211DA9F6}"/>
    <cellStyle name="Normal 2 4 5 2 7 2 3" xfId="13602" xr:uid="{D4D67D04-B435-4FEA-9181-F8A05EFC7D8B}"/>
    <cellStyle name="Normal 2 4 5 2 7 3" xfId="6348" xr:uid="{00000000-0005-0000-0000-000082100000}"/>
    <cellStyle name="Normal 2 4 5 2 7 3 2" xfId="15674" xr:uid="{F1FFA9CA-4527-4093-90D6-92D19928B3A4}"/>
    <cellStyle name="Normal 2 4 5 2 7 4" xfId="11457" xr:uid="{FE4D5DFE-BEDE-4BE4-BE25-8E4032D0DE25}"/>
    <cellStyle name="Normal 2 4 5 2 8" xfId="2478" xr:uid="{00000000-0005-0000-0000-000083100000}"/>
    <cellStyle name="Normal 2 4 5 2 8 2" xfId="6761" xr:uid="{00000000-0005-0000-0000-000084100000}"/>
    <cellStyle name="Normal 2 4 5 2 8 2 2" xfId="16087" xr:uid="{6CE5A395-7D6A-43C8-A294-E0EA8E55852F}"/>
    <cellStyle name="Normal 2 4 5 2 8 3" xfId="11870" xr:uid="{A9601655-817E-47EA-9576-18C090B0336A}"/>
    <cellStyle name="Normal 2 4 5 2 9" xfId="4695" xr:uid="{00000000-0005-0000-0000-000085100000}"/>
    <cellStyle name="Normal 2 4 5 2 9 2" xfId="14021" xr:uid="{4FA88C39-70EE-4CC7-84A3-617B4E4F6389}"/>
    <cellStyle name="Normal 2 4 5 3" xfId="308" xr:uid="{00000000-0005-0000-0000-000086100000}"/>
    <cellStyle name="Normal 2 4 5 3 10" xfId="9808" xr:uid="{9B49F37B-B1E9-49BB-9049-247DA9C17977}"/>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9FF6430D-D706-48BC-981B-8485878C76E6}"/>
    <cellStyle name="Normal 2 4 5 3 2 2 2 3" xfId="12368" xr:uid="{ABB0FE7D-E82C-4987-9ECF-7DA2A50D906E}"/>
    <cellStyle name="Normal 2 4 5 3 2 2 3" xfId="5114" xr:uid="{00000000-0005-0000-0000-00008B100000}"/>
    <cellStyle name="Normal 2 4 5 3 2 2 3 2" xfId="14440" xr:uid="{A2BE6B8F-B4C1-49C5-BEDC-3BC0AEAD9925}"/>
    <cellStyle name="Normal 2 4 5 3 2 2 4" xfId="9515" xr:uid="{A1D6949C-773D-44DB-B26F-4DD01D24FF00}"/>
    <cellStyle name="Normal 2 4 5 3 2 2 4 2" xfId="18830" xr:uid="{37EE69D5-3088-4F1F-BE41-BC1076FB2B9C}"/>
    <cellStyle name="Normal 2 4 5 3 2 2 5" xfId="10223" xr:uid="{D38C8A43-075C-43ED-B185-AB774496598F}"/>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EFE37FA3-F80B-4FBB-803A-0E0617CB1314}"/>
    <cellStyle name="Normal 2 4 5 3 2 3 2 3" xfId="12781" xr:uid="{123714EC-01B8-43D9-AA90-5BDDA757A4DC}"/>
    <cellStyle name="Normal 2 4 5 3 2 3 3" xfId="5527" xr:uid="{00000000-0005-0000-0000-00008F100000}"/>
    <cellStyle name="Normal 2 4 5 3 2 3 3 2" xfId="14853" xr:uid="{2B4F452D-D9A2-46A8-AC06-A8727D6457DA}"/>
    <cellStyle name="Normal 2 4 5 3 2 3 4" xfId="10636" xr:uid="{BC68CE59-188C-47CE-A122-773D76233A03}"/>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70B115C6-4257-4C95-9CDC-EBBFB878A027}"/>
    <cellStyle name="Normal 2 4 5 3 2 4 2 3" xfId="13194" xr:uid="{17DED961-42E2-4CA6-80F1-A50853EDF562}"/>
    <cellStyle name="Normal 2 4 5 3 2 4 3" xfId="5940" xr:uid="{00000000-0005-0000-0000-000093100000}"/>
    <cellStyle name="Normal 2 4 5 3 2 4 3 2" xfId="15266" xr:uid="{D5AA6903-1C4F-4B93-8EF4-DAA59EECC747}"/>
    <cellStyle name="Normal 2 4 5 3 2 4 4" xfId="11049" xr:uid="{7CF46A4F-B403-45CC-BA4B-AA4A58788F0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030D295C-6EC7-48B5-9614-2A9EB4D0C7A8}"/>
    <cellStyle name="Normal 2 4 5 3 2 5 2 3" xfId="13607" xr:uid="{883531CB-E344-4FDA-855D-DF0A808BD9A4}"/>
    <cellStyle name="Normal 2 4 5 3 2 5 3" xfId="6353" xr:uid="{00000000-0005-0000-0000-000097100000}"/>
    <cellStyle name="Normal 2 4 5 3 2 5 3 2" xfId="15679" xr:uid="{024CB3D0-8CC0-465C-A74F-D64DC9F0E4F5}"/>
    <cellStyle name="Normal 2 4 5 3 2 5 4" xfId="11462" xr:uid="{5441CCFE-93A1-4BE4-81C6-C74AB178E875}"/>
    <cellStyle name="Normal 2 4 5 3 2 6" xfId="2483" xr:uid="{00000000-0005-0000-0000-000098100000}"/>
    <cellStyle name="Normal 2 4 5 3 2 6 2" xfId="6766" xr:uid="{00000000-0005-0000-0000-000099100000}"/>
    <cellStyle name="Normal 2 4 5 3 2 6 2 2" xfId="16092" xr:uid="{AE48DC78-6E57-47C3-BD39-0E5DABF85912}"/>
    <cellStyle name="Normal 2 4 5 3 2 6 3" xfId="11875" xr:uid="{8B535ED6-B868-4812-A2D8-FAD6C96B047D}"/>
    <cellStyle name="Normal 2 4 5 3 2 7" xfId="4700" xr:uid="{00000000-0005-0000-0000-00009A100000}"/>
    <cellStyle name="Normal 2 4 5 3 2 7 2" xfId="14026" xr:uid="{29BFD8C9-7687-4976-B48F-6A56D5999D56}"/>
    <cellStyle name="Normal 2 4 5 3 2 8" xfId="9090" xr:uid="{4B64C5F8-5AC3-43D3-B94A-46850BBF79A5}"/>
    <cellStyle name="Normal 2 4 5 3 2 8 2" xfId="18414" xr:uid="{1C986F57-B277-4286-922B-394EF4750A31}"/>
    <cellStyle name="Normal 2 4 5 3 2 9" xfId="9809" xr:uid="{01F570A9-23A0-46D8-898D-EF0CF250EC1A}"/>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7C11EBC5-FC13-433F-AC35-A28113598FA9}"/>
    <cellStyle name="Normal 2 4 5 3 3 2 3" xfId="12367" xr:uid="{EE1C85D6-D33A-42FA-93A9-2B9675F8F8EC}"/>
    <cellStyle name="Normal 2 4 5 3 3 3" xfId="5113" xr:uid="{00000000-0005-0000-0000-00009E100000}"/>
    <cellStyle name="Normal 2 4 5 3 3 3 2" xfId="14439" xr:uid="{7AB58F81-A952-4395-B713-FB4957DA57C7}"/>
    <cellStyle name="Normal 2 4 5 3 3 4" xfId="9308" xr:uid="{40198FFA-4C90-42BE-90C8-42459F1A2A1C}"/>
    <cellStyle name="Normal 2 4 5 3 3 4 2" xfId="18623" xr:uid="{CCA6014B-6FB8-4857-B8F4-0BC95E0D3BD6}"/>
    <cellStyle name="Normal 2 4 5 3 3 5" xfId="10222" xr:uid="{196D77C2-75C9-4F87-83A4-766D366519A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5A619A5E-6689-439E-BBB1-29D613EE2823}"/>
    <cellStyle name="Normal 2 4 5 3 4 2 3" xfId="12780" xr:uid="{9F53FDA3-F541-487C-842D-D2C9BE801D50}"/>
    <cellStyle name="Normal 2 4 5 3 4 3" xfId="5526" xr:uid="{00000000-0005-0000-0000-0000A2100000}"/>
    <cellStyle name="Normal 2 4 5 3 4 3 2" xfId="14852" xr:uid="{591F2B59-D1FB-4410-AA1C-3A3D95D143BA}"/>
    <cellStyle name="Normal 2 4 5 3 4 4" xfId="10635" xr:uid="{78A44BA1-9122-4718-BE78-FAF952DB0D4E}"/>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59F39107-F21A-4587-8701-D3766CA4D6F9}"/>
    <cellStyle name="Normal 2 4 5 3 5 2 3" xfId="13193" xr:uid="{2CC0A667-0786-44E0-8EC8-D6C36C9407EE}"/>
    <cellStyle name="Normal 2 4 5 3 5 3" xfId="5939" xr:uid="{00000000-0005-0000-0000-0000A6100000}"/>
    <cellStyle name="Normal 2 4 5 3 5 3 2" xfId="15265" xr:uid="{71E639BF-3977-41C2-84D9-D77DB1A38970}"/>
    <cellStyle name="Normal 2 4 5 3 5 4" xfId="11048" xr:uid="{30D41C64-60F7-46C7-B02D-DEE7CAF41FB3}"/>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FA0A89DE-C081-4FC4-9670-9F9D5ECD15A5}"/>
    <cellStyle name="Normal 2 4 5 3 6 2 3" xfId="13606" xr:uid="{F1024305-F7CF-4F3C-A3DB-00D8B7C0437D}"/>
    <cellStyle name="Normal 2 4 5 3 6 3" xfId="6352" xr:uid="{00000000-0005-0000-0000-0000AA100000}"/>
    <cellStyle name="Normal 2 4 5 3 6 3 2" xfId="15678" xr:uid="{1064864A-20FB-4DAB-B2A1-03395105064B}"/>
    <cellStyle name="Normal 2 4 5 3 6 4" xfId="11461" xr:uid="{87686AFE-1332-434C-9E20-40F51A6A8B45}"/>
    <cellStyle name="Normal 2 4 5 3 7" xfId="2482" xr:uid="{00000000-0005-0000-0000-0000AB100000}"/>
    <cellStyle name="Normal 2 4 5 3 7 2" xfId="6765" xr:uid="{00000000-0005-0000-0000-0000AC100000}"/>
    <cellStyle name="Normal 2 4 5 3 7 2 2" xfId="16091" xr:uid="{C9B723A1-DFBB-4843-B171-95021EF8EA81}"/>
    <cellStyle name="Normal 2 4 5 3 7 3" xfId="11874" xr:uid="{0105A9AC-7706-4D1E-8121-1E90C458BCC8}"/>
    <cellStyle name="Normal 2 4 5 3 8" xfId="4699" xr:uid="{00000000-0005-0000-0000-0000AD100000}"/>
    <cellStyle name="Normal 2 4 5 3 8 2" xfId="14025" xr:uid="{8E4ED590-B468-42E5-8FE3-A75172D3379C}"/>
    <cellStyle name="Normal 2 4 5 3 9" xfId="8883" xr:uid="{0A470B75-873E-4D74-A257-113E3E343E18}"/>
    <cellStyle name="Normal 2 4 5 3 9 2" xfId="18207" xr:uid="{7275E59B-0745-42C4-BB67-8CC0ED16B8F9}"/>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D3E2979B-9E29-4A95-80E1-DB3EC7BE45A2}"/>
    <cellStyle name="Normal 2 4 5 4 2 2 3" xfId="12369" xr:uid="{12F81FD9-D39C-46C4-BC90-5BD3DE741560}"/>
    <cellStyle name="Normal 2 4 5 4 2 3" xfId="5115" xr:uid="{00000000-0005-0000-0000-0000B2100000}"/>
    <cellStyle name="Normal 2 4 5 4 2 3 2" xfId="14441" xr:uid="{13B4233E-3952-49DD-AF26-29BBAB9DCFBF}"/>
    <cellStyle name="Normal 2 4 5 4 2 4" xfId="9412" xr:uid="{0ECAC303-3EA0-4623-AA0F-854157CA32E5}"/>
    <cellStyle name="Normal 2 4 5 4 2 4 2" xfId="18727" xr:uid="{FBFD3244-2EF0-4465-BDC1-809CB116F634}"/>
    <cellStyle name="Normal 2 4 5 4 2 5" xfId="10224" xr:uid="{0A761C52-397F-49BE-86B7-4D2B82F12A1A}"/>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B6D818FB-EDD7-4489-AD15-3E2330FF5BBF}"/>
    <cellStyle name="Normal 2 4 5 4 3 2 3" xfId="12782" xr:uid="{0B782308-BDAB-4AF3-A172-66F22144A070}"/>
    <cellStyle name="Normal 2 4 5 4 3 3" xfId="5528" xr:uid="{00000000-0005-0000-0000-0000B6100000}"/>
    <cellStyle name="Normal 2 4 5 4 3 3 2" xfId="14854" xr:uid="{EDA6104D-6593-4326-B269-C713BDB0080F}"/>
    <cellStyle name="Normal 2 4 5 4 3 4" xfId="10637" xr:uid="{A3A109EF-F8D1-4ADD-984C-78A9DCAC7CE7}"/>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7FEF1867-728A-469A-A96E-86A204B1329B}"/>
    <cellStyle name="Normal 2 4 5 4 4 2 3" xfId="13195" xr:uid="{B966D766-C0A8-458C-8BA9-76974E8DB27D}"/>
    <cellStyle name="Normal 2 4 5 4 4 3" xfId="5941" xr:uid="{00000000-0005-0000-0000-0000BA100000}"/>
    <cellStyle name="Normal 2 4 5 4 4 3 2" xfId="15267" xr:uid="{C1753AE5-AF1E-496D-AC52-90BC49352CF7}"/>
    <cellStyle name="Normal 2 4 5 4 4 4" xfId="11050" xr:uid="{F98875E4-68A7-485E-BF28-65B97451B82B}"/>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350994D2-B064-498A-BEBA-62E21C66E41D}"/>
    <cellStyle name="Normal 2 4 5 4 5 2 3" xfId="13608" xr:uid="{9C7746A2-5890-46A0-9CB5-8B7EDE3BE1AA}"/>
    <cellStyle name="Normal 2 4 5 4 5 3" xfId="6354" xr:uid="{00000000-0005-0000-0000-0000BE100000}"/>
    <cellStyle name="Normal 2 4 5 4 5 3 2" xfId="15680" xr:uid="{2AEF430A-34C7-4CD8-8673-6FFBFC65B09C}"/>
    <cellStyle name="Normal 2 4 5 4 5 4" xfId="11463" xr:uid="{EA4DA84B-313B-4B06-8D7B-B0CA32E8B607}"/>
    <cellStyle name="Normal 2 4 5 4 6" xfId="2484" xr:uid="{00000000-0005-0000-0000-0000BF100000}"/>
    <cellStyle name="Normal 2 4 5 4 6 2" xfId="6767" xr:uid="{00000000-0005-0000-0000-0000C0100000}"/>
    <cellStyle name="Normal 2 4 5 4 6 2 2" xfId="16093" xr:uid="{880D4371-60A7-445B-B25C-3DF0823029E8}"/>
    <cellStyle name="Normal 2 4 5 4 6 3" xfId="11876" xr:uid="{E5F7EB13-9D1F-42E3-921A-A6AF9ACD70DF}"/>
    <cellStyle name="Normal 2 4 5 4 7" xfId="4701" xr:uid="{00000000-0005-0000-0000-0000C1100000}"/>
    <cellStyle name="Normal 2 4 5 4 7 2" xfId="14027" xr:uid="{ECA6510B-410E-4766-8D75-B1F27681DACE}"/>
    <cellStyle name="Normal 2 4 5 4 8" xfId="8987" xr:uid="{8DC2C01A-3078-41AD-BCFB-AA1CA8EE9C0A}"/>
    <cellStyle name="Normal 2 4 5 4 8 2" xfId="18311" xr:uid="{3BBFD6C7-AB6D-4B90-BB5C-2AA5FA9ECE35}"/>
    <cellStyle name="Normal 2 4 5 4 9" xfId="9810" xr:uid="{C2F23FF9-AF5F-4DB2-A813-AD7DD8A4F467}"/>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4E39C225-B8EF-4C17-8358-88FBF8C1C281}"/>
    <cellStyle name="Normal 2 4 5 5 2 3" xfId="12362" xr:uid="{CA834B97-61E4-4160-8410-E4214FEDE2DA}"/>
    <cellStyle name="Normal 2 4 5 5 3" xfId="5108" xr:uid="{00000000-0005-0000-0000-0000C5100000}"/>
    <cellStyle name="Normal 2 4 5 5 3 2" xfId="14434" xr:uid="{B64FFB67-BA20-4BFD-914A-DDAC7FFAC1FA}"/>
    <cellStyle name="Normal 2 4 5 5 4" xfId="9204" xr:uid="{BE34B337-03EE-47D8-9E35-2EE6FAB30236}"/>
    <cellStyle name="Normal 2 4 5 5 4 2" xfId="18520" xr:uid="{4EA986BB-1E27-40A2-82E0-56CB1D912E25}"/>
    <cellStyle name="Normal 2 4 5 5 5" xfId="10217" xr:uid="{818FC1AA-214F-449C-812C-56A024A1E73C}"/>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BBEDDB56-CCE2-428D-87FC-2A8C67E16703}"/>
    <cellStyle name="Normal 2 4 5 6 2 3" xfId="12775" xr:uid="{29399DE7-BFDC-4369-B041-C95F152F8974}"/>
    <cellStyle name="Normal 2 4 5 6 3" xfId="5521" xr:uid="{00000000-0005-0000-0000-0000C9100000}"/>
    <cellStyle name="Normal 2 4 5 6 3 2" xfId="14847" xr:uid="{F4846601-DC2C-4153-9661-DC121AE80708}"/>
    <cellStyle name="Normal 2 4 5 6 4" xfId="10630" xr:uid="{6FCC5E70-8859-4E66-9774-FEFAFD72DA29}"/>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095A8498-8DDF-4D31-AF47-ECD95E597596}"/>
    <cellStyle name="Normal 2 4 5 7 2 3" xfId="13188" xr:uid="{30567E30-02CC-4C47-ADFB-31AD9BD2FAF0}"/>
    <cellStyle name="Normal 2 4 5 7 3" xfId="5934" xr:uid="{00000000-0005-0000-0000-0000CD100000}"/>
    <cellStyle name="Normal 2 4 5 7 3 2" xfId="15260" xr:uid="{B3062C63-27A5-472F-A123-A42240225228}"/>
    <cellStyle name="Normal 2 4 5 7 4" xfId="11043" xr:uid="{0B9CD335-15E9-4E63-BAFD-5FE1DF590566}"/>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68AFCC20-928C-421E-9459-216EAFB203FB}"/>
    <cellStyle name="Normal 2 4 5 8 2 3" xfId="13601" xr:uid="{BC4588D5-1728-414B-B3CD-4B0F2105388B}"/>
    <cellStyle name="Normal 2 4 5 8 3" xfId="6347" xr:uid="{00000000-0005-0000-0000-0000D1100000}"/>
    <cellStyle name="Normal 2 4 5 8 3 2" xfId="15673" xr:uid="{779EF02C-DF07-412E-B355-811655D62CCD}"/>
    <cellStyle name="Normal 2 4 5 8 4" xfId="11456" xr:uid="{7FE01F72-D41E-48FC-B633-C084E98B7BBE}"/>
    <cellStyle name="Normal 2 4 5 9" xfId="2477" xr:uid="{00000000-0005-0000-0000-0000D2100000}"/>
    <cellStyle name="Normal 2 4 5 9 2" xfId="6760" xr:uid="{00000000-0005-0000-0000-0000D3100000}"/>
    <cellStyle name="Normal 2 4 5 9 2 2" xfId="16086" xr:uid="{7F392DC0-F9BE-4F83-BC98-CBCE17B2BD87}"/>
    <cellStyle name="Normal 2 4 5 9 3" xfId="11869" xr:uid="{01701BD9-DB19-4B8C-9965-FE37AA67CC08}"/>
    <cellStyle name="Normal 2 4 6" xfId="311" xr:uid="{00000000-0005-0000-0000-0000D4100000}"/>
    <cellStyle name="Normal 2 4 7" xfId="312" xr:uid="{00000000-0005-0000-0000-0000D5100000}"/>
    <cellStyle name="Normal 2 4 7 10" xfId="9811" xr:uid="{62D7384F-420D-4891-BC89-26EAA0FCD6C9}"/>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860DE7A5-ECEF-4371-A1C7-6867FBDDAED6}"/>
    <cellStyle name="Normal 2 4 7 2 2 2 3" xfId="12371" xr:uid="{743FA6EB-FB6E-4D79-BCA4-9CA9F54672EC}"/>
    <cellStyle name="Normal 2 4 7 2 2 3" xfId="5117" xr:uid="{00000000-0005-0000-0000-0000DA100000}"/>
    <cellStyle name="Normal 2 4 7 2 2 3 2" xfId="14443" xr:uid="{40DFC414-FE31-4981-B491-38AF16AA3193}"/>
    <cellStyle name="Normal 2 4 7 2 2 4" xfId="9483" xr:uid="{3D7EFF6F-050D-4214-91CB-DF2673F23584}"/>
    <cellStyle name="Normal 2 4 7 2 2 4 2" xfId="18798" xr:uid="{A12738A1-09FC-4331-9E40-95DDBD743EE0}"/>
    <cellStyle name="Normal 2 4 7 2 2 5" xfId="10226" xr:uid="{4A164F45-2E70-4603-9BA5-7150DED315F8}"/>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1EB8E934-C935-40B9-9058-DC5E5543F705}"/>
    <cellStyle name="Normal 2 4 7 2 3 2 3" xfId="12784" xr:uid="{3D195DF8-66DF-47C8-967E-26BA2CDAF515}"/>
    <cellStyle name="Normal 2 4 7 2 3 3" xfId="5530" xr:uid="{00000000-0005-0000-0000-0000DE100000}"/>
    <cellStyle name="Normal 2 4 7 2 3 3 2" xfId="14856" xr:uid="{4D9587B8-20E3-4AEF-A870-A2D8CE3AD440}"/>
    <cellStyle name="Normal 2 4 7 2 3 4" xfId="10639" xr:uid="{F5053F54-9DD2-4858-AD8B-87F7BDBC8A5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4AB01350-8B48-401E-9B32-B190F1D19745}"/>
    <cellStyle name="Normal 2 4 7 2 4 2 3" xfId="13197" xr:uid="{56D3AF17-078F-40A1-A74C-FBB1868B4F20}"/>
    <cellStyle name="Normal 2 4 7 2 4 3" xfId="5943" xr:uid="{00000000-0005-0000-0000-0000E2100000}"/>
    <cellStyle name="Normal 2 4 7 2 4 3 2" xfId="15269" xr:uid="{37537F09-C1FE-4709-90E6-11421032558E}"/>
    <cellStyle name="Normal 2 4 7 2 4 4" xfId="11052" xr:uid="{132868C7-E382-473C-88DB-DC6B66578CBB}"/>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0774E4DB-8D0A-4AEC-B2E0-389B888B41CA}"/>
    <cellStyle name="Normal 2 4 7 2 5 2 3" xfId="13610" xr:uid="{008CAF6A-F7CD-485F-887B-52BE2AD81487}"/>
    <cellStyle name="Normal 2 4 7 2 5 3" xfId="6356" xr:uid="{00000000-0005-0000-0000-0000E6100000}"/>
    <cellStyle name="Normal 2 4 7 2 5 3 2" xfId="15682" xr:uid="{1106DF2E-BAD6-4DCD-9BFD-59A81DEFAD89}"/>
    <cellStyle name="Normal 2 4 7 2 5 4" xfId="11465" xr:uid="{07F8462F-40E2-405B-BE5D-E278D9B56961}"/>
    <cellStyle name="Normal 2 4 7 2 6" xfId="2486" xr:uid="{00000000-0005-0000-0000-0000E7100000}"/>
    <cellStyle name="Normal 2 4 7 2 6 2" xfId="6769" xr:uid="{00000000-0005-0000-0000-0000E8100000}"/>
    <cellStyle name="Normal 2 4 7 2 6 2 2" xfId="16095" xr:uid="{4666C859-204C-4C8E-BBE9-E8F11881748E}"/>
    <cellStyle name="Normal 2 4 7 2 6 3" xfId="11878" xr:uid="{2BCB708B-3D8F-4D74-B21B-742D56DEA57C}"/>
    <cellStyle name="Normal 2 4 7 2 7" xfId="4703" xr:uid="{00000000-0005-0000-0000-0000E9100000}"/>
    <cellStyle name="Normal 2 4 7 2 7 2" xfId="14029" xr:uid="{16D53B8F-1871-492D-A301-F46A3526A0DE}"/>
    <cellStyle name="Normal 2 4 7 2 8" xfId="9058" xr:uid="{FCEC438E-EF6A-4A00-BFE3-0DA309169A82}"/>
    <cellStyle name="Normal 2 4 7 2 8 2" xfId="18382" xr:uid="{EA866315-997E-4FF7-B0CD-AD62C0049B19}"/>
    <cellStyle name="Normal 2 4 7 2 9" xfId="9812" xr:uid="{8A98F767-E619-470A-A142-C7137D1D2DA3}"/>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5D5033B2-11E8-4FCD-B818-7E3B6E8DFA7B}"/>
    <cellStyle name="Normal 2 4 7 3 2 3" xfId="12370" xr:uid="{F5D3ECC1-4ADD-4DC4-84DD-77D600B09A8B}"/>
    <cellStyle name="Normal 2 4 7 3 3" xfId="5116" xr:uid="{00000000-0005-0000-0000-0000ED100000}"/>
    <cellStyle name="Normal 2 4 7 3 3 2" xfId="14442" xr:uid="{6AC325E2-046B-4E36-B40E-E6B34C35577C}"/>
    <cellStyle name="Normal 2 4 7 3 4" xfId="9276" xr:uid="{90A81E61-1719-41E4-8673-7681E805C2E0}"/>
    <cellStyle name="Normal 2 4 7 3 4 2" xfId="18591" xr:uid="{79927DA4-5F53-4FF3-89D7-95DA54548890}"/>
    <cellStyle name="Normal 2 4 7 3 5" xfId="10225" xr:uid="{2D07B1D7-335A-4982-99FD-9988A5D245F4}"/>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FF6104EE-A23A-4402-9AD8-F3351B1057CF}"/>
    <cellStyle name="Normal 2 4 7 4 2 3" xfId="12783" xr:uid="{7E847410-565A-4EA6-802B-4549761F1324}"/>
    <cellStyle name="Normal 2 4 7 4 3" xfId="5529" xr:uid="{00000000-0005-0000-0000-0000F1100000}"/>
    <cellStyle name="Normal 2 4 7 4 3 2" xfId="14855" xr:uid="{83C3B257-ECA9-41DA-A510-0F20F29F347D}"/>
    <cellStyle name="Normal 2 4 7 4 4" xfId="10638" xr:uid="{71327B7B-2116-47B7-9218-E4DFC7712579}"/>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204BC9E3-2034-47FD-B37E-1BF95C2091C4}"/>
    <cellStyle name="Normal 2 4 7 5 2 3" xfId="13196" xr:uid="{571A192D-FD1D-4E1D-A6D3-9F343D009269}"/>
    <cellStyle name="Normal 2 4 7 5 3" xfId="5942" xr:uid="{00000000-0005-0000-0000-0000F5100000}"/>
    <cellStyle name="Normal 2 4 7 5 3 2" xfId="15268" xr:uid="{FB2D4C2A-A811-4B85-811B-118F49CBA8FC}"/>
    <cellStyle name="Normal 2 4 7 5 4" xfId="11051" xr:uid="{3A331DAA-A79A-496F-B3F5-9B9813919D5D}"/>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8998B1D6-D17C-4482-BF79-4D682003B079}"/>
    <cellStyle name="Normal 2 4 7 6 2 3" xfId="13609" xr:uid="{6DF274D6-BEF2-4EBD-9136-1100A20392ED}"/>
    <cellStyle name="Normal 2 4 7 6 3" xfId="6355" xr:uid="{00000000-0005-0000-0000-0000F9100000}"/>
    <cellStyle name="Normal 2 4 7 6 3 2" xfId="15681" xr:uid="{65765B53-2646-4DC1-93C3-7B86882EC0A3}"/>
    <cellStyle name="Normal 2 4 7 6 4" xfId="11464" xr:uid="{FFACE12E-5BDE-4EAF-A572-D5933F000E85}"/>
    <cellStyle name="Normal 2 4 7 7" xfId="2485" xr:uid="{00000000-0005-0000-0000-0000FA100000}"/>
    <cellStyle name="Normal 2 4 7 7 2" xfId="6768" xr:uid="{00000000-0005-0000-0000-0000FB100000}"/>
    <cellStyle name="Normal 2 4 7 7 2 2" xfId="16094" xr:uid="{8FEF124B-FF61-4543-A5E6-553AB8134DE7}"/>
    <cellStyle name="Normal 2 4 7 7 3" xfId="11877" xr:uid="{D6E02BD2-910C-46E9-ABC8-B586F573782A}"/>
    <cellStyle name="Normal 2 4 7 8" xfId="4702" xr:uid="{00000000-0005-0000-0000-0000FC100000}"/>
    <cellStyle name="Normal 2 4 7 8 2" xfId="14028" xr:uid="{AE2C6EBC-1B35-4EAE-BB27-99DECBE77954}"/>
    <cellStyle name="Normal 2 4 7 9" xfId="8851" xr:uid="{6946A6C1-9296-4D8F-B36F-8F7964FD7AC6}"/>
    <cellStyle name="Normal 2 4 7 9 2" xfId="18175" xr:uid="{03F7CBCD-1267-413B-B806-05E790374382}"/>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9FF572C2-5A79-4D6D-B732-0D95731E43E0}"/>
    <cellStyle name="Normal 2 4 8 2 2 3" xfId="12372" xr:uid="{D69D9F4C-0E40-489D-AB38-E5CED73794AB}"/>
    <cellStyle name="Normal 2 4 8 2 3" xfId="5118" xr:uid="{00000000-0005-0000-0000-000001110000}"/>
    <cellStyle name="Normal 2 4 8 2 3 2" xfId="14444" xr:uid="{A20EF68F-D39C-4576-A9D1-875CAFF67E02}"/>
    <cellStyle name="Normal 2 4 8 2 4" xfId="9392" xr:uid="{812B973E-E5C9-43CD-85B0-C8CA30BD9BF3}"/>
    <cellStyle name="Normal 2 4 8 2 4 2" xfId="18707" xr:uid="{49B5E462-15FD-498E-8987-04BD7EE128D3}"/>
    <cellStyle name="Normal 2 4 8 2 5" xfId="10227" xr:uid="{7D05CB0A-56AB-4E82-9AE6-C061A4542490}"/>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4F6DACED-558B-421A-82E5-347E6275E30A}"/>
    <cellStyle name="Normal 2 4 8 3 2 3" xfId="12785" xr:uid="{E1471B47-73F7-49F2-A70F-2233CA73C6EB}"/>
    <cellStyle name="Normal 2 4 8 3 3" xfId="5531" xr:uid="{00000000-0005-0000-0000-000005110000}"/>
    <cellStyle name="Normal 2 4 8 3 3 2" xfId="14857" xr:uid="{FE993B7F-F2C9-44F1-A49F-B74649DC7023}"/>
    <cellStyle name="Normal 2 4 8 3 4" xfId="10640" xr:uid="{02BFC54A-FF5F-4160-970E-AD670E866B3F}"/>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F2AB901D-FB5B-4D4B-A1BA-54B19E2832E8}"/>
    <cellStyle name="Normal 2 4 8 4 2 3" xfId="13198" xr:uid="{64D0B527-CF32-4FC9-8276-94170A50BF48}"/>
    <cellStyle name="Normal 2 4 8 4 3" xfId="5944" xr:uid="{00000000-0005-0000-0000-000009110000}"/>
    <cellStyle name="Normal 2 4 8 4 3 2" xfId="15270" xr:uid="{A9B77559-84BE-443B-8AFD-9009ADB16733}"/>
    <cellStyle name="Normal 2 4 8 4 4" xfId="11053" xr:uid="{785309F4-56B9-45CD-B0F5-C8FE54AA2A5A}"/>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018B5841-CCB5-4F7A-812D-BDC1AC039045}"/>
    <cellStyle name="Normal 2 4 8 5 2 3" xfId="13611" xr:uid="{C829E814-7440-4E8F-9FF9-DFCD84A30893}"/>
    <cellStyle name="Normal 2 4 8 5 3" xfId="6357" xr:uid="{00000000-0005-0000-0000-00000D110000}"/>
    <cellStyle name="Normal 2 4 8 5 3 2" xfId="15683" xr:uid="{9FC75E8D-8E42-4E82-9682-2954B29FE511}"/>
    <cellStyle name="Normal 2 4 8 5 4" xfId="11466" xr:uid="{47D8EC4C-00E2-47FA-90DC-0F8C9D91E67F}"/>
    <cellStyle name="Normal 2 4 8 6" xfId="2487" xr:uid="{00000000-0005-0000-0000-00000E110000}"/>
    <cellStyle name="Normal 2 4 8 6 2" xfId="6770" xr:uid="{00000000-0005-0000-0000-00000F110000}"/>
    <cellStyle name="Normal 2 4 8 6 2 2" xfId="16096" xr:uid="{08FCDF49-DA3B-4F8A-AA03-D9A592932F43}"/>
    <cellStyle name="Normal 2 4 8 6 3" xfId="11879" xr:uid="{B46113AB-616A-4D0A-B03A-3597CD719C47}"/>
    <cellStyle name="Normal 2 4 8 7" xfId="4704" xr:uid="{00000000-0005-0000-0000-000010110000}"/>
    <cellStyle name="Normal 2 4 8 7 2" xfId="14030" xr:uid="{345E1F19-61DB-4129-B61D-77307389A486}"/>
    <cellStyle name="Normal 2 4 8 8" xfId="8967" xr:uid="{32AC97CD-D3FD-4AE1-A8B2-07BEA9D5DE52}"/>
    <cellStyle name="Normal 2 4 8 8 2" xfId="18291" xr:uid="{E582C398-E106-4F54-A04D-FF5C9A151DC5}"/>
    <cellStyle name="Normal 2 4 8 9" xfId="9813" xr:uid="{9903DD7B-C176-49A5-94F6-65EF6676C286}"/>
    <cellStyle name="Normal 2 4 9" xfId="9170" xr:uid="{5569C060-E090-4551-A44D-517EC3FD1834}"/>
    <cellStyle name="Normal 2 4 9 2" xfId="18488" xr:uid="{DC225C4B-2177-4873-9AF5-236E3DBCC538}"/>
    <cellStyle name="Normal 2 5" xfId="315" xr:uid="{00000000-0005-0000-0000-000011110000}"/>
    <cellStyle name="Normal 2 5 10" xfId="4705" xr:uid="{00000000-0005-0000-0000-000012110000}"/>
    <cellStyle name="Normal 2 5 10 2" xfId="14031" xr:uid="{8373D2AA-71E3-44C1-9FDB-D702C5FA0835}"/>
    <cellStyle name="Normal 2 5 11" xfId="9814" xr:uid="{E2B2F2EF-4CF9-4722-8301-F4C8972C1B76}"/>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40766876-BB5B-40AF-B97B-5DD27A397D45}"/>
    <cellStyle name="Normal 2 5 4 11" xfId="9815" xr:uid="{07410A3D-0185-4FB4-8730-2B012EBC0A07}"/>
    <cellStyle name="Normal 2 5 4 2" xfId="319" xr:uid="{00000000-0005-0000-0000-000016110000}"/>
    <cellStyle name="Normal 2 5 4 2 10" xfId="9816" xr:uid="{C6AA686C-0537-446D-9328-8CCF505BCE85}"/>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E96EB07E-ED19-4349-BC72-F08C62ABD655}"/>
    <cellStyle name="Normal 2 5 4 2 2 2 2 3" xfId="12376" xr:uid="{CE1FAA32-9EBE-4567-9BE1-6DE6C45FBB41}"/>
    <cellStyle name="Normal 2 5 4 2 2 2 3" xfId="5122" xr:uid="{00000000-0005-0000-0000-00001B110000}"/>
    <cellStyle name="Normal 2 5 4 2 2 2 3 2" xfId="14448" xr:uid="{503893BC-1090-4907-AA73-C244DE893DB4}"/>
    <cellStyle name="Normal 2 5 4 2 2 2 4" xfId="9551" xr:uid="{392D7741-6781-4EA5-9C28-040053C1B05B}"/>
    <cellStyle name="Normal 2 5 4 2 2 2 4 2" xfId="18866" xr:uid="{FB276327-13C9-475A-BA2E-A5E18252C311}"/>
    <cellStyle name="Normal 2 5 4 2 2 2 5" xfId="10231" xr:uid="{CDA413C0-2823-4B17-841F-814666A39357}"/>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FF7BFD02-A38E-402B-B4A6-9BB705D85EC3}"/>
    <cellStyle name="Normal 2 5 4 2 2 3 2 3" xfId="12789" xr:uid="{CDE0BD34-CFDA-4F98-A02C-B8FAC472863A}"/>
    <cellStyle name="Normal 2 5 4 2 2 3 3" xfId="5535" xr:uid="{00000000-0005-0000-0000-00001F110000}"/>
    <cellStyle name="Normal 2 5 4 2 2 3 3 2" xfId="14861" xr:uid="{418C25E1-AE92-426F-ABD4-235909125137}"/>
    <cellStyle name="Normal 2 5 4 2 2 3 4" xfId="10644" xr:uid="{46B74E29-12A0-4AEB-96C4-3ABB9EFDD054}"/>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1BDCA973-0817-46BC-AD16-D629A520C8AF}"/>
    <cellStyle name="Normal 2 5 4 2 2 4 2 3" xfId="13202" xr:uid="{8F6C0FF3-CBF3-4F4E-95F1-99E5C943C091}"/>
    <cellStyle name="Normal 2 5 4 2 2 4 3" xfId="5948" xr:uid="{00000000-0005-0000-0000-000023110000}"/>
    <cellStyle name="Normal 2 5 4 2 2 4 3 2" xfId="15274" xr:uid="{B92A31C3-2CAC-42F8-9DC2-CEDB42543D5F}"/>
    <cellStyle name="Normal 2 5 4 2 2 4 4" xfId="11057" xr:uid="{A82B62CE-E7C3-4FC4-993B-B8D22C1CC97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17527447-1381-4BAD-A675-1AB572BE38C3}"/>
    <cellStyle name="Normal 2 5 4 2 2 5 2 3" xfId="13615" xr:uid="{1AF6B1CF-E089-49C7-84CD-397E4BB94E36}"/>
    <cellStyle name="Normal 2 5 4 2 2 5 3" xfId="6361" xr:uid="{00000000-0005-0000-0000-000027110000}"/>
    <cellStyle name="Normal 2 5 4 2 2 5 3 2" xfId="15687" xr:uid="{56244CF9-1A0C-4751-8031-692F9050DC91}"/>
    <cellStyle name="Normal 2 5 4 2 2 5 4" xfId="11470" xr:uid="{9B3802C2-9775-4E88-BE9B-343F0EA435FC}"/>
    <cellStyle name="Normal 2 5 4 2 2 6" xfId="2491" xr:uid="{00000000-0005-0000-0000-000028110000}"/>
    <cellStyle name="Normal 2 5 4 2 2 6 2" xfId="6774" xr:uid="{00000000-0005-0000-0000-000029110000}"/>
    <cellStyle name="Normal 2 5 4 2 2 6 2 2" xfId="16100" xr:uid="{7B5575B7-FCD4-4F35-A070-C19409B9DCDF}"/>
    <cellStyle name="Normal 2 5 4 2 2 6 3" xfId="11883" xr:uid="{65CAFB9A-19DA-42FD-9751-132263E84A86}"/>
    <cellStyle name="Normal 2 5 4 2 2 7" xfId="4708" xr:uid="{00000000-0005-0000-0000-00002A110000}"/>
    <cellStyle name="Normal 2 5 4 2 2 7 2" xfId="14034" xr:uid="{88423CBF-DCE6-425D-82D1-CD5FCC307B2D}"/>
    <cellStyle name="Normal 2 5 4 2 2 8" xfId="9126" xr:uid="{C2CF4AFD-4082-4555-941B-6E9759C32D63}"/>
    <cellStyle name="Normal 2 5 4 2 2 8 2" xfId="18450" xr:uid="{0BC911E9-899F-4BCD-A4A6-3A71294B121B}"/>
    <cellStyle name="Normal 2 5 4 2 2 9" xfId="9817" xr:uid="{2A212F4B-F670-437A-881E-53104C44446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611820DA-3CD8-4289-A249-3992E064ED40}"/>
    <cellStyle name="Normal 2 5 4 2 3 2 3" xfId="12375" xr:uid="{01318D22-8A2B-49ED-8DFF-60ECD94E5EF5}"/>
    <cellStyle name="Normal 2 5 4 2 3 3" xfId="5121" xr:uid="{00000000-0005-0000-0000-00002E110000}"/>
    <cellStyle name="Normal 2 5 4 2 3 3 2" xfId="14447" xr:uid="{9420875B-097B-4E93-80E0-28103DE9C070}"/>
    <cellStyle name="Normal 2 5 4 2 3 4" xfId="9344" xr:uid="{207B8A34-09D9-4349-A9C7-5A5A998C6B6F}"/>
    <cellStyle name="Normal 2 5 4 2 3 4 2" xfId="18659" xr:uid="{8AF8ADC5-C18F-47E2-A87E-4F560684E768}"/>
    <cellStyle name="Normal 2 5 4 2 3 5" xfId="10230" xr:uid="{85734689-6CAA-43BD-80F8-DBA33EFA02D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E1B003DE-F91A-43B8-81D8-46055FC0820F}"/>
    <cellStyle name="Normal 2 5 4 2 4 2 3" xfId="12788" xr:uid="{B2F6CC5B-B25C-4FC6-B6C3-93C457BD51A5}"/>
    <cellStyle name="Normal 2 5 4 2 4 3" xfId="5534" xr:uid="{00000000-0005-0000-0000-000032110000}"/>
    <cellStyle name="Normal 2 5 4 2 4 3 2" xfId="14860" xr:uid="{22CA6BE1-F534-41A9-B684-049B6879262A}"/>
    <cellStyle name="Normal 2 5 4 2 4 4" xfId="10643" xr:uid="{35BEE2CB-CF4E-4D38-976F-AF628FFA68A4}"/>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59387C39-493A-49E4-9CBC-ECA1952DFFF8}"/>
    <cellStyle name="Normal 2 5 4 2 5 2 3" xfId="13201" xr:uid="{95D69761-AFAA-456D-9C68-46F19B64DFC4}"/>
    <cellStyle name="Normal 2 5 4 2 5 3" xfId="5947" xr:uid="{00000000-0005-0000-0000-000036110000}"/>
    <cellStyle name="Normal 2 5 4 2 5 3 2" xfId="15273" xr:uid="{E6900678-02F7-422A-A991-718280D518B0}"/>
    <cellStyle name="Normal 2 5 4 2 5 4" xfId="11056" xr:uid="{9E034BEB-849D-4F0C-810B-A183490824F1}"/>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7EEB35D0-C66E-4307-92BD-3491FDFFF011}"/>
    <cellStyle name="Normal 2 5 4 2 6 2 3" xfId="13614" xr:uid="{60A363C2-1505-4D46-8993-F88494A9F8A5}"/>
    <cellStyle name="Normal 2 5 4 2 6 3" xfId="6360" xr:uid="{00000000-0005-0000-0000-00003A110000}"/>
    <cellStyle name="Normal 2 5 4 2 6 3 2" xfId="15686" xr:uid="{7EE97C30-7AAD-4D19-8EE5-54CEB1570569}"/>
    <cellStyle name="Normal 2 5 4 2 6 4" xfId="11469" xr:uid="{2C664F5B-85C0-49D0-9217-53C4097F217D}"/>
    <cellStyle name="Normal 2 5 4 2 7" xfId="2490" xr:uid="{00000000-0005-0000-0000-00003B110000}"/>
    <cellStyle name="Normal 2 5 4 2 7 2" xfId="6773" xr:uid="{00000000-0005-0000-0000-00003C110000}"/>
    <cellStyle name="Normal 2 5 4 2 7 2 2" xfId="16099" xr:uid="{E38ACE27-D381-4B00-9FF0-929A325D7790}"/>
    <cellStyle name="Normal 2 5 4 2 7 3" xfId="11882" xr:uid="{BD8FED23-4193-4C01-A00A-762DC0F00B5E}"/>
    <cellStyle name="Normal 2 5 4 2 8" xfId="4707" xr:uid="{00000000-0005-0000-0000-00003D110000}"/>
    <cellStyle name="Normal 2 5 4 2 8 2" xfId="14033" xr:uid="{C8764CBE-08B3-4359-9112-599748629145}"/>
    <cellStyle name="Normal 2 5 4 2 9" xfId="8919" xr:uid="{2A8C96F6-0F22-4271-BCA3-7E5B2E35A54F}"/>
    <cellStyle name="Normal 2 5 4 2 9 2" xfId="18243" xr:uid="{899F11D8-F22C-4F0D-B590-9047E430FBB7}"/>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30DB7700-84A3-4A4D-B58D-EA74DD4110F1}"/>
    <cellStyle name="Normal 2 5 4 3 2 2 3" xfId="12377" xr:uid="{C56984BA-6843-4C34-AB07-6E329D9F7FB4}"/>
    <cellStyle name="Normal 2 5 4 3 2 3" xfId="5123" xr:uid="{00000000-0005-0000-0000-000042110000}"/>
    <cellStyle name="Normal 2 5 4 3 2 3 2" xfId="14449" xr:uid="{874D1F27-7CD1-4453-9975-000563F592A9}"/>
    <cellStyle name="Normal 2 5 4 3 2 4" xfId="9448" xr:uid="{0C1738F2-697E-4430-8A3F-E67747B3EDB0}"/>
    <cellStyle name="Normal 2 5 4 3 2 4 2" xfId="18763" xr:uid="{8D2A1628-E6FE-41C0-9A71-59FD7B2CB4BC}"/>
    <cellStyle name="Normal 2 5 4 3 2 5" xfId="10232" xr:uid="{E49C2873-260B-41C8-AC3A-CBD8153DE193}"/>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FC0B97B8-EA68-4357-A49B-A795DA22C812}"/>
    <cellStyle name="Normal 2 5 4 3 3 2 3" xfId="12790" xr:uid="{8D032FC3-1504-4381-9B16-442E051D4AB4}"/>
    <cellStyle name="Normal 2 5 4 3 3 3" xfId="5536" xr:uid="{00000000-0005-0000-0000-000046110000}"/>
    <cellStyle name="Normal 2 5 4 3 3 3 2" xfId="14862" xr:uid="{AFC4DFD4-8942-47A3-AB92-E3C8F18A8FFC}"/>
    <cellStyle name="Normal 2 5 4 3 3 4" xfId="10645" xr:uid="{A69E39E9-1CC1-479F-940E-10836DA9965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55713890-C7FA-4D81-BEEE-BDA7FFDB91A6}"/>
    <cellStyle name="Normal 2 5 4 3 4 2 3" xfId="13203" xr:uid="{C6A9C057-6227-409A-96B3-AE52C0DA3B10}"/>
    <cellStyle name="Normal 2 5 4 3 4 3" xfId="5949" xr:uid="{00000000-0005-0000-0000-00004A110000}"/>
    <cellStyle name="Normal 2 5 4 3 4 3 2" xfId="15275" xr:uid="{D53769C9-7B9B-453C-B355-D16B2F4E264F}"/>
    <cellStyle name="Normal 2 5 4 3 4 4" xfId="11058" xr:uid="{88639B16-884A-474A-B988-7C8EAB04CBD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C9D8B993-DB8F-4F51-985D-C98524482231}"/>
    <cellStyle name="Normal 2 5 4 3 5 2 3" xfId="13616" xr:uid="{FE053028-1F83-4045-9FC7-D74E45AF88D0}"/>
    <cellStyle name="Normal 2 5 4 3 5 3" xfId="6362" xr:uid="{00000000-0005-0000-0000-00004E110000}"/>
    <cellStyle name="Normal 2 5 4 3 5 3 2" xfId="15688" xr:uid="{2B43DAF0-02FE-457B-B6B6-59F04B840BA3}"/>
    <cellStyle name="Normal 2 5 4 3 5 4" xfId="11471" xr:uid="{968B9215-A5CC-4614-8BB3-B91831428CC7}"/>
    <cellStyle name="Normal 2 5 4 3 6" xfId="2492" xr:uid="{00000000-0005-0000-0000-00004F110000}"/>
    <cellStyle name="Normal 2 5 4 3 6 2" xfId="6775" xr:uid="{00000000-0005-0000-0000-000050110000}"/>
    <cellStyle name="Normal 2 5 4 3 6 2 2" xfId="16101" xr:uid="{57B73BE6-9820-4106-883A-ADEC6675AE91}"/>
    <cellStyle name="Normal 2 5 4 3 6 3" xfId="11884" xr:uid="{D4123DFA-02BA-41D6-B55F-6AB3517A5BEF}"/>
    <cellStyle name="Normal 2 5 4 3 7" xfId="4709" xr:uid="{00000000-0005-0000-0000-000051110000}"/>
    <cellStyle name="Normal 2 5 4 3 7 2" xfId="14035" xr:uid="{88DA9C0A-4F15-4071-A871-D6F0FFFA4900}"/>
    <cellStyle name="Normal 2 5 4 3 8" xfId="9023" xr:uid="{9B869639-3DD4-4511-AD70-D5125D34938F}"/>
    <cellStyle name="Normal 2 5 4 3 8 2" xfId="18347" xr:uid="{7BD49CE2-13B3-4CDA-910E-C2B4F6463E4B}"/>
    <cellStyle name="Normal 2 5 4 3 9" xfId="9818" xr:uid="{4B9E6153-751F-438F-AC0F-7C66829FD9DB}"/>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4F798787-BB66-4864-94EC-EAC7F847E7E4}"/>
    <cellStyle name="Normal 2 5 4 4 2 3" xfId="12374" xr:uid="{BB1C021F-21C7-4090-8C48-78715EFB6DB5}"/>
    <cellStyle name="Normal 2 5 4 4 3" xfId="5120" xr:uid="{00000000-0005-0000-0000-000055110000}"/>
    <cellStyle name="Normal 2 5 4 4 3 2" xfId="14446" xr:uid="{B2979E3D-8767-4A97-AFD5-ADFEA26005C9}"/>
    <cellStyle name="Normal 2 5 4 4 4" xfId="9241" xr:uid="{2BD2F05F-E4C9-46B4-B3C9-F0D081C1F38F}"/>
    <cellStyle name="Normal 2 5 4 4 4 2" xfId="18556" xr:uid="{BB76D76B-91FD-4754-8E2C-15F096D42D23}"/>
    <cellStyle name="Normal 2 5 4 4 5" xfId="10229" xr:uid="{B63EFA63-C910-4D1F-88B6-8A3D701C0CCE}"/>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F2FD1F71-5562-48AC-84A5-B1FA56398AE5}"/>
    <cellStyle name="Normal 2 5 4 5 2 3" xfId="12787" xr:uid="{9163E7B9-C858-4038-ADEC-FC6D8330350A}"/>
    <cellStyle name="Normal 2 5 4 5 3" xfId="5533" xr:uid="{00000000-0005-0000-0000-000059110000}"/>
    <cellStyle name="Normal 2 5 4 5 3 2" xfId="14859" xr:uid="{A57269E2-B03C-4761-A56C-FFF563E514F5}"/>
    <cellStyle name="Normal 2 5 4 5 4" xfId="10642" xr:uid="{CDCBC9EB-2149-4492-85D7-C3ECF11C57B1}"/>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589C9912-DFA1-4B6A-B0CC-4D7BF7E7A48C}"/>
    <cellStyle name="Normal 2 5 4 6 2 3" xfId="13200" xr:uid="{715307E5-3535-4327-A0E6-89DE8DE7D686}"/>
    <cellStyle name="Normal 2 5 4 6 3" xfId="5946" xr:uid="{00000000-0005-0000-0000-00005D110000}"/>
    <cellStyle name="Normal 2 5 4 6 3 2" xfId="15272" xr:uid="{D9D64208-7621-424A-BE67-BB5314719261}"/>
    <cellStyle name="Normal 2 5 4 6 4" xfId="11055" xr:uid="{27B7E977-9CD3-4DF5-ABAC-F33C8F6F552A}"/>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4894EA54-BE54-46FE-9D0F-738C4B2176D8}"/>
    <cellStyle name="Normal 2 5 4 7 2 3" xfId="13613" xr:uid="{4E410696-C257-4B85-948A-014B27259668}"/>
    <cellStyle name="Normal 2 5 4 7 3" xfId="6359" xr:uid="{00000000-0005-0000-0000-000061110000}"/>
    <cellStyle name="Normal 2 5 4 7 3 2" xfId="15685" xr:uid="{CB83F69E-C736-4C86-9036-88B8644FD3CD}"/>
    <cellStyle name="Normal 2 5 4 7 4" xfId="11468" xr:uid="{A80152BD-77A5-4201-A95A-BA3A6F0954D5}"/>
    <cellStyle name="Normal 2 5 4 8" xfId="2489" xr:uid="{00000000-0005-0000-0000-000062110000}"/>
    <cellStyle name="Normal 2 5 4 8 2" xfId="6772" xr:uid="{00000000-0005-0000-0000-000063110000}"/>
    <cellStyle name="Normal 2 5 4 8 2 2" xfId="16098" xr:uid="{42B47D35-0022-4642-BAF5-34D7212C834E}"/>
    <cellStyle name="Normal 2 5 4 8 3" xfId="11881" xr:uid="{ABF0ED01-9923-470F-9A1B-6A95E1DEB161}"/>
    <cellStyle name="Normal 2 5 4 9" xfId="4706" xr:uid="{00000000-0005-0000-0000-000064110000}"/>
    <cellStyle name="Normal 2 5 4 9 2" xfId="14032" xr:uid="{A899850E-04B0-44DE-8174-561CAECF27ED}"/>
    <cellStyle name="Normal 2 5 5" xfId="803" xr:uid="{00000000-0005-0000-0000-000065110000}"/>
    <cellStyle name="Normal 2 5 5 2" xfId="3042" xr:uid="{00000000-0005-0000-0000-000066110000}"/>
    <cellStyle name="Normal 2 5 5 2 2" xfId="7264" xr:uid="{00000000-0005-0000-0000-000067110000}"/>
    <cellStyle name="Normal 2 5 5 2 2 2" xfId="16590" xr:uid="{02B91502-5636-464E-BF53-74201CEF1AD9}"/>
    <cellStyle name="Normal 2 5 5 2 3" xfId="12373" xr:uid="{404F4C88-5323-49C2-A0EA-4EA3F041ABE8}"/>
    <cellStyle name="Normal 2 5 5 3" xfId="5119" xr:uid="{00000000-0005-0000-0000-000068110000}"/>
    <cellStyle name="Normal 2 5 5 3 2" xfId="14445" xr:uid="{3710CFA0-E10F-45AA-B923-E337BDC099F9}"/>
    <cellStyle name="Normal 2 5 5 4" xfId="9606" xr:uid="{3AE4D77A-44EE-40C2-9F71-05FBDE2746B2}"/>
    <cellStyle name="Normal 2 5 5 4 2" xfId="18907" xr:uid="{C96A5CA7-9C6E-4E67-A534-D83D49D01451}"/>
    <cellStyle name="Normal 2 5 5 5" xfId="10228" xr:uid="{92B4FB7D-21DF-4B36-9D5D-E5463AFFA386}"/>
    <cellStyle name="Normal 2 5 6" xfId="1225" xr:uid="{00000000-0005-0000-0000-000069110000}"/>
    <cellStyle name="Normal 2 5 6 2" xfId="3455" xr:uid="{00000000-0005-0000-0000-00006A110000}"/>
    <cellStyle name="Normal 2 5 6 2 2" xfId="7677" xr:uid="{00000000-0005-0000-0000-00006B110000}"/>
    <cellStyle name="Normal 2 5 6 2 2 2" xfId="17003" xr:uid="{06110A07-8B8D-4BF3-BD54-1C668DF4CA18}"/>
    <cellStyle name="Normal 2 5 6 2 3" xfId="12786" xr:uid="{6057F8CE-7A3D-4912-9475-BAD567AD18B8}"/>
    <cellStyle name="Normal 2 5 6 3" xfId="5532" xr:uid="{00000000-0005-0000-0000-00006C110000}"/>
    <cellStyle name="Normal 2 5 6 3 2" xfId="14858" xr:uid="{A7E796DF-2492-4673-A545-6DA5FF745B10}"/>
    <cellStyle name="Normal 2 5 6 4" xfId="10641" xr:uid="{D64146AC-B7A2-47F4-A09E-F62D0A82371E}"/>
    <cellStyle name="Normal 2 5 7" xfId="1638" xr:uid="{00000000-0005-0000-0000-00006D110000}"/>
    <cellStyle name="Normal 2 5 7 2" xfId="3868" xr:uid="{00000000-0005-0000-0000-00006E110000}"/>
    <cellStyle name="Normal 2 5 7 2 2" xfId="8090" xr:uid="{00000000-0005-0000-0000-00006F110000}"/>
    <cellStyle name="Normal 2 5 7 2 2 2" xfId="17416" xr:uid="{2FA21127-02D8-437F-B8EE-EAABC64DAD51}"/>
    <cellStyle name="Normal 2 5 7 2 3" xfId="13199" xr:uid="{1EFD5DA8-3C24-4525-8FC1-D1BB064E4EA9}"/>
    <cellStyle name="Normal 2 5 7 3" xfId="5945" xr:uid="{00000000-0005-0000-0000-000070110000}"/>
    <cellStyle name="Normal 2 5 7 3 2" xfId="15271" xr:uid="{4A1B5963-8E1D-4391-A9C3-27FB85A915E9}"/>
    <cellStyle name="Normal 2 5 7 4" xfId="11054" xr:uid="{415A20D4-C535-4D45-974F-A934F2AFA28C}"/>
    <cellStyle name="Normal 2 5 8" xfId="2052" xr:uid="{00000000-0005-0000-0000-000071110000}"/>
    <cellStyle name="Normal 2 5 8 2" xfId="4281" xr:uid="{00000000-0005-0000-0000-000072110000}"/>
    <cellStyle name="Normal 2 5 8 2 2" xfId="8503" xr:uid="{00000000-0005-0000-0000-000073110000}"/>
    <cellStyle name="Normal 2 5 8 2 2 2" xfId="17829" xr:uid="{37432346-4308-42B3-B88D-24DCD5C03F40}"/>
    <cellStyle name="Normal 2 5 8 2 3" xfId="13612" xr:uid="{C0CD2D87-2940-4CC2-9D29-2805060B1999}"/>
    <cellStyle name="Normal 2 5 8 3" xfId="6358" xr:uid="{00000000-0005-0000-0000-000074110000}"/>
    <cellStyle name="Normal 2 5 8 3 2" xfId="15684" xr:uid="{6C158761-FC32-4936-A29C-1685270EF36D}"/>
    <cellStyle name="Normal 2 5 8 4" xfId="11467" xr:uid="{0D7A5A5D-0112-4CC7-AB12-5E09A471E1AA}"/>
    <cellStyle name="Normal 2 5 9" xfId="2488" xr:uid="{00000000-0005-0000-0000-000075110000}"/>
    <cellStyle name="Normal 2 5 9 2" xfId="6771" xr:uid="{00000000-0005-0000-0000-000076110000}"/>
    <cellStyle name="Normal 2 5 9 2 2" xfId="16097" xr:uid="{6DB8ADDD-F66A-4F3B-BEA8-3DE839683871}"/>
    <cellStyle name="Normal 2 5 9 3" xfId="11880" xr:uid="{767C8A16-94B1-42DA-A308-F7BFCF05A22C}"/>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634EA898-D528-455A-8627-847DF72117E2}"/>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A7D0C3FC-79D0-4429-88DC-F68CD552C554}"/>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BBA0AEAC-846F-4BFC-9D63-272CBDB2CA34}"/>
    <cellStyle name="Normal 3 2 3 11" xfId="9820" xr:uid="{D582B60E-79C3-4C79-95B8-1F18DECD5E9D}"/>
    <cellStyle name="Normal 3 2 3 2" xfId="327" xr:uid="{00000000-0005-0000-0000-00007F110000}"/>
    <cellStyle name="Normal 3 2 3 2 10" xfId="9821" xr:uid="{ED5727BC-4126-483E-8EA5-08827F4E70BC}"/>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FB51394B-2B7B-437E-942F-631F5BC2952A}"/>
    <cellStyle name="Normal 3 2 3 2 2 2 2 3" xfId="12381" xr:uid="{6E23C020-CE53-4F90-A246-B082A9373564}"/>
    <cellStyle name="Normal 3 2 3 2 2 2 3" xfId="5127" xr:uid="{00000000-0005-0000-0000-000084110000}"/>
    <cellStyle name="Normal 3 2 3 2 2 2 3 2" xfId="14453" xr:uid="{D5F06617-B9E9-47A1-A6E4-90EF589B1AB1}"/>
    <cellStyle name="Normal 3 2 3 2 2 2 4" xfId="9552" xr:uid="{54198C1B-8B77-4C07-BFED-28C4D4E00A0C}"/>
    <cellStyle name="Normal 3 2 3 2 2 2 4 2" xfId="18867" xr:uid="{641BDD1C-6306-4EF6-8AC1-8C3DCC6DB2F3}"/>
    <cellStyle name="Normal 3 2 3 2 2 2 5" xfId="10236" xr:uid="{B4FA7CC5-5C1F-4F52-B9C7-595BD5645642}"/>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2FF5766F-E4E0-48E6-B094-FED4D0BBB79B}"/>
    <cellStyle name="Normal 3 2 3 2 2 3 2 3" xfId="12794" xr:uid="{F9D3EB44-29DC-4BAA-97E2-DC331FF6DAAE}"/>
    <cellStyle name="Normal 3 2 3 2 2 3 3" xfId="5540" xr:uid="{00000000-0005-0000-0000-000088110000}"/>
    <cellStyle name="Normal 3 2 3 2 2 3 3 2" xfId="14866" xr:uid="{34CF0F39-E597-4ACA-9D9D-13463F5FD2EA}"/>
    <cellStyle name="Normal 3 2 3 2 2 3 4" xfId="10649" xr:uid="{7FD0183F-EA39-4104-8413-07994DB9E75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4936DFF7-D770-47B7-9383-F91C534D01A4}"/>
    <cellStyle name="Normal 3 2 3 2 2 4 2 3" xfId="13207" xr:uid="{643C926B-EDEF-4470-9E4F-851A97E17718}"/>
    <cellStyle name="Normal 3 2 3 2 2 4 3" xfId="5953" xr:uid="{00000000-0005-0000-0000-00008C110000}"/>
    <cellStyle name="Normal 3 2 3 2 2 4 3 2" xfId="15279" xr:uid="{BE400BD5-21EF-43A6-B6CF-ADFD57868993}"/>
    <cellStyle name="Normal 3 2 3 2 2 4 4" xfId="11062" xr:uid="{D75B68DE-E056-4E48-826E-9333C92624C4}"/>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75A4BE51-54FC-40DF-90E2-0D65B87A6704}"/>
    <cellStyle name="Normal 3 2 3 2 2 5 2 3" xfId="13620" xr:uid="{EA19892F-DAB1-4056-BCA4-E3CF1223D769}"/>
    <cellStyle name="Normal 3 2 3 2 2 5 3" xfId="6366" xr:uid="{00000000-0005-0000-0000-000090110000}"/>
    <cellStyle name="Normal 3 2 3 2 2 5 3 2" xfId="15692" xr:uid="{AE5DA0E7-27FE-45F9-A0A5-38E75839798B}"/>
    <cellStyle name="Normal 3 2 3 2 2 5 4" xfId="11475" xr:uid="{368EEE9B-4630-451B-8CAD-B729A60E0809}"/>
    <cellStyle name="Normal 3 2 3 2 2 6" xfId="2496" xr:uid="{00000000-0005-0000-0000-000091110000}"/>
    <cellStyle name="Normal 3 2 3 2 2 6 2" xfId="6779" xr:uid="{00000000-0005-0000-0000-000092110000}"/>
    <cellStyle name="Normal 3 2 3 2 2 6 2 2" xfId="16105" xr:uid="{E9A10D4A-C2E6-41F3-9186-19EED1C270A8}"/>
    <cellStyle name="Normal 3 2 3 2 2 6 3" xfId="11888" xr:uid="{0AE1113C-B25B-46A2-997E-AD7D10FAB9B7}"/>
    <cellStyle name="Normal 3 2 3 2 2 7" xfId="4713" xr:uid="{00000000-0005-0000-0000-000093110000}"/>
    <cellStyle name="Normal 3 2 3 2 2 7 2" xfId="14039" xr:uid="{EF5BFE66-C0D1-45D5-8738-94FF64F981DE}"/>
    <cellStyle name="Normal 3 2 3 2 2 8" xfId="9127" xr:uid="{0583B12A-AAD6-4358-9C0C-42D6EBC3DFD8}"/>
    <cellStyle name="Normal 3 2 3 2 2 8 2" xfId="18451" xr:uid="{BA698198-C580-42E4-A4C8-3F27DB7D8C08}"/>
    <cellStyle name="Normal 3 2 3 2 2 9" xfId="9822" xr:uid="{395BBD95-E604-47FA-8EA6-5CA58050041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8FFA425A-757D-4362-A1EE-F583AEDE09FD}"/>
    <cellStyle name="Normal 3 2 3 2 3 2 3" xfId="12380" xr:uid="{5696FEF0-E7E5-4663-B9C5-2E7D912476E4}"/>
    <cellStyle name="Normal 3 2 3 2 3 3" xfId="5126" xr:uid="{00000000-0005-0000-0000-000097110000}"/>
    <cellStyle name="Normal 3 2 3 2 3 3 2" xfId="14452" xr:uid="{3DFA54CA-B931-4BF1-BA34-65696D069967}"/>
    <cellStyle name="Normal 3 2 3 2 3 4" xfId="9345" xr:uid="{C34A3811-3C7F-4E99-A17A-CCF74A426C86}"/>
    <cellStyle name="Normal 3 2 3 2 3 4 2" xfId="18660" xr:uid="{CF99C144-E76F-483E-9F3C-EC5EC13F0A68}"/>
    <cellStyle name="Normal 3 2 3 2 3 5" xfId="10235" xr:uid="{EB5C6696-ACB3-4D96-A82E-BAB220CC8B45}"/>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1F91531E-B589-4227-84FC-863936825044}"/>
    <cellStyle name="Normal 3 2 3 2 4 2 3" xfId="12793" xr:uid="{E2CBEC96-302A-40D4-B11E-C46A613D21FE}"/>
    <cellStyle name="Normal 3 2 3 2 4 3" xfId="5539" xr:uid="{00000000-0005-0000-0000-00009B110000}"/>
    <cellStyle name="Normal 3 2 3 2 4 3 2" xfId="14865" xr:uid="{22CEB9B4-B172-453B-9EBD-FACFBF46AFDE}"/>
    <cellStyle name="Normal 3 2 3 2 4 4" xfId="10648" xr:uid="{4732951C-072D-404B-A29C-94E4B6A5FA74}"/>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4E65E933-BBBE-4B25-AED3-51A82735DED1}"/>
    <cellStyle name="Normal 3 2 3 2 5 2 3" xfId="13206" xr:uid="{082C0A13-1FDF-4516-85B5-684012290522}"/>
    <cellStyle name="Normal 3 2 3 2 5 3" xfId="5952" xr:uid="{00000000-0005-0000-0000-00009F110000}"/>
    <cellStyle name="Normal 3 2 3 2 5 3 2" xfId="15278" xr:uid="{FDD11942-1A41-4EA5-946E-72CA91CEE7E2}"/>
    <cellStyle name="Normal 3 2 3 2 5 4" xfId="11061" xr:uid="{41C2F5AF-8F4A-4DD1-A07E-93597F31501F}"/>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2BF37FDF-5143-4EC2-B503-D909ED2CA720}"/>
    <cellStyle name="Normal 3 2 3 2 6 2 3" xfId="13619" xr:uid="{2B262B70-811E-4721-A89C-ED99A31F4AEE}"/>
    <cellStyle name="Normal 3 2 3 2 6 3" xfId="6365" xr:uid="{00000000-0005-0000-0000-0000A3110000}"/>
    <cellStyle name="Normal 3 2 3 2 6 3 2" xfId="15691" xr:uid="{B451E208-97FC-4EC0-B21D-EA0D76713B23}"/>
    <cellStyle name="Normal 3 2 3 2 6 4" xfId="11474" xr:uid="{DEFB2860-4E82-4AC0-86BB-01D695D9908B}"/>
    <cellStyle name="Normal 3 2 3 2 7" xfId="2495" xr:uid="{00000000-0005-0000-0000-0000A4110000}"/>
    <cellStyle name="Normal 3 2 3 2 7 2" xfId="6778" xr:uid="{00000000-0005-0000-0000-0000A5110000}"/>
    <cellStyle name="Normal 3 2 3 2 7 2 2" xfId="16104" xr:uid="{1EFFFECB-F15D-43F7-A6B2-5973D67117E6}"/>
    <cellStyle name="Normal 3 2 3 2 7 3" xfId="11887" xr:uid="{FFC6EAC1-76B7-4072-A33B-036494A7BA20}"/>
    <cellStyle name="Normal 3 2 3 2 8" xfId="4712" xr:uid="{00000000-0005-0000-0000-0000A6110000}"/>
    <cellStyle name="Normal 3 2 3 2 8 2" xfId="14038" xr:uid="{8D2FC943-3C4C-4C40-B9DB-0CA37163940B}"/>
    <cellStyle name="Normal 3 2 3 2 9" xfId="8920" xr:uid="{D9E0825A-068A-435C-BDBE-2C0571A11FAF}"/>
    <cellStyle name="Normal 3 2 3 2 9 2" xfId="18244" xr:uid="{0CF7535B-E7B5-4B6A-90CD-1CC4A232B96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DB0CD801-04D7-4A29-BE04-0FB2C208540E}"/>
    <cellStyle name="Normal 3 2 3 3 2 2 3" xfId="12382" xr:uid="{A4D05D90-4DA3-4D4E-8E8C-CEF7124D6558}"/>
    <cellStyle name="Normal 3 2 3 3 2 3" xfId="5128" xr:uid="{00000000-0005-0000-0000-0000AB110000}"/>
    <cellStyle name="Normal 3 2 3 3 2 3 2" xfId="14454" xr:uid="{8134027E-AD01-486A-B264-E22CB3894D20}"/>
    <cellStyle name="Normal 3 2 3 3 2 4" xfId="9449" xr:uid="{7F58A2DC-DF16-44D1-8D09-04DD41EF4468}"/>
    <cellStyle name="Normal 3 2 3 3 2 4 2" xfId="18764" xr:uid="{60C151D5-CB09-4824-BF45-3840B6CA363F}"/>
    <cellStyle name="Normal 3 2 3 3 2 5" xfId="10237" xr:uid="{98CCF81D-FA03-4C60-82B2-EBA901765E1B}"/>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4DE866D1-674C-4867-81E5-17242D06BB1E}"/>
    <cellStyle name="Normal 3 2 3 3 3 2 3" xfId="12795" xr:uid="{983E1DEB-5DFC-4BAF-8E8C-E2619039CA83}"/>
    <cellStyle name="Normal 3 2 3 3 3 3" xfId="5541" xr:uid="{00000000-0005-0000-0000-0000AF110000}"/>
    <cellStyle name="Normal 3 2 3 3 3 3 2" xfId="14867" xr:uid="{8234DC0D-C8F1-49F1-A771-80A5AA727DFA}"/>
    <cellStyle name="Normal 3 2 3 3 3 4" xfId="10650" xr:uid="{F75D6CFA-4B47-4102-ADFD-E4B98AB4799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6C72CCDD-EE03-4178-AFFD-94A6B45F9A4D}"/>
    <cellStyle name="Normal 3 2 3 3 4 2 3" xfId="13208" xr:uid="{870D2659-34DF-4F49-B4A7-80A8D7A92E34}"/>
    <cellStyle name="Normal 3 2 3 3 4 3" xfId="5954" xr:uid="{00000000-0005-0000-0000-0000B3110000}"/>
    <cellStyle name="Normal 3 2 3 3 4 3 2" xfId="15280" xr:uid="{ECAF5AC9-5AA7-4336-94AA-23D707BD2BC5}"/>
    <cellStyle name="Normal 3 2 3 3 4 4" xfId="11063" xr:uid="{DC6B7BA2-61ED-44E0-9C9C-B50F69A3C96D}"/>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9B2AADA7-1A91-4734-A652-6F62D667C1A5}"/>
    <cellStyle name="Normal 3 2 3 3 5 2 3" xfId="13621" xr:uid="{1B6AC694-E94A-449D-AFF6-3B0A33F03277}"/>
    <cellStyle name="Normal 3 2 3 3 5 3" xfId="6367" xr:uid="{00000000-0005-0000-0000-0000B7110000}"/>
    <cellStyle name="Normal 3 2 3 3 5 3 2" xfId="15693" xr:uid="{60D39B29-ADD7-45FD-A10E-9D2AB3367722}"/>
    <cellStyle name="Normal 3 2 3 3 5 4" xfId="11476" xr:uid="{25B16789-49E5-48E6-B0F4-3ED06DC3EEA1}"/>
    <cellStyle name="Normal 3 2 3 3 6" xfId="2497" xr:uid="{00000000-0005-0000-0000-0000B8110000}"/>
    <cellStyle name="Normal 3 2 3 3 6 2" xfId="6780" xr:uid="{00000000-0005-0000-0000-0000B9110000}"/>
    <cellStyle name="Normal 3 2 3 3 6 2 2" xfId="16106" xr:uid="{4F1B7BCE-BA28-4712-B2F4-3D92D1D7A7D4}"/>
    <cellStyle name="Normal 3 2 3 3 6 3" xfId="11889" xr:uid="{5C0D1606-909E-4AF4-9777-F9CCAF170638}"/>
    <cellStyle name="Normal 3 2 3 3 7" xfId="4714" xr:uid="{00000000-0005-0000-0000-0000BA110000}"/>
    <cellStyle name="Normal 3 2 3 3 7 2" xfId="14040" xr:uid="{768D48DC-5142-4B4D-A197-8A971C53C87A}"/>
    <cellStyle name="Normal 3 2 3 3 8" xfId="9024" xr:uid="{AE2F680F-18A3-47B5-ADCF-6BEAD71D50CE}"/>
    <cellStyle name="Normal 3 2 3 3 8 2" xfId="18348" xr:uid="{F4F64A1B-A9B7-4FE2-822A-42E7F9C37235}"/>
    <cellStyle name="Normal 3 2 3 3 9" xfId="9823" xr:uid="{D971669A-F271-44E3-ACBB-8E0AE4B1694D}"/>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E1AF9C82-437C-4567-9E8E-156CF8335BFB}"/>
    <cellStyle name="Normal 3 2 3 4 2 3" xfId="12379" xr:uid="{F908F2F6-2AE3-43B5-9790-3C6159292C7F}"/>
    <cellStyle name="Normal 3 2 3 4 3" xfId="5125" xr:uid="{00000000-0005-0000-0000-0000BE110000}"/>
    <cellStyle name="Normal 3 2 3 4 3 2" xfId="14451" xr:uid="{A3724842-80B7-4793-BFDC-2BCBDCE1872C}"/>
    <cellStyle name="Normal 3 2 3 4 4" xfId="9242" xr:uid="{05AEEDFF-7EEB-40DB-B13D-145C971A771B}"/>
    <cellStyle name="Normal 3 2 3 4 4 2" xfId="18557" xr:uid="{AFE7C143-8F6E-4071-9E20-BEFDF4ADB604}"/>
    <cellStyle name="Normal 3 2 3 4 5" xfId="10234" xr:uid="{2C731198-E96D-4258-8271-751BD4E0AAAB}"/>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84F7F394-5A00-430F-A3DF-B808318335A4}"/>
    <cellStyle name="Normal 3 2 3 5 2 3" xfId="12792" xr:uid="{3C503BED-4E99-4B28-B33F-8CA27E4FA16E}"/>
    <cellStyle name="Normal 3 2 3 5 3" xfId="5538" xr:uid="{00000000-0005-0000-0000-0000C2110000}"/>
    <cellStyle name="Normal 3 2 3 5 3 2" xfId="14864" xr:uid="{B612A3CA-235E-4C2B-9952-6DA86B92E755}"/>
    <cellStyle name="Normal 3 2 3 5 4" xfId="10647" xr:uid="{53BCC159-541D-456A-825D-0139F7FA8DDA}"/>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5F571219-4380-4632-96B3-F8CC7B697AF2}"/>
    <cellStyle name="Normal 3 2 3 6 2 3" xfId="13205" xr:uid="{5468003C-E6CE-4EBF-8931-81A268CF4356}"/>
    <cellStyle name="Normal 3 2 3 6 3" xfId="5951" xr:uid="{00000000-0005-0000-0000-0000C6110000}"/>
    <cellStyle name="Normal 3 2 3 6 3 2" xfId="15277" xr:uid="{7683A855-FF4D-467D-9FB7-A1CAB300ACBF}"/>
    <cellStyle name="Normal 3 2 3 6 4" xfId="11060" xr:uid="{A6D978D7-6552-421E-BF35-0027A753D2BA}"/>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3459C41C-F50E-408B-88BB-0E995D11332C}"/>
    <cellStyle name="Normal 3 2 3 7 2 3" xfId="13618" xr:uid="{C4C9E032-B5BE-4546-8901-58EDF6213A3F}"/>
    <cellStyle name="Normal 3 2 3 7 3" xfId="6364" xr:uid="{00000000-0005-0000-0000-0000CA110000}"/>
    <cellStyle name="Normal 3 2 3 7 3 2" xfId="15690" xr:uid="{2EFB1D31-E66D-41ED-92E4-C3E555ED796C}"/>
    <cellStyle name="Normal 3 2 3 7 4" xfId="11473" xr:uid="{DFABF662-5B9E-40A2-81B4-2EE79888DD90}"/>
    <cellStyle name="Normal 3 2 3 8" xfId="2494" xr:uid="{00000000-0005-0000-0000-0000CB110000}"/>
    <cellStyle name="Normal 3 2 3 8 2" xfId="6777" xr:uid="{00000000-0005-0000-0000-0000CC110000}"/>
    <cellStyle name="Normal 3 2 3 8 2 2" xfId="16103" xr:uid="{692C522F-1986-4EFF-B48B-4FAA109D28D6}"/>
    <cellStyle name="Normal 3 2 3 8 3" xfId="11886" xr:uid="{7B113E31-A06F-4A07-9B78-A907C24D2A96}"/>
    <cellStyle name="Normal 3 2 3 9" xfId="4711" xr:uid="{00000000-0005-0000-0000-0000CD110000}"/>
    <cellStyle name="Normal 3 2 3 9 2" xfId="14037" xr:uid="{0E620862-2C8C-49AB-8439-51FC0F6BD8DA}"/>
    <cellStyle name="Normal 3 2 4" xfId="809" xr:uid="{00000000-0005-0000-0000-0000CE110000}"/>
    <cellStyle name="Normal 3 2 4 2" xfId="3047" xr:uid="{00000000-0005-0000-0000-0000CF110000}"/>
    <cellStyle name="Normal 3 2 4 2 2" xfId="7269" xr:uid="{00000000-0005-0000-0000-0000D0110000}"/>
    <cellStyle name="Normal 3 2 4 2 2 2" xfId="16595" xr:uid="{8CE2E81D-EDCE-4E84-B27E-C416E9D9F1B8}"/>
    <cellStyle name="Normal 3 2 4 2 3" xfId="12378" xr:uid="{FFF0C044-68FA-4BC4-B80C-494A3A7DDFD1}"/>
    <cellStyle name="Normal 3 2 4 3" xfId="5124" xr:uid="{00000000-0005-0000-0000-0000D1110000}"/>
    <cellStyle name="Normal 3 2 4 3 2" xfId="14450" xr:uid="{8F3AF0AA-B9E8-4A3C-B1A3-90BB21340220}"/>
    <cellStyle name="Normal 3 2 4 4" xfId="9607" xr:uid="{7D769806-7069-4B8D-8CAC-B3B91BBA8D64}"/>
    <cellStyle name="Normal 3 2 4 4 2" xfId="18908" xr:uid="{42F65ED6-36E7-4F4D-A422-95072DFCF6EA}"/>
    <cellStyle name="Normal 3 2 4 5" xfId="10233" xr:uid="{9747C6DB-33B8-402F-8359-8201520371A9}"/>
    <cellStyle name="Normal 3 2 5" xfId="1230" xr:uid="{00000000-0005-0000-0000-0000D2110000}"/>
    <cellStyle name="Normal 3 2 5 2" xfId="3460" xr:uid="{00000000-0005-0000-0000-0000D3110000}"/>
    <cellStyle name="Normal 3 2 5 2 2" xfId="7682" xr:uid="{00000000-0005-0000-0000-0000D4110000}"/>
    <cellStyle name="Normal 3 2 5 2 2 2" xfId="17008" xr:uid="{EC76B936-1D61-4630-98EA-EBC19BFA1273}"/>
    <cellStyle name="Normal 3 2 5 2 3" xfId="12791" xr:uid="{0251564C-E562-4CF4-9509-0D68A71249D2}"/>
    <cellStyle name="Normal 3 2 5 3" xfId="5537" xr:uid="{00000000-0005-0000-0000-0000D5110000}"/>
    <cellStyle name="Normal 3 2 5 3 2" xfId="14863" xr:uid="{CB47EAE5-B36E-4EC0-8E44-38C9AA451A62}"/>
    <cellStyle name="Normal 3 2 5 4" xfId="10646" xr:uid="{20FE03DA-E6E5-4E3B-BB46-2A65CBC0CE2F}"/>
    <cellStyle name="Normal 3 2 6" xfId="1643" xr:uid="{00000000-0005-0000-0000-0000D6110000}"/>
    <cellStyle name="Normal 3 2 6 2" xfId="3873" xr:uid="{00000000-0005-0000-0000-0000D7110000}"/>
    <cellStyle name="Normal 3 2 6 2 2" xfId="8095" xr:uid="{00000000-0005-0000-0000-0000D8110000}"/>
    <cellStyle name="Normal 3 2 6 2 2 2" xfId="17421" xr:uid="{239F004C-921F-4646-A988-5DC0F94224C5}"/>
    <cellStyle name="Normal 3 2 6 2 3" xfId="13204" xr:uid="{3AB8F43D-7C6C-4346-8251-B67F9C4C4AC6}"/>
    <cellStyle name="Normal 3 2 6 3" xfId="5950" xr:uid="{00000000-0005-0000-0000-0000D9110000}"/>
    <cellStyle name="Normal 3 2 6 3 2" xfId="15276" xr:uid="{0687B323-5D92-45E0-BE69-D1BD012FAB67}"/>
    <cellStyle name="Normal 3 2 6 4" xfId="11059" xr:uid="{4EFF902D-D79B-4D9E-8BC2-4609449B2A68}"/>
    <cellStyle name="Normal 3 2 7" xfId="2057" xr:uid="{00000000-0005-0000-0000-0000DA110000}"/>
    <cellStyle name="Normal 3 2 7 2" xfId="4286" xr:uid="{00000000-0005-0000-0000-0000DB110000}"/>
    <cellStyle name="Normal 3 2 7 2 2" xfId="8508" xr:uid="{00000000-0005-0000-0000-0000DC110000}"/>
    <cellStyle name="Normal 3 2 7 2 2 2" xfId="17834" xr:uid="{C9B9B546-9B3C-4D8B-BA74-96DE50BA4496}"/>
    <cellStyle name="Normal 3 2 7 2 3" xfId="13617" xr:uid="{99A7A3D7-360C-4C07-BA56-720FEAC0C39D}"/>
    <cellStyle name="Normal 3 2 7 3" xfId="6363" xr:uid="{00000000-0005-0000-0000-0000DD110000}"/>
    <cellStyle name="Normal 3 2 7 3 2" xfId="15689" xr:uid="{7054DE02-47EE-456A-BBF7-36E6E60E7393}"/>
    <cellStyle name="Normal 3 2 7 4" xfId="11472" xr:uid="{04375A7B-86D1-45B6-9C99-231B9F677BF6}"/>
    <cellStyle name="Normal 3 2 8" xfId="2493" xr:uid="{00000000-0005-0000-0000-0000DE110000}"/>
    <cellStyle name="Normal 3 2 8 2" xfId="6776" xr:uid="{00000000-0005-0000-0000-0000DF110000}"/>
    <cellStyle name="Normal 3 2 8 2 2" xfId="16102" xr:uid="{86DCA224-F418-48B1-8DC2-35112EBD9BCC}"/>
    <cellStyle name="Normal 3 2 8 3" xfId="11885" xr:uid="{FC6C7835-4AFC-4596-AB19-A04872B66C9A}"/>
    <cellStyle name="Normal 3 2 9" xfId="4710" xr:uid="{00000000-0005-0000-0000-0000E0110000}"/>
    <cellStyle name="Normal 3 2 9 2" xfId="14036" xr:uid="{9F4870BB-275C-451E-9CD6-B2F69D2392F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1B2ED2D6-A8DC-4BBD-B58D-F9608BA7CDF8}"/>
    <cellStyle name="Normal 4 11" xfId="9824" xr:uid="{14B92319-09E9-4D8C-84C3-C662B6E3A66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01B76518-D911-424B-B22F-35CCEB768B3F}"/>
    <cellStyle name="Normal 4 2 2 10 2 3" xfId="13622" xr:uid="{483B838D-E4AF-4E3A-9A77-BA629BFC5EB4}"/>
    <cellStyle name="Normal 4 2 2 10 3" xfId="6368" xr:uid="{00000000-0005-0000-0000-0000ED110000}"/>
    <cellStyle name="Normal 4 2 2 10 3 2" xfId="15694" xr:uid="{009D99DE-8E22-442D-A6A3-9B8E83341429}"/>
    <cellStyle name="Normal 4 2 2 10 4" xfId="11477" xr:uid="{09D43F92-721D-4F5A-820F-19AD030A39DD}"/>
    <cellStyle name="Normal 4 2 2 11" xfId="2498" xr:uid="{00000000-0005-0000-0000-0000EE110000}"/>
    <cellStyle name="Normal 4 2 2 11 2" xfId="6781" xr:uid="{00000000-0005-0000-0000-0000EF110000}"/>
    <cellStyle name="Normal 4 2 2 11 2 2" xfId="16107" xr:uid="{A93B57B9-9B10-4097-956D-39815ACDCF46}"/>
    <cellStyle name="Normal 4 2 2 11 3" xfId="11890" xr:uid="{67E65CCE-23D2-4BD5-A576-FD52CAAC80CD}"/>
    <cellStyle name="Normal 4 2 2 12" xfId="4716" xr:uid="{00000000-0005-0000-0000-0000F0110000}"/>
    <cellStyle name="Normal 4 2 2 12 2" xfId="14042" xr:uid="{94DE4EC0-343B-4679-98A0-06766991047C}"/>
    <cellStyle name="Normal 4 2 2 13" xfId="8752" xr:uid="{7B61EFAC-4165-4615-9A47-7AF5DAE027C9}"/>
    <cellStyle name="Normal 4 2 2 13 2" xfId="18076" xr:uid="{770A9879-708D-48F1-BD7F-D3B7BC376AEF}"/>
    <cellStyle name="Normal 4 2 2 14" xfId="9825" xr:uid="{EFF3633B-6487-4554-8DA2-1EDF15B51623}"/>
    <cellStyle name="Normal 4 2 2 2" xfId="338" xr:uid="{00000000-0005-0000-0000-0000F1110000}"/>
    <cellStyle name="Normal 4 2 2 3" xfId="339" xr:uid="{00000000-0005-0000-0000-0000F2110000}"/>
    <cellStyle name="Normal 4 2 2 3 10" xfId="4717" xr:uid="{00000000-0005-0000-0000-0000F3110000}"/>
    <cellStyle name="Normal 4 2 2 3 10 2" xfId="14043" xr:uid="{CE8527EA-16AA-414E-B4CE-4E428A171046}"/>
    <cellStyle name="Normal 4 2 2 3 11" xfId="8784" xr:uid="{8AA3A883-811C-4C4A-AFFF-9AAED56BF228}"/>
    <cellStyle name="Normal 4 2 2 3 11 2" xfId="18108" xr:uid="{1D257F01-7F64-410A-A7A8-50CD573DD7E7}"/>
    <cellStyle name="Normal 4 2 2 3 12" xfId="9826" xr:uid="{353A5088-41C9-4D72-9CBE-E8D9C69EA555}"/>
    <cellStyle name="Normal 4 2 2 3 2" xfId="340" xr:uid="{00000000-0005-0000-0000-0000F4110000}"/>
    <cellStyle name="Normal 4 2 2 3 2 10" xfId="8819" xr:uid="{16629302-3759-4242-B07E-BB5D034B10E8}"/>
    <cellStyle name="Normal 4 2 2 3 2 10 2" xfId="18143" xr:uid="{3FA63D37-70A1-47F9-94E8-B446165C3E4A}"/>
    <cellStyle name="Normal 4 2 2 3 2 11" xfId="9827" xr:uid="{2ED0B33F-7265-4AFC-BDBD-B5A4826950AD}"/>
    <cellStyle name="Normal 4 2 2 3 2 2" xfId="341" xr:uid="{00000000-0005-0000-0000-0000F5110000}"/>
    <cellStyle name="Normal 4 2 2 3 2 2 10" xfId="9828" xr:uid="{EC6C3E76-87F5-4894-83AA-FFCCD21AA7AA}"/>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7F778BF9-C051-41F1-9612-83096E842306}"/>
    <cellStyle name="Normal 4 2 2 3 2 2 2 2 2 3" xfId="12387" xr:uid="{898C15A5-9D5F-4B4A-8A90-074FCA970793}"/>
    <cellStyle name="Normal 4 2 2 3 2 2 2 2 3" xfId="5133" xr:uid="{00000000-0005-0000-0000-0000FA110000}"/>
    <cellStyle name="Normal 4 2 2 3 2 2 2 2 3 2" xfId="14459" xr:uid="{14723DAA-8849-41FE-8D3E-7C26057D7B73}"/>
    <cellStyle name="Normal 4 2 2 3 2 2 2 2 4" xfId="9554" xr:uid="{BAC669EC-8948-4716-90C3-0688F03300CE}"/>
    <cellStyle name="Normal 4 2 2 3 2 2 2 2 4 2" xfId="18869" xr:uid="{975FE227-2078-4D06-A776-3A5067D071AA}"/>
    <cellStyle name="Normal 4 2 2 3 2 2 2 2 5" xfId="10242" xr:uid="{7B3A22A6-3F10-41B3-B378-AFD9216A64DB}"/>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211C1DC9-5F78-4E2A-970B-1B1C0349C459}"/>
    <cellStyle name="Normal 4 2 2 3 2 2 2 3 2 3" xfId="12800" xr:uid="{C0BFC894-9794-41CE-9FF0-CE03BF8A9051}"/>
    <cellStyle name="Normal 4 2 2 3 2 2 2 3 3" xfId="5546" xr:uid="{00000000-0005-0000-0000-0000FE110000}"/>
    <cellStyle name="Normal 4 2 2 3 2 2 2 3 3 2" xfId="14872" xr:uid="{2810CED5-EA75-4C45-8FC3-26120C28EE35}"/>
    <cellStyle name="Normal 4 2 2 3 2 2 2 3 4" xfId="10655" xr:uid="{3A050E8D-67C9-4835-ACFC-2B98CEE645D5}"/>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5D0CC192-CBDA-41C5-9BB3-E68F960F08E5}"/>
    <cellStyle name="Normal 4 2 2 3 2 2 2 4 2 3" xfId="13213" xr:uid="{EBFC446B-EE9D-4612-BDAF-7D156B5A0648}"/>
    <cellStyle name="Normal 4 2 2 3 2 2 2 4 3" xfId="5959" xr:uid="{00000000-0005-0000-0000-000002120000}"/>
    <cellStyle name="Normal 4 2 2 3 2 2 2 4 3 2" xfId="15285" xr:uid="{92334627-3D54-43FA-8E40-B6DFEEA8D275}"/>
    <cellStyle name="Normal 4 2 2 3 2 2 2 4 4" xfId="11068" xr:uid="{E33E2346-6700-4E85-9973-057ABBC7B9E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7B769B58-1B4F-476A-B307-1F9D64AB8AC0}"/>
    <cellStyle name="Normal 4 2 2 3 2 2 2 5 2 3" xfId="13626" xr:uid="{860C1F13-C019-4C5C-8C5D-5DFA2FAFD531}"/>
    <cellStyle name="Normal 4 2 2 3 2 2 2 5 3" xfId="6372" xr:uid="{00000000-0005-0000-0000-000006120000}"/>
    <cellStyle name="Normal 4 2 2 3 2 2 2 5 3 2" xfId="15698" xr:uid="{35B5DA99-AC7C-4D17-9CDF-1D29F9CA9AF2}"/>
    <cellStyle name="Normal 4 2 2 3 2 2 2 5 4" xfId="11481" xr:uid="{9377EDCB-F8B1-4863-9C67-4242D07467EC}"/>
    <cellStyle name="Normal 4 2 2 3 2 2 2 6" xfId="2502" xr:uid="{00000000-0005-0000-0000-000007120000}"/>
    <cellStyle name="Normal 4 2 2 3 2 2 2 6 2" xfId="6785" xr:uid="{00000000-0005-0000-0000-000008120000}"/>
    <cellStyle name="Normal 4 2 2 3 2 2 2 6 2 2" xfId="16111" xr:uid="{BE6884E2-8DEA-4924-A78D-78CC2A632F91}"/>
    <cellStyle name="Normal 4 2 2 3 2 2 2 6 3" xfId="11894" xr:uid="{54563EC2-3E27-4CF3-B419-68FA9C569599}"/>
    <cellStyle name="Normal 4 2 2 3 2 2 2 7" xfId="4720" xr:uid="{00000000-0005-0000-0000-000009120000}"/>
    <cellStyle name="Normal 4 2 2 3 2 2 2 7 2" xfId="14046" xr:uid="{F228F660-A13D-4153-A33F-17B0C4F29CAA}"/>
    <cellStyle name="Normal 4 2 2 3 2 2 2 8" xfId="9129" xr:uid="{970F8072-C8D6-4D17-95D6-EBF431EAD262}"/>
    <cellStyle name="Normal 4 2 2 3 2 2 2 8 2" xfId="18453" xr:uid="{0254DA67-2F1E-42C6-BEF2-620FA5F5AE85}"/>
    <cellStyle name="Normal 4 2 2 3 2 2 2 9" xfId="9829" xr:uid="{E3A55F35-893A-4E59-A1D7-30AF2250D84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901F6BCE-ECDA-4A04-833C-9B462FA72EC7}"/>
    <cellStyle name="Normal 4 2 2 3 2 2 3 2 3" xfId="12386" xr:uid="{7515F723-4B99-4EDA-9B9D-7240596BCF64}"/>
    <cellStyle name="Normal 4 2 2 3 2 2 3 3" xfId="5132" xr:uid="{00000000-0005-0000-0000-00000D120000}"/>
    <cellStyle name="Normal 4 2 2 3 2 2 3 3 2" xfId="14458" xr:uid="{26E605A2-7B89-41E7-86C9-10FCE2BDB1F3}"/>
    <cellStyle name="Normal 4 2 2 3 2 2 3 4" xfId="9347" xr:uid="{8C9012CB-19BB-4242-9F43-373358B13B52}"/>
    <cellStyle name="Normal 4 2 2 3 2 2 3 4 2" xfId="18662" xr:uid="{BEDC55B7-3024-482B-B4B5-C0A0CFF64237}"/>
    <cellStyle name="Normal 4 2 2 3 2 2 3 5" xfId="10241" xr:uid="{D2AD2C55-8FEE-4AF5-BE4E-035E9CC199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5E86D08E-EE29-44EF-9324-7C88809C3FB9}"/>
    <cellStyle name="Normal 4 2 2 3 2 2 4 2 3" xfId="12799" xr:uid="{35F05EC4-B98D-4E88-9F9C-09D8B8CC7E78}"/>
    <cellStyle name="Normal 4 2 2 3 2 2 4 3" xfId="5545" xr:uid="{00000000-0005-0000-0000-000011120000}"/>
    <cellStyle name="Normal 4 2 2 3 2 2 4 3 2" xfId="14871" xr:uid="{3F9F13A6-65A9-470B-8D11-13C7BD7AB7DB}"/>
    <cellStyle name="Normal 4 2 2 3 2 2 4 4" xfId="10654" xr:uid="{826CA7AA-9AA8-4E85-AF36-4B38C65460B3}"/>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EB621449-A250-4281-8DDF-51ED3069BAD6}"/>
    <cellStyle name="Normal 4 2 2 3 2 2 5 2 3" xfId="13212" xr:uid="{1813D069-F414-48D4-9E17-8A8BC55240F0}"/>
    <cellStyle name="Normal 4 2 2 3 2 2 5 3" xfId="5958" xr:uid="{00000000-0005-0000-0000-000015120000}"/>
    <cellStyle name="Normal 4 2 2 3 2 2 5 3 2" xfId="15284" xr:uid="{777D7294-AE45-4C17-9702-2C895BAFDA33}"/>
    <cellStyle name="Normal 4 2 2 3 2 2 5 4" xfId="11067" xr:uid="{98C4D4BD-341C-4334-A1AA-6044008FE312}"/>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6FB97A63-FA44-4C3A-8DFC-2B6768603BD9}"/>
    <cellStyle name="Normal 4 2 2 3 2 2 6 2 3" xfId="13625" xr:uid="{12584337-17AE-488C-9192-C6417C3C5C99}"/>
    <cellStyle name="Normal 4 2 2 3 2 2 6 3" xfId="6371" xr:uid="{00000000-0005-0000-0000-000019120000}"/>
    <cellStyle name="Normal 4 2 2 3 2 2 6 3 2" xfId="15697" xr:uid="{6F2B2B64-8E93-48FD-8365-926E38D62F22}"/>
    <cellStyle name="Normal 4 2 2 3 2 2 6 4" xfId="11480" xr:uid="{DC278C86-4950-4E15-A01A-27109384E8A4}"/>
    <cellStyle name="Normal 4 2 2 3 2 2 7" xfId="2501" xr:uid="{00000000-0005-0000-0000-00001A120000}"/>
    <cellStyle name="Normal 4 2 2 3 2 2 7 2" xfId="6784" xr:uid="{00000000-0005-0000-0000-00001B120000}"/>
    <cellStyle name="Normal 4 2 2 3 2 2 7 2 2" xfId="16110" xr:uid="{95868514-5895-4CAC-846C-2C979118A444}"/>
    <cellStyle name="Normal 4 2 2 3 2 2 7 3" xfId="11893" xr:uid="{DCC294B6-6221-4192-A133-B88F5C619C52}"/>
    <cellStyle name="Normal 4 2 2 3 2 2 8" xfId="4719" xr:uid="{00000000-0005-0000-0000-00001C120000}"/>
    <cellStyle name="Normal 4 2 2 3 2 2 8 2" xfId="14045" xr:uid="{8BE96762-F64E-44DE-A70E-3BC0760A86A0}"/>
    <cellStyle name="Normal 4 2 2 3 2 2 9" xfId="8922" xr:uid="{32C9E21B-8C85-4874-B28C-82BF39BA84E2}"/>
    <cellStyle name="Normal 4 2 2 3 2 2 9 2" xfId="18246" xr:uid="{92DC1604-0484-483F-8D1F-B280CF68E3BA}"/>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BD8A8AC7-B2C5-4A8E-B813-28ED82185E5C}"/>
    <cellStyle name="Normal 4 2 2 3 2 3 2 2 3" xfId="12388" xr:uid="{56A30FDD-7799-4029-AC73-36F5B9F222B3}"/>
    <cellStyle name="Normal 4 2 2 3 2 3 2 3" xfId="5134" xr:uid="{00000000-0005-0000-0000-000021120000}"/>
    <cellStyle name="Normal 4 2 2 3 2 3 2 3 2" xfId="14460" xr:uid="{BD5E1304-3D9E-44D4-843D-677BF283C9B6}"/>
    <cellStyle name="Normal 4 2 2 3 2 3 2 4" xfId="9451" xr:uid="{85AA9164-95F1-48F2-907A-54AD445D074F}"/>
    <cellStyle name="Normal 4 2 2 3 2 3 2 4 2" xfId="18766" xr:uid="{78CC5B72-CF52-4BF0-ADDF-EB8B1EC84014}"/>
    <cellStyle name="Normal 4 2 2 3 2 3 2 5" xfId="10243" xr:uid="{558203CE-40E5-4234-AC63-49D119C5659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BE582E2E-9D27-425D-BAD9-1EE3F1190F26}"/>
    <cellStyle name="Normal 4 2 2 3 2 3 3 2 3" xfId="12801" xr:uid="{9895CEEA-4374-4C9C-AEF5-ECC6D0559276}"/>
    <cellStyle name="Normal 4 2 2 3 2 3 3 3" xfId="5547" xr:uid="{00000000-0005-0000-0000-000025120000}"/>
    <cellStyle name="Normal 4 2 2 3 2 3 3 3 2" xfId="14873" xr:uid="{39BF0779-F6FF-450D-81B2-67AA8E1A7516}"/>
    <cellStyle name="Normal 4 2 2 3 2 3 3 4" xfId="10656" xr:uid="{93987A1D-9D75-43AF-8DCB-D2E4CBEE2B58}"/>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CE900FCA-7B70-4F73-8F81-753BC572FED7}"/>
    <cellStyle name="Normal 4 2 2 3 2 3 4 2 3" xfId="13214" xr:uid="{517123B4-344C-43F7-AFB9-EB1059B84562}"/>
    <cellStyle name="Normal 4 2 2 3 2 3 4 3" xfId="5960" xr:uid="{00000000-0005-0000-0000-000029120000}"/>
    <cellStyle name="Normal 4 2 2 3 2 3 4 3 2" xfId="15286" xr:uid="{9B86141A-387E-4411-B935-A6D75C74000F}"/>
    <cellStyle name="Normal 4 2 2 3 2 3 4 4" xfId="11069" xr:uid="{57BD6F3D-F157-49E1-A8F8-3AE5A97B4721}"/>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91F451E0-476D-44EA-AADB-7650F3A14B8F}"/>
    <cellStyle name="Normal 4 2 2 3 2 3 5 2 3" xfId="13627" xr:uid="{8571CEF2-3F15-4464-B06E-3504D3FC4BA0}"/>
    <cellStyle name="Normal 4 2 2 3 2 3 5 3" xfId="6373" xr:uid="{00000000-0005-0000-0000-00002D120000}"/>
    <cellStyle name="Normal 4 2 2 3 2 3 5 3 2" xfId="15699" xr:uid="{36785DCE-F370-4A73-A861-6059E990D1AA}"/>
    <cellStyle name="Normal 4 2 2 3 2 3 5 4" xfId="11482" xr:uid="{92BEE38C-4286-48A6-9BB1-648126A3D57A}"/>
    <cellStyle name="Normal 4 2 2 3 2 3 6" xfId="2503" xr:uid="{00000000-0005-0000-0000-00002E120000}"/>
    <cellStyle name="Normal 4 2 2 3 2 3 6 2" xfId="6786" xr:uid="{00000000-0005-0000-0000-00002F120000}"/>
    <cellStyle name="Normal 4 2 2 3 2 3 6 2 2" xfId="16112" xr:uid="{3BDB9621-5515-4249-8BD1-2D796F9F4141}"/>
    <cellStyle name="Normal 4 2 2 3 2 3 6 3" xfId="11895" xr:uid="{F9181110-7DF4-49FF-8089-42301B606387}"/>
    <cellStyle name="Normal 4 2 2 3 2 3 7" xfId="4721" xr:uid="{00000000-0005-0000-0000-000030120000}"/>
    <cellStyle name="Normal 4 2 2 3 2 3 7 2" xfId="14047" xr:uid="{48D6369B-B658-4BFA-88D5-3E9955CB496A}"/>
    <cellStyle name="Normal 4 2 2 3 2 3 8" xfId="9026" xr:uid="{319D63D3-F71C-4F99-9FD1-E3D0665567E8}"/>
    <cellStyle name="Normal 4 2 2 3 2 3 8 2" xfId="18350" xr:uid="{7EE08DC6-C35E-4A57-B416-334253361A9C}"/>
    <cellStyle name="Normal 4 2 2 3 2 3 9" xfId="9830" xr:uid="{7BAA2969-8E37-4068-9B25-541929E1FD8D}"/>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884760F9-4B64-4A3B-8895-DB10FF7FF4F0}"/>
    <cellStyle name="Normal 4 2 2 3 2 4 2 3" xfId="12385" xr:uid="{43F3DCD5-1751-4E79-956F-FF26E63CBA47}"/>
    <cellStyle name="Normal 4 2 2 3 2 4 3" xfId="5131" xr:uid="{00000000-0005-0000-0000-000034120000}"/>
    <cellStyle name="Normal 4 2 2 3 2 4 3 2" xfId="14457" xr:uid="{DFF8930C-8ABE-4418-8622-FD972B4ADE55}"/>
    <cellStyle name="Normal 4 2 2 3 2 4 4" xfId="9244" xr:uid="{98623F27-324A-40DE-AA2B-56E1FCE087EE}"/>
    <cellStyle name="Normal 4 2 2 3 2 4 4 2" xfId="18559" xr:uid="{EF0EBAF4-F6C2-41F1-AFD7-9A08994D645F}"/>
    <cellStyle name="Normal 4 2 2 3 2 4 5" xfId="10240" xr:uid="{3E1A73F3-A095-4FAB-BB16-F6BD3596DBC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3F7B6799-8DE5-4E9C-AB00-40EA106C2D56}"/>
    <cellStyle name="Normal 4 2 2 3 2 5 2 3" xfId="12798" xr:uid="{AE3C1FBB-40B5-440F-9062-2BD7F4B82F39}"/>
    <cellStyle name="Normal 4 2 2 3 2 5 3" xfId="5544" xr:uid="{00000000-0005-0000-0000-000038120000}"/>
    <cellStyle name="Normal 4 2 2 3 2 5 3 2" xfId="14870" xr:uid="{0A79B505-D6DC-4704-A269-04AFC56F3231}"/>
    <cellStyle name="Normal 4 2 2 3 2 5 4" xfId="10653" xr:uid="{6B16FF48-E435-437B-A850-522927D896F7}"/>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93BC9109-F3B5-42C9-82BE-93243B4B8764}"/>
    <cellStyle name="Normal 4 2 2 3 2 6 2 3" xfId="13211" xr:uid="{04CDDA63-B10E-4592-9749-DEAB8BAB6DF5}"/>
    <cellStyle name="Normal 4 2 2 3 2 6 3" xfId="5957" xr:uid="{00000000-0005-0000-0000-00003C120000}"/>
    <cellStyle name="Normal 4 2 2 3 2 6 3 2" xfId="15283" xr:uid="{3DD06AA2-E003-4FD8-94E7-B9F649F7967D}"/>
    <cellStyle name="Normal 4 2 2 3 2 6 4" xfId="11066" xr:uid="{B18F126E-2F55-4A97-8860-1CE48318939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191A8DC1-C1FA-4CF3-8392-D96C91EAA461}"/>
    <cellStyle name="Normal 4 2 2 3 2 7 2 3" xfId="13624" xr:uid="{C44CD864-064D-408A-8647-8E0B29970351}"/>
    <cellStyle name="Normal 4 2 2 3 2 7 3" xfId="6370" xr:uid="{00000000-0005-0000-0000-000040120000}"/>
    <cellStyle name="Normal 4 2 2 3 2 7 3 2" xfId="15696" xr:uid="{ECD765FF-E8CE-4265-94AA-5AF658BFBE7C}"/>
    <cellStyle name="Normal 4 2 2 3 2 7 4" xfId="11479" xr:uid="{FBFE8568-FBE5-4D78-ABCA-22F5E71DF1B0}"/>
    <cellStyle name="Normal 4 2 2 3 2 8" xfId="2500" xr:uid="{00000000-0005-0000-0000-000041120000}"/>
    <cellStyle name="Normal 4 2 2 3 2 8 2" xfId="6783" xr:uid="{00000000-0005-0000-0000-000042120000}"/>
    <cellStyle name="Normal 4 2 2 3 2 8 2 2" xfId="16109" xr:uid="{692F9D12-9451-43E9-898F-33C49E8C712F}"/>
    <cellStyle name="Normal 4 2 2 3 2 8 3" xfId="11892" xr:uid="{DF74DBAE-034E-43AD-87DD-01BB5FAD12CD}"/>
    <cellStyle name="Normal 4 2 2 3 2 9" xfId="4718" xr:uid="{00000000-0005-0000-0000-000043120000}"/>
    <cellStyle name="Normal 4 2 2 3 2 9 2" xfId="14044" xr:uid="{62135B88-3B3E-47BD-85C0-F59897781909}"/>
    <cellStyle name="Normal 4 2 2 3 3" xfId="344" xr:uid="{00000000-0005-0000-0000-000044120000}"/>
    <cellStyle name="Normal 4 2 2 3 3 10" xfId="9831" xr:uid="{27B749E5-4563-4FBE-8682-1907917CB5EB}"/>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8233ECB1-0937-4A91-BD05-EE6286494C25}"/>
    <cellStyle name="Normal 4 2 2 3 3 2 2 2 3" xfId="12390" xr:uid="{51DB02E9-1E3D-487B-971A-70DF398E821D}"/>
    <cellStyle name="Normal 4 2 2 3 3 2 2 3" xfId="5136" xr:uid="{00000000-0005-0000-0000-000049120000}"/>
    <cellStyle name="Normal 4 2 2 3 3 2 2 3 2" xfId="14462" xr:uid="{B091EEF2-3F72-4652-9EA7-72D3E48FFC9F}"/>
    <cellStyle name="Normal 4 2 2 3 3 2 2 4" xfId="9519" xr:uid="{FB4BBD6E-D73B-4ABD-8656-6C15D7932E02}"/>
    <cellStyle name="Normal 4 2 2 3 3 2 2 4 2" xfId="18834" xr:uid="{E3224968-37C3-45A4-9D20-156680CF6FE5}"/>
    <cellStyle name="Normal 4 2 2 3 3 2 2 5" xfId="10245" xr:uid="{6823E742-A8B9-4A9F-93FE-FB497388A03F}"/>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6C581F48-8313-40B8-8D7F-2F322DAB57DE}"/>
    <cellStyle name="Normal 4 2 2 3 3 2 3 2 3" xfId="12803" xr:uid="{DD0C0035-841E-43DA-BC5B-8A2DD7204D6D}"/>
    <cellStyle name="Normal 4 2 2 3 3 2 3 3" xfId="5549" xr:uid="{00000000-0005-0000-0000-00004D120000}"/>
    <cellStyle name="Normal 4 2 2 3 3 2 3 3 2" xfId="14875" xr:uid="{CE088374-EF03-4F8E-94E9-00741DC95F8A}"/>
    <cellStyle name="Normal 4 2 2 3 3 2 3 4" xfId="10658" xr:uid="{1326E2DF-1556-42A2-9F79-B7F9B2AC90CD}"/>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FDF8688E-0EC8-4F05-9B94-907E697A2E50}"/>
    <cellStyle name="Normal 4 2 2 3 3 2 4 2 3" xfId="13216" xr:uid="{34D359E5-7836-434E-A296-9BDBE58D3351}"/>
    <cellStyle name="Normal 4 2 2 3 3 2 4 3" xfId="5962" xr:uid="{00000000-0005-0000-0000-000051120000}"/>
    <cellStyle name="Normal 4 2 2 3 3 2 4 3 2" xfId="15288" xr:uid="{C56D6C87-83B0-4860-855D-FC5121B06C98}"/>
    <cellStyle name="Normal 4 2 2 3 3 2 4 4" xfId="11071" xr:uid="{A71796E7-591C-4959-A254-CAD874A08B9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61CB8578-D6DB-4F35-BC23-77549F60413F}"/>
    <cellStyle name="Normal 4 2 2 3 3 2 5 2 3" xfId="13629" xr:uid="{47C3DC7D-6451-406C-90C5-4B5D78A2D6C4}"/>
    <cellStyle name="Normal 4 2 2 3 3 2 5 3" xfId="6375" xr:uid="{00000000-0005-0000-0000-000055120000}"/>
    <cellStyle name="Normal 4 2 2 3 3 2 5 3 2" xfId="15701" xr:uid="{4F9DB1CC-C2C2-4A37-8F98-6263E588202E}"/>
    <cellStyle name="Normal 4 2 2 3 3 2 5 4" xfId="11484" xr:uid="{757C2797-1743-4CB2-8409-0EBD64668C79}"/>
    <cellStyle name="Normal 4 2 2 3 3 2 6" xfId="2505" xr:uid="{00000000-0005-0000-0000-000056120000}"/>
    <cellStyle name="Normal 4 2 2 3 3 2 6 2" xfId="6788" xr:uid="{00000000-0005-0000-0000-000057120000}"/>
    <cellStyle name="Normal 4 2 2 3 3 2 6 2 2" xfId="16114" xr:uid="{72D534C0-6F2B-4BB4-AF48-9B8AE6FD8C87}"/>
    <cellStyle name="Normal 4 2 2 3 3 2 6 3" xfId="11897" xr:uid="{1311EFC0-1322-4C09-AB85-7EFBBA37F3C1}"/>
    <cellStyle name="Normal 4 2 2 3 3 2 7" xfId="4723" xr:uid="{00000000-0005-0000-0000-000058120000}"/>
    <cellStyle name="Normal 4 2 2 3 3 2 7 2" xfId="14049" xr:uid="{26245175-BC4D-45D3-9BAA-447B5EC99080}"/>
    <cellStyle name="Normal 4 2 2 3 3 2 8" xfId="9094" xr:uid="{1333D468-E252-4686-88C1-38A56B910A8E}"/>
    <cellStyle name="Normal 4 2 2 3 3 2 8 2" xfId="18418" xr:uid="{50CEAFE3-5EAE-4CC9-B556-B385CAEC7973}"/>
    <cellStyle name="Normal 4 2 2 3 3 2 9" xfId="9832" xr:uid="{68568C65-90B4-4B06-A4D4-8FBCF9C4264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B530DB23-DE0C-48A8-B20B-3DB48E8F2C78}"/>
    <cellStyle name="Normal 4 2 2 3 3 3 2 3" xfId="12389" xr:uid="{568F3390-7CEE-4A8F-8C80-EDAAE385F6B4}"/>
    <cellStyle name="Normal 4 2 2 3 3 3 3" xfId="5135" xr:uid="{00000000-0005-0000-0000-00005C120000}"/>
    <cellStyle name="Normal 4 2 2 3 3 3 3 2" xfId="14461" xr:uid="{2BF482AB-45F7-4ED4-9F62-7B9DB8C322D5}"/>
    <cellStyle name="Normal 4 2 2 3 3 3 4" xfId="9312" xr:uid="{0065946C-778C-4913-8F8B-68BBB1A30769}"/>
    <cellStyle name="Normal 4 2 2 3 3 3 4 2" xfId="18627" xr:uid="{AE85DB0C-68DC-405E-85F3-F97870E063DC}"/>
    <cellStyle name="Normal 4 2 2 3 3 3 5" xfId="10244" xr:uid="{BA8468C9-D53F-46D8-B6E1-C41E07B0735D}"/>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9A224A5F-12A3-440B-8090-58DF8780304D}"/>
    <cellStyle name="Normal 4 2 2 3 3 4 2 3" xfId="12802" xr:uid="{E00FD0A9-4D73-49AD-9173-BCDD461C638B}"/>
    <cellStyle name="Normal 4 2 2 3 3 4 3" xfId="5548" xr:uid="{00000000-0005-0000-0000-000060120000}"/>
    <cellStyle name="Normal 4 2 2 3 3 4 3 2" xfId="14874" xr:uid="{7AB22F6C-97AD-4AC7-8D5C-7619B33D5397}"/>
    <cellStyle name="Normal 4 2 2 3 3 4 4" xfId="10657" xr:uid="{C3B87A9D-BBFB-4DC0-AEDB-3E3480FFF2DA}"/>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6616AB81-C34C-40CD-9456-24F8D3A27FEC}"/>
    <cellStyle name="Normal 4 2 2 3 3 5 2 3" xfId="13215" xr:uid="{566F25BC-F486-4EB5-A810-8C29E74525BF}"/>
    <cellStyle name="Normal 4 2 2 3 3 5 3" xfId="5961" xr:uid="{00000000-0005-0000-0000-000064120000}"/>
    <cellStyle name="Normal 4 2 2 3 3 5 3 2" xfId="15287" xr:uid="{88CDFD77-D167-4F40-8066-B0C72E7B94CA}"/>
    <cellStyle name="Normal 4 2 2 3 3 5 4" xfId="11070" xr:uid="{9D80CE94-5669-43AE-81BA-F90F714791A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16F613F2-3826-481F-9CEE-4F8568AD1BDC}"/>
    <cellStyle name="Normal 4 2 2 3 3 6 2 3" xfId="13628" xr:uid="{0AD50FB5-51B9-462A-BF59-3F8475238A39}"/>
    <cellStyle name="Normal 4 2 2 3 3 6 3" xfId="6374" xr:uid="{00000000-0005-0000-0000-000068120000}"/>
    <cellStyle name="Normal 4 2 2 3 3 6 3 2" xfId="15700" xr:uid="{EFBCCD2A-65F2-416F-AA41-0CA6D2D7E51F}"/>
    <cellStyle name="Normal 4 2 2 3 3 6 4" xfId="11483" xr:uid="{95838317-1E03-4746-949C-F38F95AD6117}"/>
    <cellStyle name="Normal 4 2 2 3 3 7" xfId="2504" xr:uid="{00000000-0005-0000-0000-000069120000}"/>
    <cellStyle name="Normal 4 2 2 3 3 7 2" xfId="6787" xr:uid="{00000000-0005-0000-0000-00006A120000}"/>
    <cellStyle name="Normal 4 2 2 3 3 7 2 2" xfId="16113" xr:uid="{5A051891-F96F-4817-9B77-04C64C1D6C95}"/>
    <cellStyle name="Normal 4 2 2 3 3 7 3" xfId="11896" xr:uid="{434A175F-193A-4BC4-958B-FFF3607BBE60}"/>
    <cellStyle name="Normal 4 2 2 3 3 8" xfId="4722" xr:uid="{00000000-0005-0000-0000-00006B120000}"/>
    <cellStyle name="Normal 4 2 2 3 3 8 2" xfId="14048" xr:uid="{507AAC44-498C-4054-9FBA-9E85236D0FFF}"/>
    <cellStyle name="Normal 4 2 2 3 3 9" xfId="8887" xr:uid="{FD79599D-FD4F-44F4-A7A6-B948A2C15DD2}"/>
    <cellStyle name="Normal 4 2 2 3 3 9 2" xfId="18211" xr:uid="{71ED1CBF-3EB0-49A1-B956-F09406A8C0BD}"/>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CC9F6FD0-867A-4588-917F-5812977E20F8}"/>
    <cellStyle name="Normal 4 2 2 3 4 2 2 3" xfId="12391" xr:uid="{E0E5B811-B3C9-45CA-AB2A-D8698629B117}"/>
    <cellStyle name="Normal 4 2 2 3 4 2 3" xfId="5137" xr:uid="{00000000-0005-0000-0000-000070120000}"/>
    <cellStyle name="Normal 4 2 2 3 4 2 3 2" xfId="14463" xr:uid="{6E2F729E-5549-4A5E-AE66-F04C7AAAC7DA}"/>
    <cellStyle name="Normal 4 2 2 3 4 2 4" xfId="9416" xr:uid="{B0F1A5CD-0EDE-48A7-9669-6902681F696C}"/>
    <cellStyle name="Normal 4 2 2 3 4 2 4 2" xfId="18731" xr:uid="{59768E12-8D15-467C-BA1C-3FB2D2FE7DB9}"/>
    <cellStyle name="Normal 4 2 2 3 4 2 5" xfId="10246" xr:uid="{AA05C831-478D-423C-B04E-5BFD2DB28E2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B9A2FABA-EE2E-4B67-BD36-D1B8EECE9469}"/>
    <cellStyle name="Normal 4 2 2 3 4 3 2 3" xfId="12804" xr:uid="{5879D834-F822-4E72-985D-BD1B3D69BC91}"/>
    <cellStyle name="Normal 4 2 2 3 4 3 3" xfId="5550" xr:uid="{00000000-0005-0000-0000-000074120000}"/>
    <cellStyle name="Normal 4 2 2 3 4 3 3 2" xfId="14876" xr:uid="{CBA58528-96FD-490E-857D-0AD57635D004}"/>
    <cellStyle name="Normal 4 2 2 3 4 3 4" xfId="10659" xr:uid="{713BC1B8-B7EB-4E88-9584-E5AEFB0E8FA7}"/>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5E01B844-8B76-44B9-8365-F52A82BE8340}"/>
    <cellStyle name="Normal 4 2 2 3 4 4 2 3" xfId="13217" xr:uid="{88610137-BD25-4CEF-B0EF-243ED6F50235}"/>
    <cellStyle name="Normal 4 2 2 3 4 4 3" xfId="5963" xr:uid="{00000000-0005-0000-0000-000078120000}"/>
    <cellStyle name="Normal 4 2 2 3 4 4 3 2" xfId="15289" xr:uid="{5EAF0925-D999-4880-BA69-574F08D853FA}"/>
    <cellStyle name="Normal 4 2 2 3 4 4 4" xfId="11072" xr:uid="{4D1731E0-0012-4FA6-B8F1-4E61EF4C382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E648B81B-A1FA-4E2C-8517-F07981DD71FE}"/>
    <cellStyle name="Normal 4 2 2 3 4 5 2 3" xfId="13630" xr:uid="{EEE27410-FAC9-462D-8C97-E8152FEE446C}"/>
    <cellStyle name="Normal 4 2 2 3 4 5 3" xfId="6376" xr:uid="{00000000-0005-0000-0000-00007C120000}"/>
    <cellStyle name="Normal 4 2 2 3 4 5 3 2" xfId="15702" xr:uid="{3CEA311E-5179-4CCD-A35E-2E052F88DF45}"/>
    <cellStyle name="Normal 4 2 2 3 4 5 4" xfId="11485" xr:uid="{46FB0C1A-D53D-4A71-AA3A-68C28DDCEAFA}"/>
    <cellStyle name="Normal 4 2 2 3 4 6" xfId="2506" xr:uid="{00000000-0005-0000-0000-00007D120000}"/>
    <cellStyle name="Normal 4 2 2 3 4 6 2" xfId="6789" xr:uid="{00000000-0005-0000-0000-00007E120000}"/>
    <cellStyle name="Normal 4 2 2 3 4 6 2 2" xfId="16115" xr:uid="{8A63E52A-F05C-4C3A-B816-472F672B2B44}"/>
    <cellStyle name="Normal 4 2 2 3 4 6 3" xfId="11898" xr:uid="{C1838543-DCB3-4125-97D7-5F719A255183}"/>
    <cellStyle name="Normal 4 2 2 3 4 7" xfId="4724" xr:uid="{00000000-0005-0000-0000-00007F120000}"/>
    <cellStyle name="Normal 4 2 2 3 4 7 2" xfId="14050" xr:uid="{F4059146-E05A-4351-9B4E-0F053766F7B0}"/>
    <cellStyle name="Normal 4 2 2 3 4 8" xfId="8991" xr:uid="{84464EC3-90C2-4B18-8399-135C935528F7}"/>
    <cellStyle name="Normal 4 2 2 3 4 8 2" xfId="18315" xr:uid="{0A26A1B9-81A0-41A7-A0CF-37550827029B}"/>
    <cellStyle name="Normal 4 2 2 3 4 9" xfId="9833" xr:uid="{E4429738-09A0-408C-922C-D393E0E5E3B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9E5DFC62-43E2-400A-BC6C-59739F419619}"/>
    <cellStyle name="Normal 4 2 2 3 5 2 3" xfId="12384" xr:uid="{E55F2B5C-B7EE-4A19-8D41-8B08064D6AE8}"/>
    <cellStyle name="Normal 4 2 2 3 5 3" xfId="5130" xr:uid="{00000000-0005-0000-0000-000083120000}"/>
    <cellStyle name="Normal 4 2 2 3 5 3 2" xfId="14456" xr:uid="{2AE2AD10-D837-47A6-93B6-523BBBE16983}"/>
    <cellStyle name="Normal 4 2 2 3 5 4" xfId="9208" xr:uid="{7BF9CD11-B90D-42F2-928D-A8BE344C6F46}"/>
    <cellStyle name="Normal 4 2 2 3 5 4 2" xfId="18524" xr:uid="{9634951D-6D2F-47F0-A7B7-1D2B100D87A0}"/>
    <cellStyle name="Normal 4 2 2 3 5 5" xfId="10239" xr:uid="{555DF83D-793D-4A61-8A88-AEFA2EE4D311}"/>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0D928A92-D8E6-4EE5-AE75-F54070F168A1}"/>
    <cellStyle name="Normal 4 2 2 3 6 2 3" xfId="12797" xr:uid="{4F2A358C-0647-4981-98D3-7D06AE733E17}"/>
    <cellStyle name="Normal 4 2 2 3 6 3" xfId="5543" xr:uid="{00000000-0005-0000-0000-000087120000}"/>
    <cellStyle name="Normal 4 2 2 3 6 3 2" xfId="14869" xr:uid="{4032C248-FC80-486F-879A-B39950217591}"/>
    <cellStyle name="Normal 4 2 2 3 6 4" xfId="10652" xr:uid="{D00AD2DD-8170-4910-B115-D1EAE6433F9F}"/>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47AAA763-077E-49DB-8261-446173994AB2}"/>
    <cellStyle name="Normal 4 2 2 3 7 2 3" xfId="13210" xr:uid="{B14BA106-D67A-42F4-9023-FF4F75D6822E}"/>
    <cellStyle name="Normal 4 2 2 3 7 3" xfId="5956" xr:uid="{00000000-0005-0000-0000-00008B120000}"/>
    <cellStyle name="Normal 4 2 2 3 7 3 2" xfId="15282" xr:uid="{7ECF812F-8C8D-4A26-99F8-9FB8C813247C}"/>
    <cellStyle name="Normal 4 2 2 3 7 4" xfId="11065" xr:uid="{1D05629F-CD8E-4E50-AF82-12EBD24F1E71}"/>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E81B7766-AE1C-40D4-8770-4642E70F2276}"/>
    <cellStyle name="Normal 4 2 2 3 8 2 3" xfId="13623" xr:uid="{4D597B35-8ECA-457D-8598-88A5BC4D780D}"/>
    <cellStyle name="Normal 4 2 2 3 8 3" xfId="6369" xr:uid="{00000000-0005-0000-0000-00008F120000}"/>
    <cellStyle name="Normal 4 2 2 3 8 3 2" xfId="15695" xr:uid="{05E81799-D2DB-43A9-8098-507DD79F091B}"/>
    <cellStyle name="Normal 4 2 2 3 8 4" xfId="11478" xr:uid="{4F129212-DEBB-481B-9868-D1B662522254}"/>
    <cellStyle name="Normal 4 2 2 3 9" xfId="2499" xr:uid="{00000000-0005-0000-0000-000090120000}"/>
    <cellStyle name="Normal 4 2 2 3 9 2" xfId="6782" xr:uid="{00000000-0005-0000-0000-000091120000}"/>
    <cellStyle name="Normal 4 2 2 3 9 2 2" xfId="16108" xr:uid="{F6F44467-A783-441C-B3B0-FA1BEC43CBEB}"/>
    <cellStyle name="Normal 4 2 2 3 9 3" xfId="11891" xr:uid="{31409CCF-FEC6-43BB-8D88-2741EFC9561F}"/>
    <cellStyle name="Normal 4 2 2 4" xfId="347" xr:uid="{00000000-0005-0000-0000-000092120000}"/>
    <cellStyle name="Normal 4 2 2 4 10" xfId="8818" xr:uid="{A73977A7-52C6-4368-9F59-166E1B99BBDE}"/>
    <cellStyle name="Normal 4 2 2 4 10 2" xfId="18142" xr:uid="{95BFADC9-1241-4ED8-AF37-5841CF9142CF}"/>
    <cellStyle name="Normal 4 2 2 4 11" xfId="9834" xr:uid="{4366AF5A-5537-40C0-8B50-637EAE4BF4B7}"/>
    <cellStyle name="Normal 4 2 2 4 2" xfId="348" xr:uid="{00000000-0005-0000-0000-000093120000}"/>
    <cellStyle name="Normal 4 2 2 4 2 10" xfId="9835" xr:uid="{F81E7500-3032-4811-863E-4CD4F5115C8A}"/>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9D5EC72B-3EC5-4A48-A5D2-CC56F8E35C08}"/>
    <cellStyle name="Normal 4 2 2 4 2 2 2 2 3" xfId="12394" xr:uid="{A832063B-E0B9-4FF7-B132-0F8069593059}"/>
    <cellStyle name="Normal 4 2 2 4 2 2 2 3" xfId="5140" xr:uid="{00000000-0005-0000-0000-000098120000}"/>
    <cellStyle name="Normal 4 2 2 4 2 2 2 3 2" xfId="14466" xr:uid="{2D8F7766-617C-4294-B058-11E8A3F47D5D}"/>
    <cellStyle name="Normal 4 2 2 4 2 2 2 4" xfId="9553" xr:uid="{7FCAF883-2374-4470-BA95-AD8EB054639C}"/>
    <cellStyle name="Normal 4 2 2 4 2 2 2 4 2" xfId="18868" xr:uid="{3CD8E95B-8F16-488E-9DA8-B7D197BF9D85}"/>
    <cellStyle name="Normal 4 2 2 4 2 2 2 5" xfId="10249" xr:uid="{56681AB0-D216-4D89-B9BA-C75479B7F68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938DACFE-6571-4D1B-BBDE-A3552C864424}"/>
    <cellStyle name="Normal 4 2 2 4 2 2 3 2 3" xfId="12807" xr:uid="{D342EF0D-354A-46ED-8DD8-3CADC15A7CC1}"/>
    <cellStyle name="Normal 4 2 2 4 2 2 3 3" xfId="5553" xr:uid="{00000000-0005-0000-0000-00009C120000}"/>
    <cellStyle name="Normal 4 2 2 4 2 2 3 3 2" xfId="14879" xr:uid="{CC5BC54E-C227-42D8-AA64-6CDD8D2F048F}"/>
    <cellStyle name="Normal 4 2 2 4 2 2 3 4" xfId="10662" xr:uid="{89AAA644-759D-45F0-B29F-DA528EE88B2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0270DA56-F745-4BA7-A7E1-B365E04DB0C2}"/>
    <cellStyle name="Normal 4 2 2 4 2 2 4 2 3" xfId="13220" xr:uid="{70AB1177-0019-4AC9-8AC4-2B27D00AFCAA}"/>
    <cellStyle name="Normal 4 2 2 4 2 2 4 3" xfId="5966" xr:uid="{00000000-0005-0000-0000-0000A0120000}"/>
    <cellStyle name="Normal 4 2 2 4 2 2 4 3 2" xfId="15292" xr:uid="{C8D2C2F5-2DB6-4ED6-8551-52F0487EF58E}"/>
    <cellStyle name="Normal 4 2 2 4 2 2 4 4" xfId="11075" xr:uid="{AAE83E41-C54B-4895-8A0F-7A5B422EBAB8}"/>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4934FE86-809F-4B25-8361-87FE8FB501E0}"/>
    <cellStyle name="Normal 4 2 2 4 2 2 5 2 3" xfId="13633" xr:uid="{55EE71E6-B801-421E-B7D4-4B2A08AA2007}"/>
    <cellStyle name="Normal 4 2 2 4 2 2 5 3" xfId="6379" xr:uid="{00000000-0005-0000-0000-0000A4120000}"/>
    <cellStyle name="Normal 4 2 2 4 2 2 5 3 2" xfId="15705" xr:uid="{248216C0-24FE-4C35-80DF-D22EE9445FD6}"/>
    <cellStyle name="Normal 4 2 2 4 2 2 5 4" xfId="11488" xr:uid="{86B7C06A-FAEA-4099-A221-8C2161DC4BD2}"/>
    <cellStyle name="Normal 4 2 2 4 2 2 6" xfId="2509" xr:uid="{00000000-0005-0000-0000-0000A5120000}"/>
    <cellStyle name="Normal 4 2 2 4 2 2 6 2" xfId="6792" xr:uid="{00000000-0005-0000-0000-0000A6120000}"/>
    <cellStyle name="Normal 4 2 2 4 2 2 6 2 2" xfId="16118" xr:uid="{50B22457-5081-4145-98ED-10AEC5818749}"/>
    <cellStyle name="Normal 4 2 2 4 2 2 6 3" xfId="11901" xr:uid="{74C440AB-EA81-45C1-B523-FA978F53B694}"/>
    <cellStyle name="Normal 4 2 2 4 2 2 7" xfId="4727" xr:uid="{00000000-0005-0000-0000-0000A7120000}"/>
    <cellStyle name="Normal 4 2 2 4 2 2 7 2" xfId="14053" xr:uid="{F1B00879-813D-4FC5-8E0E-34486BEBC023}"/>
    <cellStyle name="Normal 4 2 2 4 2 2 8" xfId="9128" xr:uid="{3D9AD2A4-E3D1-4BAF-8F43-BFB1FE8E222D}"/>
    <cellStyle name="Normal 4 2 2 4 2 2 8 2" xfId="18452" xr:uid="{C59DEE32-1B22-4872-807F-38BDCCCE7822}"/>
    <cellStyle name="Normal 4 2 2 4 2 2 9" xfId="9836" xr:uid="{E141AC5C-4136-4577-8F04-029279652162}"/>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E1B70943-755B-456E-AB07-A7E40F2DDF4C}"/>
    <cellStyle name="Normal 4 2 2 4 2 3 2 3" xfId="12393" xr:uid="{CE252C53-8E43-4655-8A32-EADA1631E8B5}"/>
    <cellStyle name="Normal 4 2 2 4 2 3 3" xfId="5139" xr:uid="{00000000-0005-0000-0000-0000AB120000}"/>
    <cellStyle name="Normal 4 2 2 4 2 3 3 2" xfId="14465" xr:uid="{6616FB01-0185-4FD5-8E20-0AFAB87DEADA}"/>
    <cellStyle name="Normal 4 2 2 4 2 3 4" xfId="9346" xr:uid="{11110DEC-01F5-467C-B0F9-3286FF7E57CB}"/>
    <cellStyle name="Normal 4 2 2 4 2 3 4 2" xfId="18661" xr:uid="{DDE0DF39-1A98-451E-ACEE-8916021841AF}"/>
    <cellStyle name="Normal 4 2 2 4 2 3 5" xfId="10248" xr:uid="{659180CD-E6EF-44D3-BC88-49C38A5FFA45}"/>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EB8A22F2-B2B4-4924-A9A9-BCE6370526D6}"/>
    <cellStyle name="Normal 4 2 2 4 2 4 2 3" xfId="12806" xr:uid="{2BB055AD-7947-4EA4-86EB-CB2C9726D704}"/>
    <cellStyle name="Normal 4 2 2 4 2 4 3" xfId="5552" xr:uid="{00000000-0005-0000-0000-0000AF120000}"/>
    <cellStyle name="Normal 4 2 2 4 2 4 3 2" xfId="14878" xr:uid="{6C2D54A4-7AF7-4F4E-BBC9-CD6962CDEEEB}"/>
    <cellStyle name="Normal 4 2 2 4 2 4 4" xfId="10661" xr:uid="{942B7FD6-E93D-4EB2-840E-2BAFF7834A2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B4A80E59-42F2-4DEA-8CF6-16FF412E6F5B}"/>
    <cellStyle name="Normal 4 2 2 4 2 5 2 3" xfId="13219" xr:uid="{280E75A7-248A-4834-9994-D9858D87F373}"/>
    <cellStyle name="Normal 4 2 2 4 2 5 3" xfId="5965" xr:uid="{00000000-0005-0000-0000-0000B3120000}"/>
    <cellStyle name="Normal 4 2 2 4 2 5 3 2" xfId="15291" xr:uid="{9A220C7B-A6F3-4BFD-A9A2-5C5FC6C7BED6}"/>
    <cellStyle name="Normal 4 2 2 4 2 5 4" xfId="11074" xr:uid="{BAA2DEB2-D462-4E62-9A50-5CE6910228BD}"/>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4A63E186-54D7-4E3B-A9E3-8CC29FBEDB26}"/>
    <cellStyle name="Normal 4 2 2 4 2 6 2 3" xfId="13632" xr:uid="{FCC5E272-A6CF-4830-B551-5092C1E9EC07}"/>
    <cellStyle name="Normal 4 2 2 4 2 6 3" xfId="6378" xr:uid="{00000000-0005-0000-0000-0000B7120000}"/>
    <cellStyle name="Normal 4 2 2 4 2 6 3 2" xfId="15704" xr:uid="{BB08FC33-8A24-45D3-8A46-853DF434F13E}"/>
    <cellStyle name="Normal 4 2 2 4 2 6 4" xfId="11487" xr:uid="{C01D3D3E-16E5-4BF1-AE0D-D4DA183E3D80}"/>
    <cellStyle name="Normal 4 2 2 4 2 7" xfId="2508" xr:uid="{00000000-0005-0000-0000-0000B8120000}"/>
    <cellStyle name="Normal 4 2 2 4 2 7 2" xfId="6791" xr:uid="{00000000-0005-0000-0000-0000B9120000}"/>
    <cellStyle name="Normal 4 2 2 4 2 7 2 2" xfId="16117" xr:uid="{11337414-1B5F-4874-AFEC-983347A55A07}"/>
    <cellStyle name="Normal 4 2 2 4 2 7 3" xfId="11900" xr:uid="{9BE2F941-9518-48B9-8108-E985DE11EB06}"/>
    <cellStyle name="Normal 4 2 2 4 2 8" xfId="4726" xr:uid="{00000000-0005-0000-0000-0000BA120000}"/>
    <cellStyle name="Normal 4 2 2 4 2 8 2" xfId="14052" xr:uid="{EEAC1D6A-0F92-40CE-ACE0-6F812B1B03A6}"/>
    <cellStyle name="Normal 4 2 2 4 2 9" xfId="8921" xr:uid="{43AA3CA1-A6D2-47CC-8276-CBFAB7238AA6}"/>
    <cellStyle name="Normal 4 2 2 4 2 9 2" xfId="18245" xr:uid="{B4CE9AF1-48A5-49AB-87C0-B194CEF5725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B0A6B2FE-38D4-4248-8C1F-B21285FA56A9}"/>
    <cellStyle name="Normal 4 2 2 4 3 2 2 3" xfId="12395" xr:uid="{5899983A-0300-48CD-A7D4-8E8E63580163}"/>
    <cellStyle name="Normal 4 2 2 4 3 2 3" xfId="5141" xr:uid="{00000000-0005-0000-0000-0000BF120000}"/>
    <cellStyle name="Normal 4 2 2 4 3 2 3 2" xfId="14467" xr:uid="{8A41CA13-13CC-4304-BF74-D840CA0D02C0}"/>
    <cellStyle name="Normal 4 2 2 4 3 2 4" xfId="9450" xr:uid="{0F54578A-5DA3-4B6E-9E36-71CC7CD6BFE8}"/>
    <cellStyle name="Normal 4 2 2 4 3 2 4 2" xfId="18765" xr:uid="{9BAA126C-DB14-472F-AAC1-BBCB1AAF3B3D}"/>
    <cellStyle name="Normal 4 2 2 4 3 2 5" xfId="10250" xr:uid="{CDB8004B-148B-43B7-ADE4-0A180FA2A8B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CC76E4B4-45E7-4527-9933-2EB5578C8D25}"/>
    <cellStyle name="Normal 4 2 2 4 3 3 2 3" xfId="12808" xr:uid="{2DDD8E64-C706-4693-BDC6-F3521CA77C00}"/>
    <cellStyle name="Normal 4 2 2 4 3 3 3" xfId="5554" xr:uid="{00000000-0005-0000-0000-0000C3120000}"/>
    <cellStyle name="Normal 4 2 2 4 3 3 3 2" xfId="14880" xr:uid="{DCAC6F6D-4E9B-448B-B64F-CC9150BE2935}"/>
    <cellStyle name="Normal 4 2 2 4 3 3 4" xfId="10663" xr:uid="{9E858582-C200-4BCF-8A84-B31C268E2715}"/>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1B2DAA56-4249-4823-BF96-F1EAE3270922}"/>
    <cellStyle name="Normal 4 2 2 4 3 4 2 3" xfId="13221" xr:uid="{510DDE46-9429-4E47-813E-54ADF86B9519}"/>
    <cellStyle name="Normal 4 2 2 4 3 4 3" xfId="5967" xr:uid="{00000000-0005-0000-0000-0000C7120000}"/>
    <cellStyle name="Normal 4 2 2 4 3 4 3 2" xfId="15293" xr:uid="{3AFB56AE-AD7E-4048-AD1B-C3117173874C}"/>
    <cellStyle name="Normal 4 2 2 4 3 4 4" xfId="11076" xr:uid="{CDE3E61C-E725-49C5-B741-96BA9EA7650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DA269805-7022-42C8-80F4-214C9AA5EF12}"/>
    <cellStyle name="Normal 4 2 2 4 3 5 2 3" xfId="13634" xr:uid="{E38DF93B-AEE3-4A39-B63E-E25FA919D71D}"/>
    <cellStyle name="Normal 4 2 2 4 3 5 3" xfId="6380" xr:uid="{00000000-0005-0000-0000-0000CB120000}"/>
    <cellStyle name="Normal 4 2 2 4 3 5 3 2" xfId="15706" xr:uid="{C5BF0DBD-A6CA-4CDE-A060-DEAD9D34F9D9}"/>
    <cellStyle name="Normal 4 2 2 4 3 5 4" xfId="11489" xr:uid="{EDDD93CD-541C-4916-84AE-3CF3C0D4C682}"/>
    <cellStyle name="Normal 4 2 2 4 3 6" xfId="2510" xr:uid="{00000000-0005-0000-0000-0000CC120000}"/>
    <cellStyle name="Normal 4 2 2 4 3 6 2" xfId="6793" xr:uid="{00000000-0005-0000-0000-0000CD120000}"/>
    <cellStyle name="Normal 4 2 2 4 3 6 2 2" xfId="16119" xr:uid="{1EF3AE10-97A2-4B91-881C-ADD9192120DD}"/>
    <cellStyle name="Normal 4 2 2 4 3 6 3" xfId="11902" xr:uid="{144496D1-BC07-49BE-A4CC-77108F1212D0}"/>
    <cellStyle name="Normal 4 2 2 4 3 7" xfId="4728" xr:uid="{00000000-0005-0000-0000-0000CE120000}"/>
    <cellStyle name="Normal 4 2 2 4 3 7 2" xfId="14054" xr:uid="{DA4EF11B-A2CD-460F-9EA1-FE061D9BC8DB}"/>
    <cellStyle name="Normal 4 2 2 4 3 8" xfId="9025" xr:uid="{436CB353-A916-4AB2-B5E2-8C1BDAEA1182}"/>
    <cellStyle name="Normal 4 2 2 4 3 8 2" xfId="18349" xr:uid="{67793E89-FAA4-43FD-977F-AD1F65B86BDF}"/>
    <cellStyle name="Normal 4 2 2 4 3 9" xfId="9837" xr:uid="{5AA8F4CE-D136-4B97-B672-472837124A76}"/>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8C57E3FD-7216-4043-8A64-6521BE8112BC}"/>
    <cellStyle name="Normal 4 2 2 4 4 2 3" xfId="12392" xr:uid="{A9F06E2A-5DD4-41E3-B1BB-1CAD4F521C8A}"/>
    <cellStyle name="Normal 4 2 2 4 4 3" xfId="5138" xr:uid="{00000000-0005-0000-0000-0000D2120000}"/>
    <cellStyle name="Normal 4 2 2 4 4 3 2" xfId="14464" xr:uid="{C9ECDB91-A739-423C-8A77-ABE2AFD0E315}"/>
    <cellStyle name="Normal 4 2 2 4 4 4" xfId="9243" xr:uid="{FD46A281-F5BE-478B-950E-209D1D56FC0E}"/>
    <cellStyle name="Normal 4 2 2 4 4 4 2" xfId="18558" xr:uid="{0430A4F5-C46E-4CAE-8C01-AA96548F597F}"/>
    <cellStyle name="Normal 4 2 2 4 4 5" xfId="10247" xr:uid="{EE341E32-6616-40C6-B43B-07BDE1D6C0F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8E4852D3-5B04-4EBE-9091-A1AC5E74A54B}"/>
    <cellStyle name="Normal 4 2 2 4 5 2 3" xfId="12805" xr:uid="{37796DE1-118C-4502-BC38-EDA90E92E4D2}"/>
    <cellStyle name="Normal 4 2 2 4 5 3" xfId="5551" xr:uid="{00000000-0005-0000-0000-0000D6120000}"/>
    <cellStyle name="Normal 4 2 2 4 5 3 2" xfId="14877" xr:uid="{BAFEE450-1E6E-444F-AA83-7191079D233E}"/>
    <cellStyle name="Normal 4 2 2 4 5 4" xfId="10660" xr:uid="{17B09866-1B37-48E3-A6C4-C39AC5A883E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5722F8D1-36D4-48F0-B5B8-30B74F878C70}"/>
    <cellStyle name="Normal 4 2 2 4 6 2 3" xfId="13218" xr:uid="{B3AA2945-941D-4706-9BD0-204958918A33}"/>
    <cellStyle name="Normal 4 2 2 4 6 3" xfId="5964" xr:uid="{00000000-0005-0000-0000-0000DA120000}"/>
    <cellStyle name="Normal 4 2 2 4 6 3 2" xfId="15290" xr:uid="{A023573C-CC51-43CA-A79C-AE282831E60E}"/>
    <cellStyle name="Normal 4 2 2 4 6 4" xfId="11073" xr:uid="{9160E0FA-88D3-4AFC-94F4-C29515BE11BB}"/>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ADA9E4C9-CD18-44FE-B963-13C475E66A7F}"/>
    <cellStyle name="Normal 4 2 2 4 7 2 3" xfId="13631" xr:uid="{BD3F2E59-1D71-4E61-B077-853C8EF4BF9B}"/>
    <cellStyle name="Normal 4 2 2 4 7 3" xfId="6377" xr:uid="{00000000-0005-0000-0000-0000DE120000}"/>
    <cellStyle name="Normal 4 2 2 4 7 3 2" xfId="15703" xr:uid="{6FFB0330-92A9-45A1-B19B-2AE840C14706}"/>
    <cellStyle name="Normal 4 2 2 4 7 4" xfId="11486" xr:uid="{8B518E4F-6295-446A-8E95-F4ABC49F2EFB}"/>
    <cellStyle name="Normal 4 2 2 4 8" xfId="2507" xr:uid="{00000000-0005-0000-0000-0000DF120000}"/>
    <cellStyle name="Normal 4 2 2 4 8 2" xfId="6790" xr:uid="{00000000-0005-0000-0000-0000E0120000}"/>
    <cellStyle name="Normal 4 2 2 4 8 2 2" xfId="16116" xr:uid="{84D49924-9F48-490D-87AC-846170983052}"/>
    <cellStyle name="Normal 4 2 2 4 8 3" xfId="11899" xr:uid="{69AF6CAD-C014-43B6-9CC0-141F5AC5295F}"/>
    <cellStyle name="Normal 4 2 2 4 9" xfId="4725" xr:uid="{00000000-0005-0000-0000-0000E1120000}"/>
    <cellStyle name="Normal 4 2 2 4 9 2" xfId="14051" xr:uid="{9626F062-571A-44BC-A283-9727DBA6D413}"/>
    <cellStyle name="Normal 4 2 2 5" xfId="351" xr:uid="{00000000-0005-0000-0000-0000E2120000}"/>
    <cellStyle name="Normal 4 2 2 5 10" xfId="9838" xr:uid="{C477ADC6-49AC-418D-A4B6-737CF52D6B45}"/>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45472F35-684E-478F-91E8-800A9B8B01A1}"/>
    <cellStyle name="Normal 4 2 2 5 2 2 2 3" xfId="12397" xr:uid="{9DB09433-47F2-4D1D-BB2A-9FB90142AB19}"/>
    <cellStyle name="Normal 4 2 2 5 2 2 3" xfId="5143" xr:uid="{00000000-0005-0000-0000-0000E7120000}"/>
    <cellStyle name="Normal 4 2 2 5 2 2 3 2" xfId="14469" xr:uid="{D567E156-ACB1-43A6-B054-A00766259147}"/>
    <cellStyle name="Normal 4 2 2 5 2 2 4" xfId="9487" xr:uid="{83D2756E-B983-4EA9-AB48-FF4D3E821CE4}"/>
    <cellStyle name="Normal 4 2 2 5 2 2 4 2" xfId="18802" xr:uid="{037D81AF-BA8A-40A9-AC0F-32B01FE242B3}"/>
    <cellStyle name="Normal 4 2 2 5 2 2 5" xfId="10252" xr:uid="{667129FC-62E0-4440-94E3-D2D502B0C04C}"/>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3CB5AC2A-3F01-4FD7-BC24-FBFA7C25EEFA}"/>
    <cellStyle name="Normal 4 2 2 5 2 3 2 3" xfId="12810" xr:uid="{E66B3904-7024-4481-8A11-F46EA9301ED5}"/>
    <cellStyle name="Normal 4 2 2 5 2 3 3" xfId="5556" xr:uid="{00000000-0005-0000-0000-0000EB120000}"/>
    <cellStyle name="Normal 4 2 2 5 2 3 3 2" xfId="14882" xr:uid="{CA0CB3A1-7B6A-46DE-8E1D-4941694FAC0C}"/>
    <cellStyle name="Normal 4 2 2 5 2 3 4" xfId="10665" xr:uid="{782C88A5-F4F1-436A-95B6-4E305BA4E88B}"/>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C18C7D95-9E5F-408B-AA22-571DA8FA3827}"/>
    <cellStyle name="Normal 4 2 2 5 2 4 2 3" xfId="13223" xr:uid="{A0DFE9A9-0502-4E18-9C93-C1B38690CDBB}"/>
    <cellStyle name="Normal 4 2 2 5 2 4 3" xfId="5969" xr:uid="{00000000-0005-0000-0000-0000EF120000}"/>
    <cellStyle name="Normal 4 2 2 5 2 4 3 2" xfId="15295" xr:uid="{FBEF915C-B7F8-4405-B575-B3BDFD6292C0}"/>
    <cellStyle name="Normal 4 2 2 5 2 4 4" xfId="11078" xr:uid="{49AC7F62-B25C-468E-8CEF-3ED7378F7C4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5562A217-EADD-4600-9127-4204F21EFCDE}"/>
    <cellStyle name="Normal 4 2 2 5 2 5 2 3" xfId="13636" xr:uid="{575109E7-CFBF-4C00-9F96-BA031A68B274}"/>
    <cellStyle name="Normal 4 2 2 5 2 5 3" xfId="6382" xr:uid="{00000000-0005-0000-0000-0000F3120000}"/>
    <cellStyle name="Normal 4 2 2 5 2 5 3 2" xfId="15708" xr:uid="{8AA96F96-3609-4D92-B86D-F5E092FB9B5F}"/>
    <cellStyle name="Normal 4 2 2 5 2 5 4" xfId="11491" xr:uid="{28EFAC59-E901-4956-B28D-8753D07F782C}"/>
    <cellStyle name="Normal 4 2 2 5 2 6" xfId="2512" xr:uid="{00000000-0005-0000-0000-0000F4120000}"/>
    <cellStyle name="Normal 4 2 2 5 2 6 2" xfId="6795" xr:uid="{00000000-0005-0000-0000-0000F5120000}"/>
    <cellStyle name="Normal 4 2 2 5 2 6 2 2" xfId="16121" xr:uid="{90633D0A-2DAC-4270-9FBD-258D61E31D72}"/>
    <cellStyle name="Normal 4 2 2 5 2 6 3" xfId="11904" xr:uid="{43B722E1-7C59-4F01-AAE3-D3BBF7DE91E6}"/>
    <cellStyle name="Normal 4 2 2 5 2 7" xfId="4730" xr:uid="{00000000-0005-0000-0000-0000F6120000}"/>
    <cellStyle name="Normal 4 2 2 5 2 7 2" xfId="14056" xr:uid="{3003E3EE-57D9-4C19-BA20-38091C33D4F0}"/>
    <cellStyle name="Normal 4 2 2 5 2 8" xfId="9062" xr:uid="{FED54422-C2E5-44B3-AA7C-C6088F47A385}"/>
    <cellStyle name="Normal 4 2 2 5 2 8 2" xfId="18386" xr:uid="{31706B9A-6F56-42F0-9B1E-C6F30DB22C6F}"/>
    <cellStyle name="Normal 4 2 2 5 2 9" xfId="9839" xr:uid="{8ED345AE-A4D6-4C07-904F-4C6BB1DDD649}"/>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66CB39F1-FE51-4625-87A3-9BF1D5FD25D3}"/>
    <cellStyle name="Normal 4 2 2 5 3 2 3" xfId="12396" xr:uid="{B8964AA6-6EE1-4F3F-A7A6-24C51E06078D}"/>
    <cellStyle name="Normal 4 2 2 5 3 3" xfId="5142" xr:uid="{00000000-0005-0000-0000-0000FA120000}"/>
    <cellStyle name="Normal 4 2 2 5 3 3 2" xfId="14468" xr:uid="{72603006-DA85-4BD6-A0CE-63014A8CF854}"/>
    <cellStyle name="Normal 4 2 2 5 3 4" xfId="9280" xr:uid="{C70B18D8-E279-4D37-82EF-3177E9FA554F}"/>
    <cellStyle name="Normal 4 2 2 5 3 4 2" xfId="18595" xr:uid="{C37A7EE5-554D-481C-B344-ED32624CA0FD}"/>
    <cellStyle name="Normal 4 2 2 5 3 5" xfId="10251" xr:uid="{F53BCC07-8E4A-4721-9E2E-36A2AD6CE5B0}"/>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54E6EFA1-6107-4786-9949-EAD33794AA07}"/>
    <cellStyle name="Normal 4 2 2 5 4 2 3" xfId="12809" xr:uid="{8A61EB3A-EBAF-4204-98CC-0F5DDDD63FEB}"/>
    <cellStyle name="Normal 4 2 2 5 4 3" xfId="5555" xr:uid="{00000000-0005-0000-0000-0000FE120000}"/>
    <cellStyle name="Normal 4 2 2 5 4 3 2" xfId="14881" xr:uid="{DFA809BA-28F4-4104-9C8F-693BAE4E8DA8}"/>
    <cellStyle name="Normal 4 2 2 5 4 4" xfId="10664" xr:uid="{7E209CB6-F488-45BA-9C5D-791964C81D4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63D3209E-D1E1-4F88-95F7-315F21EAB9F1}"/>
    <cellStyle name="Normal 4 2 2 5 5 2 3" xfId="13222" xr:uid="{1BDB22D0-0700-4887-8EEC-4069E3A9EDC4}"/>
    <cellStyle name="Normal 4 2 2 5 5 3" xfId="5968" xr:uid="{00000000-0005-0000-0000-000002130000}"/>
    <cellStyle name="Normal 4 2 2 5 5 3 2" xfId="15294" xr:uid="{CA1F5B7A-08C3-4F7C-AA10-DA49DB0BFE88}"/>
    <cellStyle name="Normal 4 2 2 5 5 4" xfId="11077" xr:uid="{899AD0DD-0CA6-4CDE-9092-864F0BAF5EA4}"/>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F6A54B82-6BAA-4D9C-94E6-C032FF01996E}"/>
    <cellStyle name="Normal 4 2 2 5 6 2 3" xfId="13635" xr:uid="{FA69BDE3-9B6C-4288-9CC3-79407DE4C545}"/>
    <cellStyle name="Normal 4 2 2 5 6 3" xfId="6381" xr:uid="{00000000-0005-0000-0000-000006130000}"/>
    <cellStyle name="Normal 4 2 2 5 6 3 2" xfId="15707" xr:uid="{E3925849-FA21-4AE4-93F4-F9589AC1B7A4}"/>
    <cellStyle name="Normal 4 2 2 5 6 4" xfId="11490" xr:uid="{FD2F100E-EDB1-4AA3-975E-C6D19E88D0B8}"/>
    <cellStyle name="Normal 4 2 2 5 7" xfId="2511" xr:uid="{00000000-0005-0000-0000-000007130000}"/>
    <cellStyle name="Normal 4 2 2 5 7 2" xfId="6794" xr:uid="{00000000-0005-0000-0000-000008130000}"/>
    <cellStyle name="Normal 4 2 2 5 7 2 2" xfId="16120" xr:uid="{19FB29BB-095A-4695-B203-1F91A80C7EF3}"/>
    <cellStyle name="Normal 4 2 2 5 7 3" xfId="11903" xr:uid="{0B839B5A-E8CD-4B2F-B7B2-191ADD597C35}"/>
    <cellStyle name="Normal 4 2 2 5 8" xfId="4729" xr:uid="{00000000-0005-0000-0000-000009130000}"/>
    <cellStyle name="Normal 4 2 2 5 8 2" xfId="14055" xr:uid="{2071FD1D-D1B4-4A46-893C-B8E736671BEF}"/>
    <cellStyle name="Normal 4 2 2 5 9" xfId="8855" xr:uid="{894DEE8B-A5CD-4C4E-B41D-DCEB92717109}"/>
    <cellStyle name="Normal 4 2 2 5 9 2" xfId="18179" xr:uid="{A4D8D3EE-D8CE-4BE0-89A7-6DF3A9DBD215}"/>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290179FD-8533-4FCB-9C0E-63D940212DCE}"/>
    <cellStyle name="Normal 4 2 2 6 2 2 3" xfId="12398" xr:uid="{9C7735BE-45D0-4A15-93A7-D47279CC7DF0}"/>
    <cellStyle name="Normal 4 2 2 6 2 3" xfId="5144" xr:uid="{00000000-0005-0000-0000-00000E130000}"/>
    <cellStyle name="Normal 4 2 2 6 2 3 2" xfId="14470" xr:uid="{F70C568C-C040-4E92-82F5-2860133D8B4C}"/>
    <cellStyle name="Normal 4 2 2 6 2 4" xfId="9396" xr:uid="{5B10E6C6-987A-4149-BB81-321A07C7666F}"/>
    <cellStyle name="Normal 4 2 2 6 2 4 2" xfId="18711" xr:uid="{607D1550-A38A-45D0-A673-2A3D16BACFD2}"/>
    <cellStyle name="Normal 4 2 2 6 2 5" xfId="10253" xr:uid="{41D68367-CF5E-4A4D-9054-32B73AE13EAA}"/>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FBB3043B-3337-4710-964A-1C0C02B9E39C}"/>
    <cellStyle name="Normal 4 2 2 6 3 2 3" xfId="12811" xr:uid="{FF931E79-0F49-40E3-88BC-22B5E484990A}"/>
    <cellStyle name="Normal 4 2 2 6 3 3" xfId="5557" xr:uid="{00000000-0005-0000-0000-000012130000}"/>
    <cellStyle name="Normal 4 2 2 6 3 3 2" xfId="14883" xr:uid="{4CAA72D6-8BDA-4E90-9C31-3E3251CFFDDE}"/>
    <cellStyle name="Normal 4 2 2 6 3 4" xfId="10666" xr:uid="{45A30569-9F15-4266-8386-A8A25C64F9FF}"/>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F80E0EB6-DF4C-47B0-883E-02E34CFAFBA1}"/>
    <cellStyle name="Normal 4 2 2 6 4 2 3" xfId="13224" xr:uid="{688B6A0E-B332-4E2F-A679-CCD99CB6EF7F}"/>
    <cellStyle name="Normal 4 2 2 6 4 3" xfId="5970" xr:uid="{00000000-0005-0000-0000-000016130000}"/>
    <cellStyle name="Normal 4 2 2 6 4 3 2" xfId="15296" xr:uid="{7725047B-E5EE-4628-A304-7A3403DBB749}"/>
    <cellStyle name="Normal 4 2 2 6 4 4" xfId="11079" xr:uid="{5167BC2A-686E-40AA-8D59-35330098F36C}"/>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473BEBB0-41E4-432B-B818-C6C1BD9048C1}"/>
    <cellStyle name="Normal 4 2 2 6 5 2 3" xfId="13637" xr:uid="{82C04F84-56E3-44F1-82AF-B0C5A200521E}"/>
    <cellStyle name="Normal 4 2 2 6 5 3" xfId="6383" xr:uid="{00000000-0005-0000-0000-00001A130000}"/>
    <cellStyle name="Normal 4 2 2 6 5 3 2" xfId="15709" xr:uid="{09AE1333-E8CD-4A6C-89DF-83511E981C1E}"/>
    <cellStyle name="Normal 4 2 2 6 5 4" xfId="11492" xr:uid="{9AC61572-7E84-42E3-B3ED-BFDDEA6CD247}"/>
    <cellStyle name="Normal 4 2 2 6 6" xfId="2513" xr:uid="{00000000-0005-0000-0000-00001B130000}"/>
    <cellStyle name="Normal 4 2 2 6 6 2" xfId="6796" xr:uid="{00000000-0005-0000-0000-00001C130000}"/>
    <cellStyle name="Normal 4 2 2 6 6 2 2" xfId="16122" xr:uid="{D632D71B-9778-4C20-97D7-757BB007FB8C}"/>
    <cellStyle name="Normal 4 2 2 6 6 3" xfId="11905" xr:uid="{4AA2AF2F-9070-4BB7-BAF0-E9CAA5D4E749}"/>
    <cellStyle name="Normal 4 2 2 6 7" xfId="4731" xr:uid="{00000000-0005-0000-0000-00001D130000}"/>
    <cellStyle name="Normal 4 2 2 6 7 2" xfId="14057" xr:uid="{4DBB8B35-D185-4EC4-9CB3-9722DCC64118}"/>
    <cellStyle name="Normal 4 2 2 6 8" xfId="8971" xr:uid="{7BBA3CD4-2D32-439A-A2D5-9F7EB5E5A47E}"/>
    <cellStyle name="Normal 4 2 2 6 8 2" xfId="18295" xr:uid="{0ADB0D7E-4F03-4973-82A5-BF655A1B8FFF}"/>
    <cellStyle name="Normal 4 2 2 6 9" xfId="9840" xr:uid="{4402B351-5D0A-42AD-9072-C3660A54F356}"/>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B4484595-DA52-4BE2-A8BD-66015594D643}"/>
    <cellStyle name="Normal 4 2 2 7 2 3" xfId="12383" xr:uid="{56F529DE-8A71-4E02-B684-0C13550F6426}"/>
    <cellStyle name="Normal 4 2 2 7 3" xfId="5129" xr:uid="{00000000-0005-0000-0000-000021130000}"/>
    <cellStyle name="Normal 4 2 2 7 3 2" xfId="14455" xr:uid="{BEA5F58D-1A48-400D-984D-AC7B61476257}"/>
    <cellStyle name="Normal 4 2 2 7 4" xfId="9174" xr:uid="{5FB177AF-8B2E-4B7E-A1B7-4F6E323AF880}"/>
    <cellStyle name="Normal 4 2 2 7 4 2" xfId="18492" xr:uid="{4BEB46C6-16BF-4A6C-AC1E-6CF5FCD2A276}"/>
    <cellStyle name="Normal 4 2 2 7 5" xfId="10238" xr:uid="{248412DB-7089-4430-BA17-1F94197E986D}"/>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4C723282-3AAF-4545-B0FB-371EE309780D}"/>
    <cellStyle name="Normal 4 2 2 8 2 3" xfId="12796" xr:uid="{5265DAAD-0E8A-4DC9-8B23-77B68AFD813E}"/>
    <cellStyle name="Normal 4 2 2 8 3" xfId="5542" xr:uid="{00000000-0005-0000-0000-000025130000}"/>
    <cellStyle name="Normal 4 2 2 8 3 2" xfId="14868" xr:uid="{81321FEF-D279-44AC-AE46-A6CFA8047678}"/>
    <cellStyle name="Normal 4 2 2 8 4" xfId="10651" xr:uid="{559DFD15-6181-4566-B40C-EBDDE7CC2A42}"/>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22DFA6EF-4A5B-4243-8E38-E72F073729BD}"/>
    <cellStyle name="Normal 4 2 2 9 2 3" xfId="13209" xr:uid="{47A44EC8-8047-4AAD-912C-10500357A913}"/>
    <cellStyle name="Normal 4 2 2 9 3" xfId="5955" xr:uid="{00000000-0005-0000-0000-000029130000}"/>
    <cellStyle name="Normal 4 2 2 9 3 2" xfId="15281" xr:uid="{98F29D24-5CBF-4C8A-8BF3-7143FF11AF08}"/>
    <cellStyle name="Normal 4 2 2 9 4" xfId="11064" xr:uid="{0D0EAEFB-317F-4265-819A-1CD1D221100E}"/>
    <cellStyle name="Normal 4 2 3" xfId="354" xr:uid="{00000000-0005-0000-0000-00002A130000}"/>
    <cellStyle name="Normal 4 2 4" xfId="355" xr:uid="{00000000-0005-0000-0000-00002B130000}"/>
    <cellStyle name="Normal 4 2 4 10" xfId="4732" xr:uid="{00000000-0005-0000-0000-00002C130000}"/>
    <cellStyle name="Normal 4 2 4 10 2" xfId="14058" xr:uid="{0478AE86-9E7A-44DD-B28B-5565DC8CA0DD}"/>
    <cellStyle name="Normal 4 2 4 11" xfId="8775" xr:uid="{7AC259AB-9C32-4DC1-A787-2E2187A7C2D6}"/>
    <cellStyle name="Normal 4 2 4 11 2" xfId="18099" xr:uid="{C4141F0A-85D9-476B-AE0D-32203FAAF545}"/>
    <cellStyle name="Normal 4 2 4 12" xfId="9841" xr:uid="{9C5F97A6-4DBB-49E4-AD37-922BE2DEDE27}"/>
    <cellStyle name="Normal 4 2 4 2" xfId="356" xr:uid="{00000000-0005-0000-0000-00002D130000}"/>
    <cellStyle name="Normal 4 2 4 2 10" xfId="8820" xr:uid="{8B50D4F4-4786-467C-8322-69D665B73C2B}"/>
    <cellStyle name="Normal 4 2 4 2 10 2" xfId="18144" xr:uid="{E177187B-9F4B-4CAA-A2E7-5AC630126BD4}"/>
    <cellStyle name="Normal 4 2 4 2 11" xfId="9842" xr:uid="{45926DEC-B11A-4288-ABB2-0BD71068C74F}"/>
    <cellStyle name="Normal 4 2 4 2 2" xfId="357" xr:uid="{00000000-0005-0000-0000-00002E130000}"/>
    <cellStyle name="Normal 4 2 4 2 2 10" xfId="9843" xr:uid="{5BDF9EAD-1666-44E1-8ACD-A1C4746899D5}"/>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7EBBDDF6-27F9-4B28-B233-D04FC1D37B67}"/>
    <cellStyle name="Normal 4 2 4 2 2 2 2 2 3" xfId="12402" xr:uid="{CAA84B5B-FAE3-4683-9080-19E636D86E58}"/>
    <cellStyle name="Normal 4 2 4 2 2 2 2 3" xfId="5148" xr:uid="{00000000-0005-0000-0000-000033130000}"/>
    <cellStyle name="Normal 4 2 4 2 2 2 2 3 2" xfId="14474" xr:uid="{C8B13F4E-7EB9-4F76-8086-52BC1714A61E}"/>
    <cellStyle name="Normal 4 2 4 2 2 2 2 4" xfId="9555" xr:uid="{31AE7BD4-4F26-4658-9939-15FCE733560E}"/>
    <cellStyle name="Normal 4 2 4 2 2 2 2 4 2" xfId="18870" xr:uid="{41A8A10D-C980-4116-80B4-01A6A14EE851}"/>
    <cellStyle name="Normal 4 2 4 2 2 2 2 5" xfId="10257" xr:uid="{3DD36316-A433-4A7E-89D2-E60FFBD072BF}"/>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D63C4DDB-C7A2-448A-8672-331BF3CF4757}"/>
    <cellStyle name="Normal 4 2 4 2 2 2 3 2 3" xfId="12815" xr:uid="{AC6D8C6C-1CE9-400F-802F-F136A881989A}"/>
    <cellStyle name="Normal 4 2 4 2 2 2 3 3" xfId="5561" xr:uid="{00000000-0005-0000-0000-000037130000}"/>
    <cellStyle name="Normal 4 2 4 2 2 2 3 3 2" xfId="14887" xr:uid="{FF75FDC0-5C4C-418E-813E-8226416534B9}"/>
    <cellStyle name="Normal 4 2 4 2 2 2 3 4" xfId="10670" xr:uid="{E9C44C53-C65B-4F9D-9FA0-ABB5BC4342E7}"/>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63935F6C-2F13-4076-BCFC-FF0E68F30E7F}"/>
    <cellStyle name="Normal 4 2 4 2 2 2 4 2 3" xfId="13228" xr:uid="{8B8FB11C-57CF-4994-8B0E-20F9B2C2F6AA}"/>
    <cellStyle name="Normal 4 2 4 2 2 2 4 3" xfId="5974" xr:uid="{00000000-0005-0000-0000-00003B130000}"/>
    <cellStyle name="Normal 4 2 4 2 2 2 4 3 2" xfId="15300" xr:uid="{2FB5D532-E974-4705-8337-D6672F08C935}"/>
    <cellStyle name="Normal 4 2 4 2 2 2 4 4" xfId="11083" xr:uid="{080BA6F6-56D1-4C67-A6CA-278E7D9A9CC6}"/>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67824FBE-185D-4864-B2CC-F5F69FC361F5}"/>
    <cellStyle name="Normal 4 2 4 2 2 2 5 2 3" xfId="13641" xr:uid="{1C656320-76EF-40A5-AB57-4B0C5A6C7BCE}"/>
    <cellStyle name="Normal 4 2 4 2 2 2 5 3" xfId="6387" xr:uid="{00000000-0005-0000-0000-00003F130000}"/>
    <cellStyle name="Normal 4 2 4 2 2 2 5 3 2" xfId="15713" xr:uid="{0D6B0EEE-52E5-4863-B3AC-9E7CC57F26B3}"/>
    <cellStyle name="Normal 4 2 4 2 2 2 5 4" xfId="11496" xr:uid="{267BFB2A-0B7A-46AB-AC8B-5681E5CBC116}"/>
    <cellStyle name="Normal 4 2 4 2 2 2 6" xfId="2517" xr:uid="{00000000-0005-0000-0000-000040130000}"/>
    <cellStyle name="Normal 4 2 4 2 2 2 6 2" xfId="6800" xr:uid="{00000000-0005-0000-0000-000041130000}"/>
    <cellStyle name="Normal 4 2 4 2 2 2 6 2 2" xfId="16126" xr:uid="{E9ACBFBD-2F57-4094-92DE-73EF7856F142}"/>
    <cellStyle name="Normal 4 2 4 2 2 2 6 3" xfId="11909" xr:uid="{C2AC263B-E619-46F8-8C47-91FC234149E4}"/>
    <cellStyle name="Normal 4 2 4 2 2 2 7" xfId="4735" xr:uid="{00000000-0005-0000-0000-000042130000}"/>
    <cellStyle name="Normal 4 2 4 2 2 2 7 2" xfId="14061" xr:uid="{5A587A74-9091-4582-AE67-49BAC93FFDA9}"/>
    <cellStyle name="Normal 4 2 4 2 2 2 8" xfId="9130" xr:uid="{E4AAEB37-D6CE-4BD9-A166-BE52F754DAC4}"/>
    <cellStyle name="Normal 4 2 4 2 2 2 8 2" xfId="18454" xr:uid="{379EE9DF-2615-4C4D-85A7-A3EB9DC13C43}"/>
    <cellStyle name="Normal 4 2 4 2 2 2 9" xfId="9844" xr:uid="{1539E22E-9CB0-4B39-8E69-2E03D7044BCD}"/>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1CAC9FB8-AB1F-498A-BAF3-7D7B616199DF}"/>
    <cellStyle name="Normal 4 2 4 2 2 3 2 3" xfId="12401" xr:uid="{EDBAE4DC-8D13-4EB5-8055-58FDD159A36A}"/>
    <cellStyle name="Normal 4 2 4 2 2 3 3" xfId="5147" xr:uid="{00000000-0005-0000-0000-000046130000}"/>
    <cellStyle name="Normal 4 2 4 2 2 3 3 2" xfId="14473" xr:uid="{EECA8F5C-1E37-4721-A17F-D0D65DF26815}"/>
    <cellStyle name="Normal 4 2 4 2 2 3 4" xfId="9348" xr:uid="{E9E52CF6-B3CF-482F-B496-A22B0452951D}"/>
    <cellStyle name="Normal 4 2 4 2 2 3 4 2" xfId="18663" xr:uid="{3161637B-B4BB-454B-AA03-9278B37D56DE}"/>
    <cellStyle name="Normal 4 2 4 2 2 3 5" xfId="10256" xr:uid="{4247AAF4-D44C-4EEB-A80A-96C5BD252A7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77CF0D67-5683-4581-807B-0F8FA6B43A7D}"/>
    <cellStyle name="Normal 4 2 4 2 2 4 2 3" xfId="12814" xr:uid="{07743998-08F4-4FDC-A155-F4ABF53C9E32}"/>
    <cellStyle name="Normal 4 2 4 2 2 4 3" xfId="5560" xr:uid="{00000000-0005-0000-0000-00004A130000}"/>
    <cellStyle name="Normal 4 2 4 2 2 4 3 2" xfId="14886" xr:uid="{33082049-37F5-4EB3-B0B6-1DA3BAF5ADE7}"/>
    <cellStyle name="Normal 4 2 4 2 2 4 4" xfId="10669" xr:uid="{6650B83C-7E82-41A7-BC0B-DB2111C2DE5F}"/>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DDC052BF-2324-41A9-8C91-4284EFC8CCD1}"/>
    <cellStyle name="Normal 4 2 4 2 2 5 2 3" xfId="13227" xr:uid="{A8CE923A-0FF1-4DD2-A38A-4D21B5F573CF}"/>
    <cellStyle name="Normal 4 2 4 2 2 5 3" xfId="5973" xr:uid="{00000000-0005-0000-0000-00004E130000}"/>
    <cellStyle name="Normal 4 2 4 2 2 5 3 2" xfId="15299" xr:uid="{39923728-0043-447F-983A-77BF4E296325}"/>
    <cellStyle name="Normal 4 2 4 2 2 5 4" xfId="11082" xr:uid="{029BACC4-5898-4BE2-BC9E-E0D78A07A4C1}"/>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0D13E432-F2B6-473B-8996-D378D3ED51F3}"/>
    <cellStyle name="Normal 4 2 4 2 2 6 2 3" xfId="13640" xr:uid="{41C86380-3ED7-451E-B701-631EEA7960B2}"/>
    <cellStyle name="Normal 4 2 4 2 2 6 3" xfId="6386" xr:uid="{00000000-0005-0000-0000-000052130000}"/>
    <cellStyle name="Normal 4 2 4 2 2 6 3 2" xfId="15712" xr:uid="{D2FEF8ED-5B78-4D1C-8A0A-0059089DD067}"/>
    <cellStyle name="Normal 4 2 4 2 2 6 4" xfId="11495" xr:uid="{18822946-2C02-4918-9BD8-980AFC1BA072}"/>
    <cellStyle name="Normal 4 2 4 2 2 7" xfId="2516" xr:uid="{00000000-0005-0000-0000-000053130000}"/>
    <cellStyle name="Normal 4 2 4 2 2 7 2" xfId="6799" xr:uid="{00000000-0005-0000-0000-000054130000}"/>
    <cellStyle name="Normal 4 2 4 2 2 7 2 2" xfId="16125" xr:uid="{0B7EE8C5-AE7C-4CFB-9D3D-860CFCD3F603}"/>
    <cellStyle name="Normal 4 2 4 2 2 7 3" xfId="11908" xr:uid="{8358A346-ED3D-4523-A741-07E137E4E26A}"/>
    <cellStyle name="Normal 4 2 4 2 2 8" xfId="4734" xr:uid="{00000000-0005-0000-0000-000055130000}"/>
    <cellStyle name="Normal 4 2 4 2 2 8 2" xfId="14060" xr:uid="{EDCDE803-F224-4768-8740-1A83A0373B4B}"/>
    <cellStyle name="Normal 4 2 4 2 2 9" xfId="8923" xr:uid="{2BBE6936-33B8-4624-9F85-2EE83C62ACB2}"/>
    <cellStyle name="Normal 4 2 4 2 2 9 2" xfId="18247" xr:uid="{1C58CD0E-646D-4A15-AFBD-1EA1D3370B6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6C17BFF1-E27B-4DBE-81A3-9B700A54AADB}"/>
    <cellStyle name="Normal 4 2 4 2 3 2 2 3" xfId="12403" xr:uid="{FAF4E987-A4B2-4BEC-8840-8F4E78B95B54}"/>
    <cellStyle name="Normal 4 2 4 2 3 2 3" xfId="5149" xr:uid="{00000000-0005-0000-0000-00005A130000}"/>
    <cellStyle name="Normal 4 2 4 2 3 2 3 2" xfId="14475" xr:uid="{3076357C-CD6F-42E5-AFA8-C84E3705D94A}"/>
    <cellStyle name="Normal 4 2 4 2 3 2 4" xfId="9452" xr:uid="{58F46659-8F00-4705-8554-54AEBE9B8A77}"/>
    <cellStyle name="Normal 4 2 4 2 3 2 4 2" xfId="18767" xr:uid="{10467312-6436-47DA-8B4F-5DF16F6875BE}"/>
    <cellStyle name="Normal 4 2 4 2 3 2 5" xfId="10258" xr:uid="{B177BF54-FBF0-4498-97FF-F4CAADF66936}"/>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177822DF-CDB1-4B22-BDC6-0E74471E162B}"/>
    <cellStyle name="Normal 4 2 4 2 3 3 2 3" xfId="12816" xr:uid="{38E55631-AFB9-491B-90C3-E581EA2A33F5}"/>
    <cellStyle name="Normal 4 2 4 2 3 3 3" xfId="5562" xr:uid="{00000000-0005-0000-0000-00005E130000}"/>
    <cellStyle name="Normal 4 2 4 2 3 3 3 2" xfId="14888" xr:uid="{70A284C2-E8AE-4B92-8D42-5D4CD27950C6}"/>
    <cellStyle name="Normal 4 2 4 2 3 3 4" xfId="10671" xr:uid="{69DEEC20-7360-412B-A296-CA056C8B2099}"/>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4D167065-8309-49B2-BF46-112060307DDF}"/>
    <cellStyle name="Normal 4 2 4 2 3 4 2 3" xfId="13229" xr:uid="{73F25567-B8CC-45A1-9E73-BC48122825D4}"/>
    <cellStyle name="Normal 4 2 4 2 3 4 3" xfId="5975" xr:uid="{00000000-0005-0000-0000-000062130000}"/>
    <cellStyle name="Normal 4 2 4 2 3 4 3 2" xfId="15301" xr:uid="{73D7A90C-E3B8-4883-8E73-90ECB42D28E5}"/>
    <cellStyle name="Normal 4 2 4 2 3 4 4" xfId="11084" xr:uid="{6F8E0F35-B3BA-413B-993E-51C722BA70A6}"/>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876EC3C9-8EB7-49D0-A7AC-A26603FA2167}"/>
    <cellStyle name="Normal 4 2 4 2 3 5 2 3" xfId="13642" xr:uid="{E7C1C2AA-1E78-45D1-A38E-F7D4E1CCCDB3}"/>
    <cellStyle name="Normal 4 2 4 2 3 5 3" xfId="6388" xr:uid="{00000000-0005-0000-0000-000066130000}"/>
    <cellStyle name="Normal 4 2 4 2 3 5 3 2" xfId="15714" xr:uid="{F3971104-D6A3-4674-B41E-41EC859A1C68}"/>
    <cellStyle name="Normal 4 2 4 2 3 5 4" xfId="11497" xr:uid="{56710BAD-3B96-445D-B50C-98A5FC7EC4EA}"/>
    <cellStyle name="Normal 4 2 4 2 3 6" xfId="2518" xr:uid="{00000000-0005-0000-0000-000067130000}"/>
    <cellStyle name="Normal 4 2 4 2 3 6 2" xfId="6801" xr:uid="{00000000-0005-0000-0000-000068130000}"/>
    <cellStyle name="Normal 4 2 4 2 3 6 2 2" xfId="16127" xr:uid="{96F5309A-261E-4B78-A2B3-C5A1EE6E0C2D}"/>
    <cellStyle name="Normal 4 2 4 2 3 6 3" xfId="11910" xr:uid="{B0BF805C-D10B-4103-B613-CF5309E62A3A}"/>
    <cellStyle name="Normal 4 2 4 2 3 7" xfId="4736" xr:uid="{00000000-0005-0000-0000-000069130000}"/>
    <cellStyle name="Normal 4 2 4 2 3 7 2" xfId="14062" xr:uid="{9D584B49-1840-40D6-BC23-BC1E674A342E}"/>
    <cellStyle name="Normal 4 2 4 2 3 8" xfId="9027" xr:uid="{DA430019-E492-48BB-ACD5-5BE853C50FBC}"/>
    <cellStyle name="Normal 4 2 4 2 3 8 2" xfId="18351" xr:uid="{524AE8CD-6DE5-472D-A52F-B1689220AD4F}"/>
    <cellStyle name="Normal 4 2 4 2 3 9" xfId="9845" xr:uid="{21890080-493F-48DE-99AA-C32B8DFF42DD}"/>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C44A1D83-CB9C-4AF8-80D8-6F16030D0832}"/>
    <cellStyle name="Normal 4 2 4 2 4 2 3" xfId="12400" xr:uid="{EF632B2E-A01F-4DB7-904E-44ED76DF13A9}"/>
    <cellStyle name="Normal 4 2 4 2 4 3" xfId="5146" xr:uid="{00000000-0005-0000-0000-00006D130000}"/>
    <cellStyle name="Normal 4 2 4 2 4 3 2" xfId="14472" xr:uid="{903173AB-5C62-4AE2-8F47-FF97061B21C8}"/>
    <cellStyle name="Normal 4 2 4 2 4 4" xfId="9245" xr:uid="{A0383DD8-843E-4601-922A-5CDD979D0589}"/>
    <cellStyle name="Normal 4 2 4 2 4 4 2" xfId="18560" xr:uid="{4C7F48CC-9A08-4A96-AEAB-66954373AA65}"/>
    <cellStyle name="Normal 4 2 4 2 4 5" xfId="10255" xr:uid="{7A3F4510-2F83-44C1-97EE-2C83E8568A2B}"/>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C2487691-B02D-45BE-A4BD-0C4AE81C3023}"/>
    <cellStyle name="Normal 4 2 4 2 5 2 3" xfId="12813" xr:uid="{FAE4ADAE-C839-4AF5-B2B8-FC4759F2E964}"/>
    <cellStyle name="Normal 4 2 4 2 5 3" xfId="5559" xr:uid="{00000000-0005-0000-0000-000071130000}"/>
    <cellStyle name="Normal 4 2 4 2 5 3 2" xfId="14885" xr:uid="{F8D73560-2636-4868-818B-BCE08D01CB01}"/>
    <cellStyle name="Normal 4 2 4 2 5 4" xfId="10668" xr:uid="{3C6C26CE-81A2-4614-AA23-1139257DBBAB}"/>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E4492665-A7D9-4035-92CF-8DFF52E85B79}"/>
    <cellStyle name="Normal 4 2 4 2 6 2 3" xfId="13226" xr:uid="{AD0DAF8D-6B85-440B-92DA-D731D0636861}"/>
    <cellStyle name="Normal 4 2 4 2 6 3" xfId="5972" xr:uid="{00000000-0005-0000-0000-000075130000}"/>
    <cellStyle name="Normal 4 2 4 2 6 3 2" xfId="15298" xr:uid="{47186A66-0F8B-4231-AA38-25039941B092}"/>
    <cellStyle name="Normal 4 2 4 2 6 4" xfId="11081" xr:uid="{AC79B8AD-5323-4A92-AFEB-793DFF743C4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5054157B-A527-48FF-B830-F8D67B24D4BB}"/>
    <cellStyle name="Normal 4 2 4 2 7 2 3" xfId="13639" xr:uid="{4A95F5EB-8020-4E50-95F0-7C1C9E23D6CD}"/>
    <cellStyle name="Normal 4 2 4 2 7 3" xfId="6385" xr:uid="{00000000-0005-0000-0000-000079130000}"/>
    <cellStyle name="Normal 4 2 4 2 7 3 2" xfId="15711" xr:uid="{1EACBC70-27F3-4A01-9B3B-A938AF65DD15}"/>
    <cellStyle name="Normal 4 2 4 2 7 4" xfId="11494" xr:uid="{5331067E-5DE9-4574-B9A2-60E2813053A4}"/>
    <cellStyle name="Normal 4 2 4 2 8" xfId="2515" xr:uid="{00000000-0005-0000-0000-00007A130000}"/>
    <cellStyle name="Normal 4 2 4 2 8 2" xfId="6798" xr:uid="{00000000-0005-0000-0000-00007B130000}"/>
    <cellStyle name="Normal 4 2 4 2 8 2 2" xfId="16124" xr:uid="{F70B218F-A39D-4798-94E2-E39D18AF233C}"/>
    <cellStyle name="Normal 4 2 4 2 8 3" xfId="11907" xr:uid="{3F4E93F8-0836-4E76-A6FA-1053FAE33C9C}"/>
    <cellStyle name="Normal 4 2 4 2 9" xfId="4733" xr:uid="{00000000-0005-0000-0000-00007C130000}"/>
    <cellStyle name="Normal 4 2 4 2 9 2" xfId="14059" xr:uid="{2CD45327-234B-4851-8E9E-812220911012}"/>
    <cellStyle name="Normal 4 2 4 3" xfId="360" xr:uid="{00000000-0005-0000-0000-00007D130000}"/>
    <cellStyle name="Normal 4 2 4 3 10" xfId="9846" xr:uid="{0ACC1D05-A30B-49AC-A0D6-3BE61267A6FA}"/>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6CEC9E99-143F-4BE3-8209-21DE359D5D18}"/>
    <cellStyle name="Normal 4 2 4 3 2 2 2 3" xfId="12405" xr:uid="{140EBEF0-4255-4801-89DF-7E0EF2307077}"/>
    <cellStyle name="Normal 4 2 4 3 2 2 3" xfId="5151" xr:uid="{00000000-0005-0000-0000-000082130000}"/>
    <cellStyle name="Normal 4 2 4 3 2 2 3 2" xfId="14477" xr:uid="{78A5E459-DA1B-4F04-8370-D6060E0D23F9}"/>
    <cellStyle name="Normal 4 2 4 3 2 2 4" xfId="9510" xr:uid="{AA534F18-B7F5-44D9-AE7D-03E6DE45E4F9}"/>
    <cellStyle name="Normal 4 2 4 3 2 2 4 2" xfId="18825" xr:uid="{71D678C8-85D4-41C9-8301-9095987E37CB}"/>
    <cellStyle name="Normal 4 2 4 3 2 2 5" xfId="10260" xr:uid="{6B1488BD-AF73-4546-9358-54BB6042C214}"/>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42DE4351-417A-4AE3-857D-24306D3AB9E7}"/>
    <cellStyle name="Normal 4 2 4 3 2 3 2 3" xfId="12818" xr:uid="{A2AA0132-AA22-46E1-A34D-98F08DB0A4EF}"/>
    <cellStyle name="Normal 4 2 4 3 2 3 3" xfId="5564" xr:uid="{00000000-0005-0000-0000-000086130000}"/>
    <cellStyle name="Normal 4 2 4 3 2 3 3 2" xfId="14890" xr:uid="{846822AC-D5A7-4AD0-B999-9DA652ECEDEF}"/>
    <cellStyle name="Normal 4 2 4 3 2 3 4" xfId="10673" xr:uid="{80F40D5D-1F64-4FE9-8953-1FF64B504F8F}"/>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3D51B435-4455-4D33-901C-56A73B090E93}"/>
    <cellStyle name="Normal 4 2 4 3 2 4 2 3" xfId="13231" xr:uid="{AEB9DF90-FD14-4A42-B558-AAF0A6A6C2E5}"/>
    <cellStyle name="Normal 4 2 4 3 2 4 3" xfId="5977" xr:uid="{00000000-0005-0000-0000-00008A130000}"/>
    <cellStyle name="Normal 4 2 4 3 2 4 3 2" xfId="15303" xr:uid="{A87CA0CE-B93A-473C-B271-7F8BBC04FFCC}"/>
    <cellStyle name="Normal 4 2 4 3 2 4 4" xfId="11086" xr:uid="{F816699E-FE0A-41B0-ADF5-9A40760C664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AA66A55D-8A10-4712-A255-1F56681304FE}"/>
    <cellStyle name="Normal 4 2 4 3 2 5 2 3" xfId="13644" xr:uid="{A59B2480-74C9-4CBD-8BF8-36FCAC4EB674}"/>
    <cellStyle name="Normal 4 2 4 3 2 5 3" xfId="6390" xr:uid="{00000000-0005-0000-0000-00008E130000}"/>
    <cellStyle name="Normal 4 2 4 3 2 5 3 2" xfId="15716" xr:uid="{EC8B3982-983D-44B4-98DD-7D8B2F39206E}"/>
    <cellStyle name="Normal 4 2 4 3 2 5 4" xfId="11499" xr:uid="{209DA9CE-AE79-43AF-AD35-E872243CA9A6}"/>
    <cellStyle name="Normal 4 2 4 3 2 6" xfId="2520" xr:uid="{00000000-0005-0000-0000-00008F130000}"/>
    <cellStyle name="Normal 4 2 4 3 2 6 2" xfId="6803" xr:uid="{00000000-0005-0000-0000-000090130000}"/>
    <cellStyle name="Normal 4 2 4 3 2 6 2 2" xfId="16129" xr:uid="{6302D7D0-7A15-466A-B6E5-447108393C45}"/>
    <cellStyle name="Normal 4 2 4 3 2 6 3" xfId="11912" xr:uid="{1423B358-5BB5-4584-ABEA-292A9D7F4A30}"/>
    <cellStyle name="Normal 4 2 4 3 2 7" xfId="4738" xr:uid="{00000000-0005-0000-0000-000091130000}"/>
    <cellStyle name="Normal 4 2 4 3 2 7 2" xfId="14064" xr:uid="{A387EFFE-A1A5-4CAE-AC20-04DF8A6614F7}"/>
    <cellStyle name="Normal 4 2 4 3 2 8" xfId="9085" xr:uid="{0181E53C-86DC-4588-8447-D559FCF01541}"/>
    <cellStyle name="Normal 4 2 4 3 2 8 2" xfId="18409" xr:uid="{10EBB222-776B-4AE7-9AC5-62D0B849723E}"/>
    <cellStyle name="Normal 4 2 4 3 2 9" xfId="9847" xr:uid="{6105B89D-69CD-4B05-AF47-C28AFAEF42EB}"/>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CB161E3F-454E-4821-A829-1FA1614F788E}"/>
    <cellStyle name="Normal 4 2 4 3 3 2 3" xfId="12404" xr:uid="{678ED869-F0E9-4AD3-B393-2AB7AF6375A9}"/>
    <cellStyle name="Normal 4 2 4 3 3 3" xfId="5150" xr:uid="{00000000-0005-0000-0000-000095130000}"/>
    <cellStyle name="Normal 4 2 4 3 3 3 2" xfId="14476" xr:uid="{9E46906D-21D7-4581-9EB4-080536C5373E}"/>
    <cellStyle name="Normal 4 2 4 3 3 4" xfId="9303" xr:uid="{51CE977A-E9B9-47DD-B6CE-3ECF34A578F1}"/>
    <cellStyle name="Normal 4 2 4 3 3 4 2" xfId="18618" xr:uid="{52D3C93A-903C-400D-A071-D0E1EE46A5D5}"/>
    <cellStyle name="Normal 4 2 4 3 3 5" xfId="10259" xr:uid="{2ECF5075-079E-4EF5-88FF-2E3F81846E9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8D59D6FC-6EC4-4FBA-A5C5-182E23B51601}"/>
    <cellStyle name="Normal 4 2 4 3 4 2 3" xfId="12817" xr:uid="{EB4AB381-9B29-43CD-8FEA-CB636B0BE918}"/>
    <cellStyle name="Normal 4 2 4 3 4 3" xfId="5563" xr:uid="{00000000-0005-0000-0000-000099130000}"/>
    <cellStyle name="Normal 4 2 4 3 4 3 2" xfId="14889" xr:uid="{E3AE9501-0ED7-4C8C-BE37-73496D704D31}"/>
    <cellStyle name="Normal 4 2 4 3 4 4" xfId="10672" xr:uid="{18CC61FC-B115-42D1-8FB9-349E0C733056}"/>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2F01FAF7-837C-45F4-B5FF-99EFD3AC8C29}"/>
    <cellStyle name="Normal 4 2 4 3 5 2 3" xfId="13230" xr:uid="{4087C69E-5CB7-4B06-AAC3-1D4343EF3D22}"/>
    <cellStyle name="Normal 4 2 4 3 5 3" xfId="5976" xr:uid="{00000000-0005-0000-0000-00009D130000}"/>
    <cellStyle name="Normal 4 2 4 3 5 3 2" xfId="15302" xr:uid="{42D849B9-F381-4790-857F-D2937C5D7E8D}"/>
    <cellStyle name="Normal 4 2 4 3 5 4" xfId="11085" xr:uid="{C8E10CF4-B110-4FF3-9D2A-86B5F1EC577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1CA3E075-3E61-473F-A5C0-C0F6489E6098}"/>
    <cellStyle name="Normal 4 2 4 3 6 2 3" xfId="13643" xr:uid="{8B17BEE9-7BA0-4BDD-AE42-78777E7A158D}"/>
    <cellStyle name="Normal 4 2 4 3 6 3" xfId="6389" xr:uid="{00000000-0005-0000-0000-0000A1130000}"/>
    <cellStyle name="Normal 4 2 4 3 6 3 2" xfId="15715" xr:uid="{0CF4BEF3-493D-45AC-82A4-4C25B8A0C1FA}"/>
    <cellStyle name="Normal 4 2 4 3 6 4" xfId="11498" xr:uid="{E6C6CE8F-3BBB-4C8F-9DD5-FBC532FCAB4C}"/>
    <cellStyle name="Normal 4 2 4 3 7" xfId="2519" xr:uid="{00000000-0005-0000-0000-0000A2130000}"/>
    <cellStyle name="Normal 4 2 4 3 7 2" xfId="6802" xr:uid="{00000000-0005-0000-0000-0000A3130000}"/>
    <cellStyle name="Normal 4 2 4 3 7 2 2" xfId="16128" xr:uid="{C184014A-94A3-4B51-B8CE-BB54EA6BC0AA}"/>
    <cellStyle name="Normal 4 2 4 3 7 3" xfId="11911" xr:uid="{A775EE35-8A27-460D-8035-EF96E0D74189}"/>
    <cellStyle name="Normal 4 2 4 3 8" xfId="4737" xr:uid="{00000000-0005-0000-0000-0000A4130000}"/>
    <cellStyle name="Normal 4 2 4 3 8 2" xfId="14063" xr:uid="{96BB433C-97B4-4FB0-9A30-364485315CF1}"/>
    <cellStyle name="Normal 4 2 4 3 9" xfId="8878" xr:uid="{B73EE68A-BBFC-4E7A-B773-E14FCCFC8837}"/>
    <cellStyle name="Normal 4 2 4 3 9 2" xfId="18202" xr:uid="{D9AF7F5B-6320-4F50-8CE6-B6387788AF4E}"/>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95F280B-7918-432C-8080-088B6FB606B3}"/>
    <cellStyle name="Normal 4 2 4 4 2 2 3" xfId="12406" xr:uid="{38FA4E0C-A42F-430D-937B-AB88A231A3B6}"/>
    <cellStyle name="Normal 4 2 4 4 2 3" xfId="5152" xr:uid="{00000000-0005-0000-0000-0000A9130000}"/>
    <cellStyle name="Normal 4 2 4 4 2 3 2" xfId="14478" xr:uid="{FB924B36-0DAB-4C6A-8423-DAA0E5039137}"/>
    <cellStyle name="Normal 4 2 4 4 2 4" xfId="9407" xr:uid="{5D8D6A7A-388E-41EC-80E9-28307FA015D6}"/>
    <cellStyle name="Normal 4 2 4 4 2 4 2" xfId="18722" xr:uid="{E2D901CF-0992-45D3-BD8E-EA441CED4C08}"/>
    <cellStyle name="Normal 4 2 4 4 2 5" xfId="10261" xr:uid="{68C1F7CD-FAE5-4AEA-970F-A11B8E2C4D7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2680A561-5BEE-4B17-AD61-9ACA21044568}"/>
    <cellStyle name="Normal 4 2 4 4 3 2 3" xfId="12819" xr:uid="{B50F4D71-DC56-4559-A156-D372552C76E9}"/>
    <cellStyle name="Normal 4 2 4 4 3 3" xfId="5565" xr:uid="{00000000-0005-0000-0000-0000AD130000}"/>
    <cellStyle name="Normal 4 2 4 4 3 3 2" xfId="14891" xr:uid="{D3480E82-E6DE-44CD-B3DC-4D30AA32213B}"/>
    <cellStyle name="Normal 4 2 4 4 3 4" xfId="10674" xr:uid="{0120E2F4-6038-41F6-97B3-E62727290C2E}"/>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C3CB1C27-D7AC-484A-BBD6-7F789039301A}"/>
    <cellStyle name="Normal 4 2 4 4 4 2 3" xfId="13232" xr:uid="{DAD977A5-EF11-48FC-BF8B-A248DE41A773}"/>
    <cellStyle name="Normal 4 2 4 4 4 3" xfId="5978" xr:uid="{00000000-0005-0000-0000-0000B1130000}"/>
    <cellStyle name="Normal 4 2 4 4 4 3 2" xfId="15304" xr:uid="{313C314E-1803-4F1E-9C74-B60A67EA9481}"/>
    <cellStyle name="Normal 4 2 4 4 4 4" xfId="11087" xr:uid="{9F10FC2F-946A-42A9-86E4-81B2046D445A}"/>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A24D9F00-250F-4737-8C4B-180F8F6507B4}"/>
    <cellStyle name="Normal 4 2 4 4 5 2 3" xfId="13645" xr:uid="{B625A49E-CB8C-4EC8-AABC-2F580E832B99}"/>
    <cellStyle name="Normal 4 2 4 4 5 3" xfId="6391" xr:uid="{00000000-0005-0000-0000-0000B5130000}"/>
    <cellStyle name="Normal 4 2 4 4 5 3 2" xfId="15717" xr:uid="{61022293-9553-4836-9698-674E69B33D0B}"/>
    <cellStyle name="Normal 4 2 4 4 5 4" xfId="11500" xr:uid="{24393BC7-FE9F-4FC4-8A5A-65CA5376676A}"/>
    <cellStyle name="Normal 4 2 4 4 6" xfId="2521" xr:uid="{00000000-0005-0000-0000-0000B6130000}"/>
    <cellStyle name="Normal 4 2 4 4 6 2" xfId="6804" xr:uid="{00000000-0005-0000-0000-0000B7130000}"/>
    <cellStyle name="Normal 4 2 4 4 6 2 2" xfId="16130" xr:uid="{D4FC0499-1A8F-4EB6-8940-936304754F6A}"/>
    <cellStyle name="Normal 4 2 4 4 6 3" xfId="11913" xr:uid="{B436B80D-6945-4227-A9C2-0A9778CE0759}"/>
    <cellStyle name="Normal 4 2 4 4 7" xfId="4739" xr:uid="{00000000-0005-0000-0000-0000B8130000}"/>
    <cellStyle name="Normal 4 2 4 4 7 2" xfId="14065" xr:uid="{B89754FE-3027-407B-A4D5-36E48E6E1346}"/>
    <cellStyle name="Normal 4 2 4 4 8" xfId="8982" xr:uid="{4C273C9B-E12E-4EF2-812F-666600229207}"/>
    <cellStyle name="Normal 4 2 4 4 8 2" xfId="18306" xr:uid="{3EFC8E23-E2CF-49BB-BDF4-0E1DDCA8FD50}"/>
    <cellStyle name="Normal 4 2 4 4 9" xfId="9848" xr:uid="{43AE8258-1417-4B5C-833A-C7788CD4B690}"/>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A8C6707D-7A3D-4CBC-86EE-E3D08195D644}"/>
    <cellStyle name="Normal 4 2 4 5 2 3" xfId="12399" xr:uid="{30C55256-4E45-4044-A822-D9FC005A2DF9}"/>
    <cellStyle name="Normal 4 2 4 5 3" xfId="5145" xr:uid="{00000000-0005-0000-0000-0000BC130000}"/>
    <cellStyle name="Normal 4 2 4 5 3 2" xfId="14471" xr:uid="{DBA15064-951D-462E-B7E0-E14D8C9B7F28}"/>
    <cellStyle name="Normal 4 2 4 5 4" xfId="9199" xr:uid="{1A9A2DC3-2FEA-4A30-A92C-84708E9B2741}"/>
    <cellStyle name="Normal 4 2 4 5 4 2" xfId="18515" xr:uid="{94428D6D-D437-4F55-AB25-51DDE22A1863}"/>
    <cellStyle name="Normal 4 2 4 5 5" xfId="10254" xr:uid="{F170ADFA-6A13-4135-83B2-851EBE000122}"/>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FF37D091-43DD-46DC-931A-6014A1679828}"/>
    <cellStyle name="Normal 4 2 4 6 2 3" xfId="12812" xr:uid="{8C04EF83-0C2D-4A9A-B7CC-65BF0518544F}"/>
    <cellStyle name="Normal 4 2 4 6 3" xfId="5558" xr:uid="{00000000-0005-0000-0000-0000C0130000}"/>
    <cellStyle name="Normal 4 2 4 6 3 2" xfId="14884" xr:uid="{7DA300FD-97E8-407D-88FC-896BD598AB94}"/>
    <cellStyle name="Normal 4 2 4 6 4" xfId="10667" xr:uid="{F14409DA-1FD0-445B-996F-274400049F10}"/>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51EB1118-E686-4A38-B67D-1E6DDAFA068D}"/>
    <cellStyle name="Normal 4 2 4 7 2 3" xfId="13225" xr:uid="{D65E8040-798B-41E7-A190-7A0B9EDFB396}"/>
    <cellStyle name="Normal 4 2 4 7 3" xfId="5971" xr:uid="{00000000-0005-0000-0000-0000C4130000}"/>
    <cellStyle name="Normal 4 2 4 7 3 2" xfId="15297" xr:uid="{7862EC0C-E3A3-4F79-87F0-3AD898096382}"/>
    <cellStyle name="Normal 4 2 4 7 4" xfId="11080" xr:uid="{9B28347A-A60D-425B-9DB4-41BBE5BA4A42}"/>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0063E672-6963-4FC6-9BEF-AFF335EED5E8}"/>
    <cellStyle name="Normal 4 2 4 8 2 3" xfId="13638" xr:uid="{F26F98D7-E2A4-4E60-9E71-F8E90340D40A}"/>
    <cellStyle name="Normal 4 2 4 8 3" xfId="6384" xr:uid="{00000000-0005-0000-0000-0000C8130000}"/>
    <cellStyle name="Normal 4 2 4 8 3 2" xfId="15710" xr:uid="{CC31AB11-C66A-4D2F-B9D4-06D673C66F31}"/>
    <cellStyle name="Normal 4 2 4 8 4" xfId="11493" xr:uid="{62F44B88-94D2-4871-BDAD-CC380951EF98}"/>
    <cellStyle name="Normal 4 2 4 9" xfId="2514" xr:uid="{00000000-0005-0000-0000-0000C9130000}"/>
    <cellStyle name="Normal 4 2 4 9 2" xfId="6797" xr:uid="{00000000-0005-0000-0000-0000CA130000}"/>
    <cellStyle name="Normal 4 2 4 9 2 2" xfId="16123" xr:uid="{4D300A0E-D44A-4EAB-881D-BE8D594CD706}"/>
    <cellStyle name="Normal 4 2 4 9 3" xfId="11906" xr:uid="{30090527-B512-40B5-A3B7-48F4AFBDB13F}"/>
    <cellStyle name="Normal 4 2 5" xfId="363" xr:uid="{00000000-0005-0000-0000-0000CB130000}"/>
    <cellStyle name="Normal 4 2 5 10" xfId="9849" xr:uid="{DCD7BD6E-0E01-4292-95A4-8DB2AD40787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465CF276-8998-40F0-A4E5-75A76BF3C0EA}"/>
    <cellStyle name="Normal 4 2 5 2 2 2 3" xfId="12408" xr:uid="{0BFFE0C1-44E5-4130-A0D2-DB626B4D57A0}"/>
    <cellStyle name="Normal 4 2 5 2 2 3" xfId="5154" xr:uid="{00000000-0005-0000-0000-0000D0130000}"/>
    <cellStyle name="Normal 4 2 5 2 2 3 2" xfId="14480" xr:uid="{EFF60C06-B682-4F5E-8CCE-BB34D86D78FD}"/>
    <cellStyle name="Normal 4 2 5 2 2 4" xfId="9478" xr:uid="{9FEAEEC2-067D-4244-BB0F-0858128140EB}"/>
    <cellStyle name="Normal 4 2 5 2 2 4 2" xfId="18793" xr:uid="{DD629C5A-90A1-494B-8EC4-B26BCAFBFD82}"/>
    <cellStyle name="Normal 4 2 5 2 2 5" xfId="10263" xr:uid="{1154DD9E-3078-4948-8DCA-1614D054F4CD}"/>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2A5DF11C-18DE-49C2-817D-D9DE74D084BB}"/>
    <cellStyle name="Normal 4 2 5 2 3 2 3" xfId="12821" xr:uid="{D5115CCF-5EE1-4B5B-99C4-4D4EFAC438B8}"/>
    <cellStyle name="Normal 4 2 5 2 3 3" xfId="5567" xr:uid="{00000000-0005-0000-0000-0000D4130000}"/>
    <cellStyle name="Normal 4 2 5 2 3 3 2" xfId="14893" xr:uid="{0ED4180F-6B74-4E34-930F-DA705F60E762}"/>
    <cellStyle name="Normal 4 2 5 2 3 4" xfId="10676" xr:uid="{78273F73-E9D8-4793-AC25-C1EB4394778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6021C8D3-0BFE-4295-852F-42C092913706}"/>
    <cellStyle name="Normal 4 2 5 2 4 2 3" xfId="13234" xr:uid="{03DBD1C6-5285-4F60-8AC0-9C17D3D3832D}"/>
    <cellStyle name="Normal 4 2 5 2 4 3" xfId="5980" xr:uid="{00000000-0005-0000-0000-0000D8130000}"/>
    <cellStyle name="Normal 4 2 5 2 4 3 2" xfId="15306" xr:uid="{72255E7A-82C5-495C-92D6-F0CE37EAC078}"/>
    <cellStyle name="Normal 4 2 5 2 4 4" xfId="11089" xr:uid="{529F4F61-4093-4BE7-AC83-67D1C79ACDEA}"/>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933832CF-4D40-4B60-8D43-1A2F52D224B4}"/>
    <cellStyle name="Normal 4 2 5 2 5 2 3" xfId="13647" xr:uid="{5CD1028E-573C-4CE1-8437-C8AAC95CCCE2}"/>
    <cellStyle name="Normal 4 2 5 2 5 3" xfId="6393" xr:uid="{00000000-0005-0000-0000-0000DC130000}"/>
    <cellStyle name="Normal 4 2 5 2 5 3 2" xfId="15719" xr:uid="{3EFB1B92-B300-4BEB-845C-03ECCD38BAD5}"/>
    <cellStyle name="Normal 4 2 5 2 5 4" xfId="11502" xr:uid="{D41B0FD7-2761-4690-9886-67CB92D34F26}"/>
    <cellStyle name="Normal 4 2 5 2 6" xfId="2523" xr:uid="{00000000-0005-0000-0000-0000DD130000}"/>
    <cellStyle name="Normal 4 2 5 2 6 2" xfId="6806" xr:uid="{00000000-0005-0000-0000-0000DE130000}"/>
    <cellStyle name="Normal 4 2 5 2 6 2 2" xfId="16132" xr:uid="{0D897C09-E572-4BA7-90C1-3BFD58B60EB2}"/>
    <cellStyle name="Normal 4 2 5 2 6 3" xfId="11915" xr:uid="{703AA65B-1356-42BD-9A12-4AD9C0D13E9B}"/>
    <cellStyle name="Normal 4 2 5 2 7" xfId="4741" xr:uid="{00000000-0005-0000-0000-0000DF130000}"/>
    <cellStyle name="Normal 4 2 5 2 7 2" xfId="14067" xr:uid="{C5F0CFE1-5D4D-4822-BFE4-B6A69EE41A9B}"/>
    <cellStyle name="Normal 4 2 5 2 8" xfId="9053" xr:uid="{0AE18A98-D9E6-47B9-86B0-DDAD3BC77B48}"/>
    <cellStyle name="Normal 4 2 5 2 8 2" xfId="18377" xr:uid="{EB2A6F3B-CA0F-4EA3-87A8-91F464878B06}"/>
    <cellStyle name="Normal 4 2 5 2 9" xfId="9850" xr:uid="{9667054E-1974-4B3F-B329-6636D61CD499}"/>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CEE33EDF-1AF5-4CE7-8BCA-EF3ED75AC396}"/>
    <cellStyle name="Normal 4 2 5 3 2 3" xfId="12407" xr:uid="{A511B424-0850-4EA4-B940-5A7E1011D38F}"/>
    <cellStyle name="Normal 4 2 5 3 3" xfId="5153" xr:uid="{00000000-0005-0000-0000-0000E3130000}"/>
    <cellStyle name="Normal 4 2 5 3 3 2" xfId="14479" xr:uid="{A2F29BCF-7945-4845-AB9E-254A77BC4EB5}"/>
    <cellStyle name="Normal 4 2 5 3 4" xfId="9271" xr:uid="{41AE7BB1-E3C7-48BD-B24F-55AE39E68BB6}"/>
    <cellStyle name="Normal 4 2 5 3 4 2" xfId="18586" xr:uid="{7AAD6E23-7E5A-4A17-A485-F26D389FDD75}"/>
    <cellStyle name="Normal 4 2 5 3 5" xfId="10262" xr:uid="{7697A5E0-B5DE-48FE-84B2-2A85269006D3}"/>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D9D3ECCC-BDAA-400E-933A-381E20B786E0}"/>
    <cellStyle name="Normal 4 2 5 4 2 3" xfId="12820" xr:uid="{322B830D-0645-4A5E-91E4-5A6B530A12CB}"/>
    <cellStyle name="Normal 4 2 5 4 3" xfId="5566" xr:uid="{00000000-0005-0000-0000-0000E7130000}"/>
    <cellStyle name="Normal 4 2 5 4 3 2" xfId="14892" xr:uid="{F17FBFB3-DA63-471F-B158-836BEF587408}"/>
    <cellStyle name="Normal 4 2 5 4 4" xfId="10675" xr:uid="{FC3A10BB-DF1D-42DE-821D-7470AEEEB99C}"/>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D2D2D873-3BB1-42D4-A43A-6477700B15BB}"/>
    <cellStyle name="Normal 4 2 5 5 2 3" xfId="13233" xr:uid="{ADA16DE3-77C9-4778-BCFC-DD948538A810}"/>
    <cellStyle name="Normal 4 2 5 5 3" xfId="5979" xr:uid="{00000000-0005-0000-0000-0000EB130000}"/>
    <cellStyle name="Normal 4 2 5 5 3 2" xfId="15305" xr:uid="{BFC6D228-E1CD-4B9E-81E7-94E13FD162FC}"/>
    <cellStyle name="Normal 4 2 5 5 4" xfId="11088" xr:uid="{6D8F5772-D1C5-4EEF-9565-BE7B92C7206D}"/>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ED3258E2-9EE6-400D-8FAE-3F46AD66980E}"/>
    <cellStyle name="Normal 4 2 5 6 2 3" xfId="13646" xr:uid="{F635074C-B5D0-4F53-B121-EF329D9AC308}"/>
    <cellStyle name="Normal 4 2 5 6 3" xfId="6392" xr:uid="{00000000-0005-0000-0000-0000EF130000}"/>
    <cellStyle name="Normal 4 2 5 6 3 2" xfId="15718" xr:uid="{89B183DB-2247-4CB0-B02F-DBB2E901C25D}"/>
    <cellStyle name="Normal 4 2 5 6 4" xfId="11501" xr:uid="{08632078-615A-4CF2-82D3-E0674D555571}"/>
    <cellStyle name="Normal 4 2 5 7" xfId="2522" xr:uid="{00000000-0005-0000-0000-0000F0130000}"/>
    <cellStyle name="Normal 4 2 5 7 2" xfId="6805" xr:uid="{00000000-0005-0000-0000-0000F1130000}"/>
    <cellStyle name="Normal 4 2 5 7 2 2" xfId="16131" xr:uid="{E0FA88F4-7290-4D4F-AC57-9B4C909046B8}"/>
    <cellStyle name="Normal 4 2 5 7 3" xfId="11914" xr:uid="{FAE94AFD-472D-4ACB-A387-28091E154C28}"/>
    <cellStyle name="Normal 4 2 5 8" xfId="4740" xr:uid="{00000000-0005-0000-0000-0000F2130000}"/>
    <cellStyle name="Normal 4 2 5 8 2" xfId="14066" xr:uid="{01C50FC0-D289-469F-91A8-AFEF7AC4D604}"/>
    <cellStyle name="Normal 4 2 5 9" xfId="8846" xr:uid="{C69C7E2D-02E8-4C87-9C63-A39D0E37A062}"/>
    <cellStyle name="Normal 4 2 5 9 2" xfId="18170" xr:uid="{E722289D-9E89-4423-BB4C-140E49901A5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814B407E-2280-4619-BC1C-46F60762FA1F}"/>
    <cellStyle name="Normal 4 2 6 2 2 3" xfId="12409" xr:uid="{852AE78F-D507-43BF-B90C-8266BFBCE726}"/>
    <cellStyle name="Normal 4 2 6 2 3" xfId="5155" xr:uid="{00000000-0005-0000-0000-0000F7130000}"/>
    <cellStyle name="Normal 4 2 6 2 3 2" xfId="14481" xr:uid="{4F7F716E-72EB-4C7A-82EA-3A1F0AC29743}"/>
    <cellStyle name="Normal 4 2 6 2 4" xfId="9387" xr:uid="{933EA8C7-37F7-4AF2-922A-47A5CB1A47BC}"/>
    <cellStyle name="Normal 4 2 6 2 4 2" xfId="18702" xr:uid="{C3950E6C-4E32-4C62-BE32-EC5FB9D44788}"/>
    <cellStyle name="Normal 4 2 6 2 5" xfId="10264" xr:uid="{CFA526CB-C5BC-42DD-819B-44CA6C0A3AFC}"/>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35A9226F-DD76-4BF4-9513-8D0FBA8F6082}"/>
    <cellStyle name="Normal 4 2 6 3 2 3" xfId="12822" xr:uid="{DABF5675-FE1D-4B66-8064-E76C5F64C64E}"/>
    <cellStyle name="Normal 4 2 6 3 3" xfId="5568" xr:uid="{00000000-0005-0000-0000-0000FB130000}"/>
    <cellStyle name="Normal 4 2 6 3 3 2" xfId="14894" xr:uid="{616C449B-EB45-4B31-86BA-5BF8E090986A}"/>
    <cellStyle name="Normal 4 2 6 3 4" xfId="10677" xr:uid="{7778DDF8-D12B-4A1F-9F0D-58BA967848BA}"/>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284FC8A4-14F4-46E2-B9F1-8EDBCAF04E0F}"/>
    <cellStyle name="Normal 4 2 6 4 2 3" xfId="13235" xr:uid="{05B40BD2-5AA4-4932-98FF-37CFA3E27408}"/>
    <cellStyle name="Normal 4 2 6 4 3" xfId="5981" xr:uid="{00000000-0005-0000-0000-0000FF130000}"/>
    <cellStyle name="Normal 4 2 6 4 3 2" xfId="15307" xr:uid="{D5A34CE6-1221-4C5D-9021-CDE94915274F}"/>
    <cellStyle name="Normal 4 2 6 4 4" xfId="11090" xr:uid="{A8FBE92C-7C27-4F60-9D56-AB802CEE3AC4}"/>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B1D8DFDF-5387-45C3-9C52-31DB8186393C}"/>
    <cellStyle name="Normal 4 2 6 5 2 3" xfId="13648" xr:uid="{8111D74F-BEB5-4B0E-B635-B19F28DACE26}"/>
    <cellStyle name="Normal 4 2 6 5 3" xfId="6394" xr:uid="{00000000-0005-0000-0000-000003140000}"/>
    <cellStyle name="Normal 4 2 6 5 3 2" xfId="15720" xr:uid="{56C5A24A-60E7-4E87-BEC3-1197DBE94398}"/>
    <cellStyle name="Normal 4 2 6 5 4" xfId="11503" xr:uid="{30026B4C-977E-4B0B-B46D-D39EE3DBE4EE}"/>
    <cellStyle name="Normal 4 2 6 6" xfId="2524" xr:uid="{00000000-0005-0000-0000-000004140000}"/>
    <cellStyle name="Normal 4 2 6 6 2" xfId="6807" xr:uid="{00000000-0005-0000-0000-000005140000}"/>
    <cellStyle name="Normal 4 2 6 6 2 2" xfId="16133" xr:uid="{64D181D8-3A62-412B-8FE3-C8E353A6FA7F}"/>
    <cellStyle name="Normal 4 2 6 6 3" xfId="11916" xr:uid="{72DE8996-CF5B-4EEC-B86F-DC43974D7EFA}"/>
    <cellStyle name="Normal 4 2 6 7" xfId="4742" xr:uid="{00000000-0005-0000-0000-000006140000}"/>
    <cellStyle name="Normal 4 2 6 7 2" xfId="14068" xr:uid="{D4FCB9A7-65C1-4FB7-BC39-7DD8A34F8778}"/>
    <cellStyle name="Normal 4 2 6 8" xfId="8962" xr:uid="{1A1596D6-3914-4465-A638-E540359059D2}"/>
    <cellStyle name="Normal 4 2 6 8 2" xfId="18286" xr:uid="{CF8DAB6E-C2C9-4497-9312-2B6D60BBA848}"/>
    <cellStyle name="Normal 4 2 6 9" xfId="9851" xr:uid="{2ABCC17E-8542-4B77-8581-AC5C498F8675}"/>
    <cellStyle name="Normal 4 2 7" xfId="9165" xr:uid="{6363F967-7399-442D-B2CE-00085FF7F1E8}"/>
    <cellStyle name="Normal 4 2 7 2" xfId="18483" xr:uid="{762A95AF-32E5-415F-B550-1A3863A75E54}"/>
    <cellStyle name="Normal 4 2 8" xfId="8743" xr:uid="{E2B8331F-47F9-4829-99C7-E05840A106B9}"/>
    <cellStyle name="Normal 4 2 8 2" xfId="18067" xr:uid="{A755CDF5-6DA4-48A2-8F6C-31265F36E621}"/>
    <cellStyle name="Normal 4 3" xfId="366" xr:uid="{00000000-0005-0000-0000-000007140000}"/>
    <cellStyle name="Normal 4 3 10" xfId="9852" xr:uid="{EE9104D7-98A5-4C54-BB2E-56C46758195F}"/>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9DC42DA3-BBCD-41CC-AE5B-4CED91E4F4B7}"/>
    <cellStyle name="Normal 4 3 2 2 2 11" xfId="9853" xr:uid="{C5B427AA-4EB9-4F2C-AF9A-D0B95D1C5F7E}"/>
    <cellStyle name="Normal 4 3 2 2 2 2" xfId="370" xr:uid="{00000000-0005-0000-0000-00000B140000}"/>
    <cellStyle name="Normal 4 3 2 2 2 2 10" xfId="9854" xr:uid="{B24E8012-7D85-4FAA-9C83-CD01DF4D8FB5}"/>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4430076B-D569-430B-A8C7-69AAA53D71E8}"/>
    <cellStyle name="Normal 4 3 2 2 2 2 2 2 2 3" xfId="12413" xr:uid="{E91A26C5-1A97-4975-979A-9A54382BA777}"/>
    <cellStyle name="Normal 4 3 2 2 2 2 2 2 3" xfId="5159" xr:uid="{00000000-0005-0000-0000-000010140000}"/>
    <cellStyle name="Normal 4 3 2 2 2 2 2 2 3 2" xfId="14485" xr:uid="{EF912E28-0D59-4CC1-ADB3-8E4604807456}"/>
    <cellStyle name="Normal 4 3 2 2 2 2 2 2 4" xfId="9557" xr:uid="{4F6BDD99-7BF1-4D2F-9EDC-4F75F1942DB4}"/>
    <cellStyle name="Normal 4 3 2 2 2 2 2 2 4 2" xfId="18872" xr:uid="{FAC3E72D-456A-4625-8E0D-D737BADE69BA}"/>
    <cellStyle name="Normal 4 3 2 2 2 2 2 2 5" xfId="10268" xr:uid="{C6A67E07-9988-4D0D-8D5D-98144E7A803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A0270C73-8318-414C-8C47-76A4D86DB317}"/>
    <cellStyle name="Normal 4 3 2 2 2 2 2 3 2 3" xfId="12826" xr:uid="{CE5C42D4-EC76-4942-B0AE-89CFFFF617F9}"/>
    <cellStyle name="Normal 4 3 2 2 2 2 2 3 3" xfId="5572" xr:uid="{00000000-0005-0000-0000-000014140000}"/>
    <cellStyle name="Normal 4 3 2 2 2 2 2 3 3 2" xfId="14898" xr:uid="{139210CF-A903-405F-8187-6249750EF8E1}"/>
    <cellStyle name="Normal 4 3 2 2 2 2 2 3 4" xfId="10681" xr:uid="{6FA39074-3471-4D99-A356-564C8FD49EC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E21FF032-F8A8-4A74-B5AE-7088503C87B1}"/>
    <cellStyle name="Normal 4 3 2 2 2 2 2 4 2 3" xfId="13239" xr:uid="{B41E7AF6-53B0-45D6-BA31-68C06C7AA9EA}"/>
    <cellStyle name="Normal 4 3 2 2 2 2 2 4 3" xfId="5985" xr:uid="{00000000-0005-0000-0000-000018140000}"/>
    <cellStyle name="Normal 4 3 2 2 2 2 2 4 3 2" xfId="15311" xr:uid="{721F52C7-D692-4B3B-9522-BE669C5D2DE0}"/>
    <cellStyle name="Normal 4 3 2 2 2 2 2 4 4" xfId="11094" xr:uid="{5A2FC285-D549-4527-BF50-81C425CA4E1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6C2CC117-DF3C-429C-B752-06D4AADE4EC6}"/>
    <cellStyle name="Normal 4 3 2 2 2 2 2 5 2 3" xfId="13652" xr:uid="{D02F1A20-7AB2-422C-8637-1142DB2B7C57}"/>
    <cellStyle name="Normal 4 3 2 2 2 2 2 5 3" xfId="6398" xr:uid="{00000000-0005-0000-0000-00001C140000}"/>
    <cellStyle name="Normal 4 3 2 2 2 2 2 5 3 2" xfId="15724" xr:uid="{41BC2CD9-2F8C-46F6-8F32-E55A8830D12C}"/>
    <cellStyle name="Normal 4 3 2 2 2 2 2 5 4" xfId="11507" xr:uid="{E8BE57B6-DBDE-440A-BE1F-EDADB87A922C}"/>
    <cellStyle name="Normal 4 3 2 2 2 2 2 6" xfId="2528" xr:uid="{00000000-0005-0000-0000-00001D140000}"/>
    <cellStyle name="Normal 4 3 2 2 2 2 2 6 2" xfId="6811" xr:uid="{00000000-0005-0000-0000-00001E140000}"/>
    <cellStyle name="Normal 4 3 2 2 2 2 2 6 2 2" xfId="16137" xr:uid="{4D3556CF-94F3-4E7F-B9DE-4E9589177F54}"/>
    <cellStyle name="Normal 4 3 2 2 2 2 2 6 3" xfId="11920" xr:uid="{ADD3DF01-2025-41EF-86B6-D9BF6736F39A}"/>
    <cellStyle name="Normal 4 3 2 2 2 2 2 7" xfId="4746" xr:uid="{00000000-0005-0000-0000-00001F140000}"/>
    <cellStyle name="Normal 4 3 2 2 2 2 2 7 2" xfId="14072" xr:uid="{B95F553D-0DEB-4CC0-8DE7-D8F5D5E13E24}"/>
    <cellStyle name="Normal 4 3 2 2 2 2 2 8" xfId="9132" xr:uid="{14F6ED12-EABF-4C82-AD59-55D351026913}"/>
    <cellStyle name="Normal 4 3 2 2 2 2 2 8 2" xfId="18456" xr:uid="{F40E74CE-C622-4794-90BB-4B71EBC06E68}"/>
    <cellStyle name="Normal 4 3 2 2 2 2 2 9" xfId="9855" xr:uid="{BE3D8440-B0A5-4260-BC23-5FDAD9D499F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5E2AFC5F-AD03-4B3F-90C9-408C5341C9A0}"/>
    <cellStyle name="Normal 4 3 2 2 2 2 3 2 3" xfId="12412" xr:uid="{7F775C71-C62B-4CFB-8FE1-536388CBD972}"/>
    <cellStyle name="Normal 4 3 2 2 2 2 3 3" xfId="5158" xr:uid="{00000000-0005-0000-0000-000023140000}"/>
    <cellStyle name="Normal 4 3 2 2 2 2 3 3 2" xfId="14484" xr:uid="{55AB1AFC-1657-4A56-AAC7-38FA08659048}"/>
    <cellStyle name="Normal 4 3 2 2 2 2 3 4" xfId="9350" xr:uid="{DFFEAFB7-A284-4FD9-B115-C19DA011CCC7}"/>
    <cellStyle name="Normal 4 3 2 2 2 2 3 4 2" xfId="18665" xr:uid="{34798562-FC5C-4E88-A3E0-499291D4B48C}"/>
    <cellStyle name="Normal 4 3 2 2 2 2 3 5" xfId="10267" xr:uid="{5AA0F690-B3A9-4FA3-B76D-3FD130C09AD1}"/>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43275963-7153-4309-9B02-C48BB9FC5ECD}"/>
    <cellStyle name="Normal 4 3 2 2 2 2 4 2 3" xfId="12825" xr:uid="{92CAE549-F2CE-467F-A9A2-F63117FDD15D}"/>
    <cellStyle name="Normal 4 3 2 2 2 2 4 3" xfId="5571" xr:uid="{00000000-0005-0000-0000-000027140000}"/>
    <cellStyle name="Normal 4 3 2 2 2 2 4 3 2" xfId="14897" xr:uid="{C1FF9A50-2BFA-48EC-820C-2EF6AAD806EC}"/>
    <cellStyle name="Normal 4 3 2 2 2 2 4 4" xfId="10680" xr:uid="{69BE43E5-A2EA-421E-A04F-EC7B9972DB36}"/>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7CBF6260-5210-433A-B626-686272EA170A}"/>
    <cellStyle name="Normal 4 3 2 2 2 2 5 2 3" xfId="13238" xr:uid="{8CA94183-0D0F-4114-9F5E-7454B85724BC}"/>
    <cellStyle name="Normal 4 3 2 2 2 2 5 3" xfId="5984" xr:uid="{00000000-0005-0000-0000-00002B140000}"/>
    <cellStyle name="Normal 4 3 2 2 2 2 5 3 2" xfId="15310" xr:uid="{B92E0ECE-8499-47DE-BADF-874B3E92D9B9}"/>
    <cellStyle name="Normal 4 3 2 2 2 2 5 4" xfId="11093" xr:uid="{006BB1F3-D826-403A-AAEF-1D8EA474AC27}"/>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329AD97F-512A-47FC-A313-63E58AA7D61C}"/>
    <cellStyle name="Normal 4 3 2 2 2 2 6 2 3" xfId="13651" xr:uid="{A3369EE5-B91A-4AA4-BF7B-F55F28E61345}"/>
    <cellStyle name="Normal 4 3 2 2 2 2 6 3" xfId="6397" xr:uid="{00000000-0005-0000-0000-00002F140000}"/>
    <cellStyle name="Normal 4 3 2 2 2 2 6 3 2" xfId="15723" xr:uid="{A7D2E013-6086-476C-9B33-E1618FEB25A7}"/>
    <cellStyle name="Normal 4 3 2 2 2 2 6 4" xfId="11506" xr:uid="{27F2FFFD-D4D5-4C0F-8F30-534A46B79DC3}"/>
    <cellStyle name="Normal 4 3 2 2 2 2 7" xfId="2527" xr:uid="{00000000-0005-0000-0000-000030140000}"/>
    <cellStyle name="Normal 4 3 2 2 2 2 7 2" xfId="6810" xr:uid="{00000000-0005-0000-0000-000031140000}"/>
    <cellStyle name="Normal 4 3 2 2 2 2 7 2 2" xfId="16136" xr:uid="{494E57E0-3EFE-45EE-9D65-C517E3F10C63}"/>
    <cellStyle name="Normal 4 3 2 2 2 2 7 3" xfId="11919" xr:uid="{1114FD0D-8E75-4AE4-95C6-0D2E844CD000}"/>
    <cellStyle name="Normal 4 3 2 2 2 2 8" xfId="4745" xr:uid="{00000000-0005-0000-0000-000032140000}"/>
    <cellStyle name="Normal 4 3 2 2 2 2 8 2" xfId="14071" xr:uid="{EC18B524-902D-485C-9364-19CD034A2918}"/>
    <cellStyle name="Normal 4 3 2 2 2 2 9" xfId="8925" xr:uid="{71BB8AFA-37D7-474D-A12B-C284DDE23CE9}"/>
    <cellStyle name="Normal 4 3 2 2 2 2 9 2" xfId="18249" xr:uid="{4C0CD4B7-6D82-4115-AB88-D64D663844A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D251D68B-CEC5-427A-B504-098B8292D5BC}"/>
    <cellStyle name="Normal 4 3 2 2 2 3 2 2 3" xfId="12414" xr:uid="{037E90B3-03CB-412D-AF21-ED30C0160881}"/>
    <cellStyle name="Normal 4 3 2 2 2 3 2 3" xfId="5160" xr:uid="{00000000-0005-0000-0000-000037140000}"/>
    <cellStyle name="Normal 4 3 2 2 2 3 2 3 2" xfId="14486" xr:uid="{89EE9DD3-0BB2-469E-BCF1-A0EF9E8724E7}"/>
    <cellStyle name="Normal 4 3 2 2 2 3 2 4" xfId="9454" xr:uid="{B81F5EAA-7D8E-43B5-94D7-313E66088BA5}"/>
    <cellStyle name="Normal 4 3 2 2 2 3 2 4 2" xfId="18769" xr:uid="{BB8C435E-602D-4C0F-89E8-2CBE5FE782EC}"/>
    <cellStyle name="Normal 4 3 2 2 2 3 2 5" xfId="10269" xr:uid="{DECC1B99-AA66-400B-ABD3-4A97865CA9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01536593-A596-49E0-9DE3-CC11FB35219B}"/>
    <cellStyle name="Normal 4 3 2 2 2 3 3 2 3" xfId="12827" xr:uid="{630427B7-1867-4B0F-8A22-C776A0F13145}"/>
    <cellStyle name="Normal 4 3 2 2 2 3 3 3" xfId="5573" xr:uid="{00000000-0005-0000-0000-00003B140000}"/>
    <cellStyle name="Normal 4 3 2 2 2 3 3 3 2" xfId="14899" xr:uid="{E43F9E90-51C0-4768-85D0-FC7A9710EDD2}"/>
    <cellStyle name="Normal 4 3 2 2 2 3 3 4" xfId="10682" xr:uid="{6D3D3587-10BF-4C57-80C5-59E1763C253E}"/>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8A05F6A6-A3BE-40EF-86AF-3376E90F94FB}"/>
    <cellStyle name="Normal 4 3 2 2 2 3 4 2 3" xfId="13240" xr:uid="{4894A22F-2189-4F57-A967-7A95B5ECD1EC}"/>
    <cellStyle name="Normal 4 3 2 2 2 3 4 3" xfId="5986" xr:uid="{00000000-0005-0000-0000-00003F140000}"/>
    <cellStyle name="Normal 4 3 2 2 2 3 4 3 2" xfId="15312" xr:uid="{F45FC375-32C2-4B5D-9F3F-787D62C99EAA}"/>
    <cellStyle name="Normal 4 3 2 2 2 3 4 4" xfId="11095" xr:uid="{2DD47868-CD28-41D6-A75B-6EF20E18137E}"/>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A2F8F1D7-9846-4BC9-89AF-337C9F1418DB}"/>
    <cellStyle name="Normal 4 3 2 2 2 3 5 2 3" xfId="13653" xr:uid="{D6C97F54-8C81-4188-BEDF-49348E6637C8}"/>
    <cellStyle name="Normal 4 3 2 2 2 3 5 3" xfId="6399" xr:uid="{00000000-0005-0000-0000-000043140000}"/>
    <cellStyle name="Normal 4 3 2 2 2 3 5 3 2" xfId="15725" xr:uid="{4D07339C-5726-40AB-A270-F0AD374AC268}"/>
    <cellStyle name="Normal 4 3 2 2 2 3 5 4" xfId="11508" xr:uid="{97D0AFB8-2BC3-4AEE-8F39-7BC1AEA92DA0}"/>
    <cellStyle name="Normal 4 3 2 2 2 3 6" xfId="2529" xr:uid="{00000000-0005-0000-0000-000044140000}"/>
    <cellStyle name="Normal 4 3 2 2 2 3 6 2" xfId="6812" xr:uid="{00000000-0005-0000-0000-000045140000}"/>
    <cellStyle name="Normal 4 3 2 2 2 3 6 2 2" xfId="16138" xr:uid="{EC3B3CDF-AA5B-4CB4-B15E-D0407B963B6B}"/>
    <cellStyle name="Normal 4 3 2 2 2 3 6 3" xfId="11921" xr:uid="{9175B708-D477-4E0B-B155-9BFE784514CA}"/>
    <cellStyle name="Normal 4 3 2 2 2 3 7" xfId="4747" xr:uid="{00000000-0005-0000-0000-000046140000}"/>
    <cellStyle name="Normal 4 3 2 2 2 3 7 2" xfId="14073" xr:uid="{2133BBE9-135F-4630-BAD3-2AA513E2C730}"/>
    <cellStyle name="Normal 4 3 2 2 2 3 8" xfId="9029" xr:uid="{CC421D7E-69EF-4D96-A95C-E67F046F8D14}"/>
    <cellStyle name="Normal 4 3 2 2 2 3 8 2" xfId="18353" xr:uid="{A18C1A82-1E34-4D42-8481-947E3B68ED1C}"/>
    <cellStyle name="Normal 4 3 2 2 2 3 9" xfId="9856" xr:uid="{A11CCB43-BC87-4647-831E-5CF9B74A6DCC}"/>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027ADBCA-DB19-424C-A688-E3989CFDB8C1}"/>
    <cellStyle name="Normal 4 3 2 2 2 4 2 3" xfId="12411" xr:uid="{6AF6C810-01C2-4AFA-A130-C7F6FC787C0E}"/>
    <cellStyle name="Normal 4 3 2 2 2 4 3" xfId="5157" xr:uid="{00000000-0005-0000-0000-00004A140000}"/>
    <cellStyle name="Normal 4 3 2 2 2 4 3 2" xfId="14483" xr:uid="{FE9014F9-6D85-4E33-99AC-BEF909BFA5D8}"/>
    <cellStyle name="Normal 4 3 2 2 2 4 4" xfId="9247" xr:uid="{70D9D224-DB0B-42B4-B4A9-BC88F455C395}"/>
    <cellStyle name="Normal 4 3 2 2 2 4 4 2" xfId="18562" xr:uid="{A17BB3A8-2C0A-4009-8F2E-9BB38D7E9494}"/>
    <cellStyle name="Normal 4 3 2 2 2 4 5" xfId="10266" xr:uid="{8ECD62E7-E26E-47C7-834B-10E0434EB81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0CDFAEFB-C7E4-4613-A5C6-6A05847DCFBE}"/>
    <cellStyle name="Normal 4 3 2 2 2 5 2 3" xfId="12824" xr:uid="{50D25324-312C-4EB7-912F-0D7381C18A48}"/>
    <cellStyle name="Normal 4 3 2 2 2 5 3" xfId="5570" xr:uid="{00000000-0005-0000-0000-00004E140000}"/>
    <cellStyle name="Normal 4 3 2 2 2 5 3 2" xfId="14896" xr:uid="{9119AF8F-8F61-4E9A-B7AF-F7AE73FEF394}"/>
    <cellStyle name="Normal 4 3 2 2 2 5 4" xfId="10679" xr:uid="{B0B5F3DC-C1F4-47B5-A410-FD7B2786FC65}"/>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FA654FBA-2937-45B2-8380-A83379884ABE}"/>
    <cellStyle name="Normal 4 3 2 2 2 6 2 3" xfId="13237" xr:uid="{03B4CC06-465B-4B90-805D-4C6EC29271D5}"/>
    <cellStyle name="Normal 4 3 2 2 2 6 3" xfId="5983" xr:uid="{00000000-0005-0000-0000-000052140000}"/>
    <cellStyle name="Normal 4 3 2 2 2 6 3 2" xfId="15309" xr:uid="{65BECBC3-3FA5-44D5-B1C1-AFB00323FD90}"/>
    <cellStyle name="Normal 4 3 2 2 2 6 4" xfId="11092" xr:uid="{0BB9E69E-5F7B-4D8E-AB8A-1CEEBB4BB0F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23D43968-D695-46CA-8B86-FFD41F88796E}"/>
    <cellStyle name="Normal 4 3 2 2 2 7 2 3" xfId="13650" xr:uid="{AA05CDA7-640E-4909-A295-474E2877CAFF}"/>
    <cellStyle name="Normal 4 3 2 2 2 7 3" xfId="6396" xr:uid="{00000000-0005-0000-0000-000056140000}"/>
    <cellStyle name="Normal 4 3 2 2 2 7 3 2" xfId="15722" xr:uid="{A47610B9-4D8B-4F35-838C-C5C0A735765C}"/>
    <cellStyle name="Normal 4 3 2 2 2 7 4" xfId="11505" xr:uid="{0145B76E-167D-4020-998F-5ADEF71E76EA}"/>
    <cellStyle name="Normal 4 3 2 2 2 8" xfId="2526" xr:uid="{00000000-0005-0000-0000-000057140000}"/>
    <cellStyle name="Normal 4 3 2 2 2 8 2" xfId="6809" xr:uid="{00000000-0005-0000-0000-000058140000}"/>
    <cellStyle name="Normal 4 3 2 2 2 8 2 2" xfId="16135" xr:uid="{1EE6BE1E-141C-44B2-B1AF-5F8DDB87DE00}"/>
    <cellStyle name="Normal 4 3 2 2 2 8 3" xfId="11918" xr:uid="{CDAEA31C-FF6D-453A-BFCC-D34890E171B0}"/>
    <cellStyle name="Normal 4 3 2 2 2 9" xfId="4744" xr:uid="{00000000-0005-0000-0000-000059140000}"/>
    <cellStyle name="Normal 4 3 2 2 2 9 2" xfId="14070" xr:uid="{EB41040D-DA6D-4E9E-AA20-4E53ADAE31F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1DA2C27D-8800-4DB8-B518-94AD1B42D58B}"/>
    <cellStyle name="Normal 4 3 3 11" xfId="9857" xr:uid="{3A089591-7ACA-4EF6-B60D-68EDF469AC68}"/>
    <cellStyle name="Normal 4 3 3 2" xfId="375" xr:uid="{00000000-0005-0000-0000-00005E140000}"/>
    <cellStyle name="Normal 4 3 3 2 10" xfId="9858" xr:uid="{4445CE3C-3030-4A72-A78F-90717F96891F}"/>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4BE718D2-3F8B-471E-AF39-8DC6000553A3}"/>
    <cellStyle name="Normal 4 3 3 2 2 2 2 3" xfId="12417" xr:uid="{F857D8EE-DDC5-435E-A6A1-3E22CDAC4BE4}"/>
    <cellStyle name="Normal 4 3 3 2 2 2 3" xfId="5163" xr:uid="{00000000-0005-0000-0000-000063140000}"/>
    <cellStyle name="Normal 4 3 3 2 2 2 3 2" xfId="14489" xr:uid="{91681892-3A67-4871-86AA-8481A281F3AA}"/>
    <cellStyle name="Normal 4 3 3 2 2 2 4" xfId="9556" xr:uid="{7233D5E9-9F1E-43FF-8391-DCCFDF8A705D}"/>
    <cellStyle name="Normal 4 3 3 2 2 2 4 2" xfId="18871" xr:uid="{B4E1661D-93D4-44F4-88CF-573D5DEBC708}"/>
    <cellStyle name="Normal 4 3 3 2 2 2 5" xfId="10272" xr:uid="{8680D3F2-B7EB-416B-8307-D3BF208017F9}"/>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B858F0E0-1522-4CD7-BA47-282881A3CE17}"/>
    <cellStyle name="Normal 4 3 3 2 2 3 2 3" xfId="12830" xr:uid="{66E8042A-B1F9-4BBC-A325-58CC57F72B86}"/>
    <cellStyle name="Normal 4 3 3 2 2 3 3" xfId="5576" xr:uid="{00000000-0005-0000-0000-000067140000}"/>
    <cellStyle name="Normal 4 3 3 2 2 3 3 2" xfId="14902" xr:uid="{62B84B17-D4E3-4C13-964F-44CB3C395151}"/>
    <cellStyle name="Normal 4 3 3 2 2 3 4" xfId="10685" xr:uid="{7E7635E8-240B-46B7-9C65-0629EE83CEAB}"/>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39807C5A-D355-4CF4-B0E0-7A235887D27A}"/>
    <cellStyle name="Normal 4 3 3 2 2 4 2 3" xfId="13243" xr:uid="{67F43309-80A8-4966-B7CD-853C034F9AD5}"/>
    <cellStyle name="Normal 4 3 3 2 2 4 3" xfId="5989" xr:uid="{00000000-0005-0000-0000-00006B140000}"/>
    <cellStyle name="Normal 4 3 3 2 2 4 3 2" xfId="15315" xr:uid="{0A07B2F3-BBDB-406D-AC4F-17F82676FD51}"/>
    <cellStyle name="Normal 4 3 3 2 2 4 4" xfId="11098" xr:uid="{30387259-4910-4074-B372-F2678856F09C}"/>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C72F3EEA-3316-4189-ABE0-232F287F21E5}"/>
    <cellStyle name="Normal 4 3 3 2 2 5 2 3" xfId="13656" xr:uid="{5F0F66F9-FDBB-46DE-9340-8C6C418800F7}"/>
    <cellStyle name="Normal 4 3 3 2 2 5 3" xfId="6402" xr:uid="{00000000-0005-0000-0000-00006F140000}"/>
    <cellStyle name="Normal 4 3 3 2 2 5 3 2" xfId="15728" xr:uid="{7AA5364B-96C5-4606-9A1A-D60CF8F57CEB}"/>
    <cellStyle name="Normal 4 3 3 2 2 5 4" xfId="11511" xr:uid="{3596245C-CC78-4A9E-8354-FAB5917AA0DA}"/>
    <cellStyle name="Normal 4 3 3 2 2 6" xfId="2532" xr:uid="{00000000-0005-0000-0000-000070140000}"/>
    <cellStyle name="Normal 4 3 3 2 2 6 2" xfId="6815" xr:uid="{00000000-0005-0000-0000-000071140000}"/>
    <cellStyle name="Normal 4 3 3 2 2 6 2 2" xfId="16141" xr:uid="{AA613E81-BCBB-4217-B508-2D472C20A02B}"/>
    <cellStyle name="Normal 4 3 3 2 2 6 3" xfId="11924" xr:uid="{C2351746-BE28-465C-B954-5CAE71AEBD8F}"/>
    <cellStyle name="Normal 4 3 3 2 2 7" xfId="4750" xr:uid="{00000000-0005-0000-0000-000072140000}"/>
    <cellStyle name="Normal 4 3 3 2 2 7 2" xfId="14076" xr:uid="{422AFAE4-A19C-4595-81D2-1514BA85F78D}"/>
    <cellStyle name="Normal 4 3 3 2 2 8" xfId="9131" xr:uid="{D7BA3B10-6765-4B57-99D1-3AF7343772F8}"/>
    <cellStyle name="Normal 4 3 3 2 2 8 2" xfId="18455" xr:uid="{288A3F46-A775-4AFF-96A0-BD02D6C91035}"/>
    <cellStyle name="Normal 4 3 3 2 2 9" xfId="9859" xr:uid="{BC7EB87E-9C58-4031-BC2D-82245E1BEA65}"/>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B4802813-5202-4F44-922D-42B66385F654}"/>
    <cellStyle name="Normal 4 3 3 2 3 2 3" xfId="12416" xr:uid="{EC26EE0E-CFE8-4CF8-B5D4-673B78CA7190}"/>
    <cellStyle name="Normal 4 3 3 2 3 3" xfId="5162" xr:uid="{00000000-0005-0000-0000-000076140000}"/>
    <cellStyle name="Normal 4 3 3 2 3 3 2" xfId="14488" xr:uid="{5C6E872C-A526-4014-A5A9-60AC4D48BF7D}"/>
    <cellStyle name="Normal 4 3 3 2 3 4" xfId="9349" xr:uid="{E498700C-D7AE-42FC-8EB1-59BA2C1BA6B9}"/>
    <cellStyle name="Normal 4 3 3 2 3 4 2" xfId="18664" xr:uid="{CA84D222-5379-4DA5-9EBC-5DFCFB4256A5}"/>
    <cellStyle name="Normal 4 3 3 2 3 5" xfId="10271" xr:uid="{248A34C4-7E91-4FC2-AB7B-4AF8E4E50225}"/>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AEF4C93C-75A8-4C9D-8918-0B6001A41697}"/>
    <cellStyle name="Normal 4 3 3 2 4 2 3" xfId="12829" xr:uid="{B9A9735F-1A00-4132-AE4E-B07029CF7014}"/>
    <cellStyle name="Normal 4 3 3 2 4 3" xfId="5575" xr:uid="{00000000-0005-0000-0000-00007A140000}"/>
    <cellStyle name="Normal 4 3 3 2 4 3 2" xfId="14901" xr:uid="{7A7FD1F3-7D64-40BC-9D99-F790E3745765}"/>
    <cellStyle name="Normal 4 3 3 2 4 4" xfId="10684" xr:uid="{D5471A07-AE15-4D3A-88E4-711EC5258E4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EC15F7C4-8256-4681-ABE0-334A05E0DE14}"/>
    <cellStyle name="Normal 4 3 3 2 5 2 3" xfId="13242" xr:uid="{FCC0147D-CC90-48C3-87FF-42EE0BD11A39}"/>
    <cellStyle name="Normal 4 3 3 2 5 3" xfId="5988" xr:uid="{00000000-0005-0000-0000-00007E140000}"/>
    <cellStyle name="Normal 4 3 3 2 5 3 2" xfId="15314" xr:uid="{E4315D06-639B-4195-8977-95C8F50DCA3C}"/>
    <cellStyle name="Normal 4 3 3 2 5 4" xfId="11097" xr:uid="{8C43FC25-B37F-4007-B933-5EE2DBC1576E}"/>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1B04590D-C8A1-4F0A-A661-47DF7EF1306C}"/>
    <cellStyle name="Normal 4 3 3 2 6 2 3" xfId="13655" xr:uid="{563A582C-F52A-4063-AF50-BD8BDE9DD010}"/>
    <cellStyle name="Normal 4 3 3 2 6 3" xfId="6401" xr:uid="{00000000-0005-0000-0000-000082140000}"/>
    <cellStyle name="Normal 4 3 3 2 6 3 2" xfId="15727" xr:uid="{FA1F7621-AAEE-41AE-8C00-87112AE7F7B9}"/>
    <cellStyle name="Normal 4 3 3 2 6 4" xfId="11510" xr:uid="{0E06B26F-A457-490E-8460-30CE23583D39}"/>
    <cellStyle name="Normal 4 3 3 2 7" xfId="2531" xr:uid="{00000000-0005-0000-0000-000083140000}"/>
    <cellStyle name="Normal 4 3 3 2 7 2" xfId="6814" xr:uid="{00000000-0005-0000-0000-000084140000}"/>
    <cellStyle name="Normal 4 3 3 2 7 2 2" xfId="16140" xr:uid="{D16D5844-45F7-4657-9D37-FEA88A039D1B}"/>
    <cellStyle name="Normal 4 3 3 2 7 3" xfId="11923" xr:uid="{D2B67638-A65D-4F26-B456-E28601524D18}"/>
    <cellStyle name="Normal 4 3 3 2 8" xfId="4749" xr:uid="{00000000-0005-0000-0000-000085140000}"/>
    <cellStyle name="Normal 4 3 3 2 8 2" xfId="14075" xr:uid="{FB24ABE9-85AD-4963-8899-1F046E57268B}"/>
    <cellStyle name="Normal 4 3 3 2 9" xfId="8924" xr:uid="{F9E914C5-63E8-4CB8-8EA1-7427CE35C4AA}"/>
    <cellStyle name="Normal 4 3 3 2 9 2" xfId="18248" xr:uid="{12BEA649-8CD1-46B0-8137-E36C65378773}"/>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B95C4CCB-5E64-41C2-A07C-AC6E8E41F612}"/>
    <cellStyle name="Normal 4 3 3 3 2 2 3" xfId="12418" xr:uid="{ABE42650-7495-4446-8D2F-915359F5B1C0}"/>
    <cellStyle name="Normal 4 3 3 3 2 3" xfId="5164" xr:uid="{00000000-0005-0000-0000-00008A140000}"/>
    <cellStyle name="Normal 4 3 3 3 2 3 2" xfId="14490" xr:uid="{22901B51-7F81-4AEC-A8F4-7B02E40E665E}"/>
    <cellStyle name="Normal 4 3 3 3 2 4" xfId="9453" xr:uid="{18D68920-503C-42C1-A733-EBE17DC6D008}"/>
    <cellStyle name="Normal 4 3 3 3 2 4 2" xfId="18768" xr:uid="{40D31A45-A0B0-4911-B051-717FEB821458}"/>
    <cellStyle name="Normal 4 3 3 3 2 5" xfId="10273" xr:uid="{5FC3276E-884A-44B6-8B57-6784C42A49F0}"/>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3873F8E0-473C-4661-85DD-C7EFCB5F69CE}"/>
    <cellStyle name="Normal 4 3 3 3 3 2 3" xfId="12831" xr:uid="{0F316D1E-F779-4F62-9ED6-21E61A13F9A1}"/>
    <cellStyle name="Normal 4 3 3 3 3 3" xfId="5577" xr:uid="{00000000-0005-0000-0000-00008E140000}"/>
    <cellStyle name="Normal 4 3 3 3 3 3 2" xfId="14903" xr:uid="{7EAE5276-F176-4C03-924A-1740915D5ED1}"/>
    <cellStyle name="Normal 4 3 3 3 3 4" xfId="10686" xr:uid="{FE8D7575-4DE9-44D3-84A3-1A979860CE9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D0E17A93-193C-46D9-9537-8BD16639FFB1}"/>
    <cellStyle name="Normal 4 3 3 3 4 2 3" xfId="13244" xr:uid="{15DD8B5D-1688-42E0-A1C7-7F7C8258B010}"/>
    <cellStyle name="Normal 4 3 3 3 4 3" xfId="5990" xr:uid="{00000000-0005-0000-0000-000092140000}"/>
    <cellStyle name="Normal 4 3 3 3 4 3 2" xfId="15316" xr:uid="{6715F2BF-E757-4D95-8672-34C93ABDCB40}"/>
    <cellStyle name="Normal 4 3 3 3 4 4" xfId="11099" xr:uid="{6B583194-F0FF-4EF7-B2A6-0FE4239928F6}"/>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C4FADEDC-C260-433C-A45D-835D5D2D9D6A}"/>
    <cellStyle name="Normal 4 3 3 3 5 2 3" xfId="13657" xr:uid="{F197D652-CD07-408F-995A-AAE3B81618D1}"/>
    <cellStyle name="Normal 4 3 3 3 5 3" xfId="6403" xr:uid="{00000000-0005-0000-0000-000096140000}"/>
    <cellStyle name="Normal 4 3 3 3 5 3 2" xfId="15729" xr:uid="{08238CFA-4EF1-47C3-8B2E-DD3685A68C0F}"/>
    <cellStyle name="Normal 4 3 3 3 5 4" xfId="11512" xr:uid="{FEB1E463-8B72-4F45-8822-0B45CF0430C9}"/>
    <cellStyle name="Normal 4 3 3 3 6" xfId="2533" xr:uid="{00000000-0005-0000-0000-000097140000}"/>
    <cellStyle name="Normal 4 3 3 3 6 2" xfId="6816" xr:uid="{00000000-0005-0000-0000-000098140000}"/>
    <cellStyle name="Normal 4 3 3 3 6 2 2" xfId="16142" xr:uid="{EBD67D67-8465-4AE8-B35D-C1838CAE1661}"/>
    <cellStyle name="Normal 4 3 3 3 6 3" xfId="11925" xr:uid="{7FBE7E4D-9603-4E8B-A7D0-1E2013161513}"/>
    <cellStyle name="Normal 4 3 3 3 7" xfId="4751" xr:uid="{00000000-0005-0000-0000-000099140000}"/>
    <cellStyle name="Normal 4 3 3 3 7 2" xfId="14077" xr:uid="{86B659D1-43DE-4A94-910C-9C02810B4B5F}"/>
    <cellStyle name="Normal 4 3 3 3 8" xfId="9028" xr:uid="{A0BD85BE-0D8B-455E-B326-708B8FF8A8C8}"/>
    <cellStyle name="Normal 4 3 3 3 8 2" xfId="18352" xr:uid="{B47A6B18-0189-4F3F-B641-61D4E9FD8794}"/>
    <cellStyle name="Normal 4 3 3 3 9" xfId="9860" xr:uid="{7FDC7648-3AF9-4D02-A8D7-CFB036ACD8E4}"/>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29BEF876-3585-4E2D-A07D-1A95F76D6123}"/>
    <cellStyle name="Normal 4 3 3 4 2 3" xfId="12415" xr:uid="{F39BFF90-DDE2-4259-989E-8ECF4526C4E1}"/>
    <cellStyle name="Normal 4 3 3 4 3" xfId="5161" xr:uid="{00000000-0005-0000-0000-00009D140000}"/>
    <cellStyle name="Normal 4 3 3 4 3 2" xfId="14487" xr:uid="{9BFE1FBF-C2B8-4DA9-8DB3-6521B28E077B}"/>
    <cellStyle name="Normal 4 3 3 4 4" xfId="9246" xr:uid="{E1107DA9-8F13-4216-80A2-CEA1D2EF57FC}"/>
    <cellStyle name="Normal 4 3 3 4 4 2" xfId="18561" xr:uid="{06D11B04-28C9-43AB-9A6C-291DDD30ED6B}"/>
    <cellStyle name="Normal 4 3 3 4 5" xfId="10270" xr:uid="{86F432D3-205D-4511-A293-D64CE4137079}"/>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227E117E-ADA1-4A37-B56A-8858C55CC5D1}"/>
    <cellStyle name="Normal 4 3 3 5 2 3" xfId="12828" xr:uid="{AAAA385C-60ED-47F6-A898-8A64BFE240FE}"/>
    <cellStyle name="Normal 4 3 3 5 3" xfId="5574" xr:uid="{00000000-0005-0000-0000-0000A1140000}"/>
    <cellStyle name="Normal 4 3 3 5 3 2" xfId="14900" xr:uid="{4F2FF1F3-E26E-48B6-B99E-C6FC73B1E449}"/>
    <cellStyle name="Normal 4 3 3 5 4" xfId="10683" xr:uid="{1373392D-8D70-455B-A1B2-AEF367A4E123}"/>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1A36FE30-1BFC-4A79-86BE-AA8A6DF19871}"/>
    <cellStyle name="Normal 4 3 3 6 2 3" xfId="13241" xr:uid="{38BB4E76-EF3B-46AC-B256-30ABE51BCE45}"/>
    <cellStyle name="Normal 4 3 3 6 3" xfId="5987" xr:uid="{00000000-0005-0000-0000-0000A5140000}"/>
    <cellStyle name="Normal 4 3 3 6 3 2" xfId="15313" xr:uid="{F54D9EF1-F2BA-4E53-8D45-1633C83D77A8}"/>
    <cellStyle name="Normal 4 3 3 6 4" xfId="11096" xr:uid="{FB164FA1-29AA-4C03-B5C6-75BCAD7DDCF0}"/>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5F50D8D8-F968-41B7-BEF2-86FC19D4F331}"/>
    <cellStyle name="Normal 4 3 3 7 2 3" xfId="13654" xr:uid="{356AD120-6338-42C6-8E52-3542E31057FE}"/>
    <cellStyle name="Normal 4 3 3 7 3" xfId="6400" xr:uid="{00000000-0005-0000-0000-0000A9140000}"/>
    <cellStyle name="Normal 4 3 3 7 3 2" xfId="15726" xr:uid="{73CC3F4C-686D-44D4-8226-9D73F8784F2F}"/>
    <cellStyle name="Normal 4 3 3 7 4" xfId="11509" xr:uid="{892696B4-467B-4298-99D1-B91CEC687AD9}"/>
    <cellStyle name="Normal 4 3 3 8" xfId="2530" xr:uid="{00000000-0005-0000-0000-0000AA140000}"/>
    <cellStyle name="Normal 4 3 3 8 2" xfId="6813" xr:uid="{00000000-0005-0000-0000-0000AB140000}"/>
    <cellStyle name="Normal 4 3 3 8 2 2" xfId="16139" xr:uid="{06444544-6AC5-4D1E-858D-39BBAB63C44C}"/>
    <cellStyle name="Normal 4 3 3 8 3" xfId="11922" xr:uid="{0BDB6495-4329-4C59-9DF7-A0746F710566}"/>
    <cellStyle name="Normal 4 3 3 9" xfId="4748" xr:uid="{00000000-0005-0000-0000-0000AC140000}"/>
    <cellStyle name="Normal 4 3 3 9 2" xfId="14074" xr:uid="{4B20F2D2-467D-4910-A5E2-3AE2408EFC52}"/>
    <cellStyle name="Normal 4 3 4" xfId="842" xr:uid="{00000000-0005-0000-0000-0000AD140000}"/>
    <cellStyle name="Normal 4 3 4 2" xfId="3079" xr:uid="{00000000-0005-0000-0000-0000AE140000}"/>
    <cellStyle name="Normal 4 3 4 2 2" xfId="7301" xr:uid="{00000000-0005-0000-0000-0000AF140000}"/>
    <cellStyle name="Normal 4 3 4 2 2 2" xfId="16627" xr:uid="{30CECC15-CFF9-47F7-8966-B48D8B5C6FC5}"/>
    <cellStyle name="Normal 4 3 4 2 3" xfId="12410" xr:uid="{C450E498-D5F3-4D25-935A-41FA037859D5}"/>
    <cellStyle name="Normal 4 3 4 3" xfId="5156" xr:uid="{00000000-0005-0000-0000-0000B0140000}"/>
    <cellStyle name="Normal 4 3 4 3 2" xfId="14482" xr:uid="{B7609B40-77BD-43FD-9FFC-C1F84B2EAE3B}"/>
    <cellStyle name="Normal 4 3 4 4" xfId="9608" xr:uid="{C2EFFD2B-01D5-4B2B-BD85-BB4245D6A35E}"/>
    <cellStyle name="Normal 4 3 4 4 2" xfId="18909" xr:uid="{CC7CBF8B-3B22-4247-ABF0-C4E50CE5D970}"/>
    <cellStyle name="Normal 4 3 4 5" xfId="10265" xr:uid="{EA715AA6-8EDC-4203-A5C9-E4A6318BAECE}"/>
    <cellStyle name="Normal 4 3 5" xfId="1262" xr:uid="{00000000-0005-0000-0000-0000B1140000}"/>
    <cellStyle name="Normal 4 3 5 2" xfId="3492" xr:uid="{00000000-0005-0000-0000-0000B2140000}"/>
    <cellStyle name="Normal 4 3 5 2 2" xfId="7714" xr:uid="{00000000-0005-0000-0000-0000B3140000}"/>
    <cellStyle name="Normal 4 3 5 2 2 2" xfId="17040" xr:uid="{9297B202-A878-4E96-9930-BB48CEC21176}"/>
    <cellStyle name="Normal 4 3 5 2 3" xfId="12823" xr:uid="{3A37D35E-348F-4443-A5C6-33BD2F06034E}"/>
    <cellStyle name="Normal 4 3 5 3" xfId="5569" xr:uid="{00000000-0005-0000-0000-0000B4140000}"/>
    <cellStyle name="Normal 4 3 5 3 2" xfId="14895" xr:uid="{DDF7BA4F-3924-4E35-8A57-12B0856555CA}"/>
    <cellStyle name="Normal 4 3 5 4" xfId="10678" xr:uid="{8D290590-E3CD-46A0-839F-E1906B80A755}"/>
    <cellStyle name="Normal 4 3 6" xfId="1675" xr:uid="{00000000-0005-0000-0000-0000B5140000}"/>
    <cellStyle name="Normal 4 3 6 2" xfId="3905" xr:uid="{00000000-0005-0000-0000-0000B6140000}"/>
    <cellStyle name="Normal 4 3 6 2 2" xfId="8127" xr:uid="{00000000-0005-0000-0000-0000B7140000}"/>
    <cellStyle name="Normal 4 3 6 2 2 2" xfId="17453" xr:uid="{06D4FF9E-D836-46C8-8233-14E944AAF703}"/>
    <cellStyle name="Normal 4 3 6 2 3" xfId="13236" xr:uid="{A64E9AA5-72F3-473C-9630-F90F6EAF44DD}"/>
    <cellStyle name="Normal 4 3 6 3" xfId="5982" xr:uid="{00000000-0005-0000-0000-0000B8140000}"/>
    <cellStyle name="Normal 4 3 6 3 2" xfId="15308" xr:uid="{2129CCBD-8FDE-40BC-9C35-1A50E99F5835}"/>
    <cellStyle name="Normal 4 3 6 4" xfId="11091" xr:uid="{7FA120A3-EF94-41C7-BF49-112907448E9B}"/>
    <cellStyle name="Normal 4 3 7" xfId="2089" xr:uid="{00000000-0005-0000-0000-0000B9140000}"/>
    <cellStyle name="Normal 4 3 7 2" xfId="4318" xr:uid="{00000000-0005-0000-0000-0000BA140000}"/>
    <cellStyle name="Normal 4 3 7 2 2" xfId="8540" xr:uid="{00000000-0005-0000-0000-0000BB140000}"/>
    <cellStyle name="Normal 4 3 7 2 2 2" xfId="17866" xr:uid="{ECC74A6C-7A2F-4F9E-9DC9-039E1AC6E9C7}"/>
    <cellStyle name="Normal 4 3 7 2 3" xfId="13649" xr:uid="{DF834739-8040-43E5-B503-D99E96818453}"/>
    <cellStyle name="Normal 4 3 7 3" xfId="6395" xr:uid="{00000000-0005-0000-0000-0000BC140000}"/>
    <cellStyle name="Normal 4 3 7 3 2" xfId="15721" xr:uid="{0EF15911-5ADA-4060-9341-D5C6819982A3}"/>
    <cellStyle name="Normal 4 3 7 4" xfId="11504" xr:uid="{5AA9128C-0822-44F2-BB87-652989EA93A7}"/>
    <cellStyle name="Normal 4 3 8" xfId="2525" xr:uid="{00000000-0005-0000-0000-0000BD140000}"/>
    <cellStyle name="Normal 4 3 8 2" xfId="6808" xr:uid="{00000000-0005-0000-0000-0000BE140000}"/>
    <cellStyle name="Normal 4 3 8 2 2" xfId="16134" xr:uid="{B95B6531-0A52-4C2B-858E-778B8C5BF755}"/>
    <cellStyle name="Normal 4 3 8 3" xfId="11917" xr:uid="{EB195651-573F-4D80-8B25-1DA5041839A3}"/>
    <cellStyle name="Normal 4 3 9" xfId="4743" xr:uid="{00000000-0005-0000-0000-0000BF140000}"/>
    <cellStyle name="Normal 4 3 9 2" xfId="14069" xr:uid="{35B88159-7C59-4261-A095-C42B0F4813E0}"/>
    <cellStyle name="Normal 4 4" xfId="378" xr:uid="{00000000-0005-0000-0000-0000C0140000}"/>
    <cellStyle name="Normal 4 4 10" xfId="2534" xr:uid="{00000000-0005-0000-0000-0000C1140000}"/>
    <cellStyle name="Normal 4 4 10 2" xfId="6817" xr:uid="{00000000-0005-0000-0000-0000C2140000}"/>
    <cellStyle name="Normal 4 4 10 2 2" xfId="16143" xr:uid="{59EBD611-39EE-46F5-B0DF-9A6A68473456}"/>
    <cellStyle name="Normal 4 4 10 3" xfId="11926" xr:uid="{3FA89A75-F64C-46A4-B89D-35FD967F8A3C}"/>
    <cellStyle name="Normal 4 4 11" xfId="4752" xr:uid="{00000000-0005-0000-0000-0000C3140000}"/>
    <cellStyle name="Normal 4 4 11 2" xfId="14078" xr:uid="{283700E4-9AE8-429C-BD99-17D2F6D38FB9}"/>
    <cellStyle name="Normal 4 4 12" xfId="8749" xr:uid="{A91736B6-873D-4B1A-8B29-18DC69E5E65F}"/>
    <cellStyle name="Normal 4 4 12 2" xfId="18073" xr:uid="{79A368E5-5E3C-475A-90BD-CF4349A6FD3A}"/>
    <cellStyle name="Normal 4 4 13" xfId="9861" xr:uid="{33B8F41D-A564-4AE4-9613-124FE22EB7E9}"/>
    <cellStyle name="Normal 4 4 2" xfId="379" xr:uid="{00000000-0005-0000-0000-0000C4140000}"/>
    <cellStyle name="Normal 4 4 2 10" xfId="4753" xr:uid="{00000000-0005-0000-0000-0000C5140000}"/>
    <cellStyle name="Normal 4 4 2 10 2" xfId="14079" xr:uid="{440D3B89-C6A8-4064-AB33-29737FEF2DF6}"/>
    <cellStyle name="Normal 4 4 2 11" xfId="8781" xr:uid="{12B8F0AD-1EB8-4D0A-9CAD-21DEEFEDAE41}"/>
    <cellStyle name="Normal 4 4 2 11 2" xfId="18105" xr:uid="{8956DBF1-832B-4D99-818D-9F560B8A981F}"/>
    <cellStyle name="Normal 4 4 2 12" xfId="9862" xr:uid="{95E138F9-F45B-4538-9E60-C23DC77077EA}"/>
    <cellStyle name="Normal 4 4 2 2" xfId="380" xr:uid="{00000000-0005-0000-0000-0000C6140000}"/>
    <cellStyle name="Normal 4 4 2 2 10" xfId="8824" xr:uid="{FF218EA8-00A9-476B-AA88-FBBBBED2D06B}"/>
    <cellStyle name="Normal 4 4 2 2 10 2" xfId="18148" xr:uid="{B65C5475-2E77-408D-AC6B-D1935F3931B9}"/>
    <cellStyle name="Normal 4 4 2 2 11" xfId="9863" xr:uid="{63D5D39D-6031-48B5-B050-42AF52373ADE}"/>
    <cellStyle name="Normal 4 4 2 2 2" xfId="381" xr:uid="{00000000-0005-0000-0000-0000C7140000}"/>
    <cellStyle name="Normal 4 4 2 2 2 10" xfId="9864" xr:uid="{3FCAF384-D391-486B-A899-77852ACDD0E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3C5DE101-D6A7-4611-ABF9-7DB5541D9166}"/>
    <cellStyle name="Normal 4 4 2 2 2 2 2 2 3" xfId="12423" xr:uid="{3961DF81-5777-42FE-803C-E93AD4682F20}"/>
    <cellStyle name="Normal 4 4 2 2 2 2 2 3" xfId="5169" xr:uid="{00000000-0005-0000-0000-0000CC140000}"/>
    <cellStyle name="Normal 4 4 2 2 2 2 2 3 2" xfId="14495" xr:uid="{C2CD4729-30F0-42F3-959A-9AB5043D90A0}"/>
    <cellStyle name="Normal 4 4 2 2 2 2 2 4" xfId="9559" xr:uid="{6E5E886C-D83F-47E6-AD2B-552CC2A98FD0}"/>
    <cellStyle name="Normal 4 4 2 2 2 2 2 4 2" xfId="18874" xr:uid="{816C3522-B813-4927-AA80-6959CDB124C7}"/>
    <cellStyle name="Normal 4 4 2 2 2 2 2 5" xfId="10278" xr:uid="{CB550F4E-A89A-450D-8763-10352DF0F51A}"/>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DEAC1178-CF40-4952-9669-6EAE362DBAC3}"/>
    <cellStyle name="Normal 4 4 2 2 2 2 3 2 3" xfId="12836" xr:uid="{18D8E6CB-CC5A-4CE3-95EC-ADA33FCB4870}"/>
    <cellStyle name="Normal 4 4 2 2 2 2 3 3" xfId="5582" xr:uid="{00000000-0005-0000-0000-0000D0140000}"/>
    <cellStyle name="Normal 4 4 2 2 2 2 3 3 2" xfId="14908" xr:uid="{B38E5496-4074-4D6B-8987-33901E62BD61}"/>
    <cellStyle name="Normal 4 4 2 2 2 2 3 4" xfId="10691" xr:uid="{3DA6FF19-4D51-4B57-8785-4C538696CA4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3B5112C3-98FC-4EF9-9C9C-86F79312FFA2}"/>
    <cellStyle name="Normal 4 4 2 2 2 2 4 2 3" xfId="13249" xr:uid="{F370346B-7903-4DB7-8957-4F4B877B7EA1}"/>
    <cellStyle name="Normal 4 4 2 2 2 2 4 3" xfId="5995" xr:uid="{00000000-0005-0000-0000-0000D4140000}"/>
    <cellStyle name="Normal 4 4 2 2 2 2 4 3 2" xfId="15321" xr:uid="{93A82F74-F020-4FFD-A623-9BA5173FE307}"/>
    <cellStyle name="Normal 4 4 2 2 2 2 4 4" xfId="11104" xr:uid="{B59747DF-4074-4BF0-A8A5-CBC715BC17B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7EC3731C-F91C-429E-8C04-6E44B616791E}"/>
    <cellStyle name="Normal 4 4 2 2 2 2 5 2 3" xfId="13662" xr:uid="{4CE38290-3012-4DBE-A79A-8A21C1CB6AEE}"/>
    <cellStyle name="Normal 4 4 2 2 2 2 5 3" xfId="6408" xr:uid="{00000000-0005-0000-0000-0000D8140000}"/>
    <cellStyle name="Normal 4 4 2 2 2 2 5 3 2" xfId="15734" xr:uid="{32AB142E-DD8E-4577-8F84-74E32CF8946E}"/>
    <cellStyle name="Normal 4 4 2 2 2 2 5 4" xfId="11517" xr:uid="{CA2DB96C-4C99-4AF8-A279-2B215D0BE4E6}"/>
    <cellStyle name="Normal 4 4 2 2 2 2 6" xfId="2538" xr:uid="{00000000-0005-0000-0000-0000D9140000}"/>
    <cellStyle name="Normal 4 4 2 2 2 2 6 2" xfId="6821" xr:uid="{00000000-0005-0000-0000-0000DA140000}"/>
    <cellStyle name="Normal 4 4 2 2 2 2 6 2 2" xfId="16147" xr:uid="{CF5F7C5F-76D1-4BB9-B187-F37BBEA138E8}"/>
    <cellStyle name="Normal 4 4 2 2 2 2 6 3" xfId="11930" xr:uid="{DAB7B62C-1D0E-47C8-983F-BD995E628BB2}"/>
    <cellStyle name="Normal 4 4 2 2 2 2 7" xfId="4756" xr:uid="{00000000-0005-0000-0000-0000DB140000}"/>
    <cellStyle name="Normal 4 4 2 2 2 2 7 2" xfId="14082" xr:uid="{E722C5E9-5E01-4B18-9083-8B150019CFFF}"/>
    <cellStyle name="Normal 4 4 2 2 2 2 8" xfId="9134" xr:uid="{B37D4C66-6754-4A5E-BFF7-77694E4355C2}"/>
    <cellStyle name="Normal 4 4 2 2 2 2 8 2" xfId="18458" xr:uid="{65950C92-26C7-4C09-BD06-AFCC95527F95}"/>
    <cellStyle name="Normal 4 4 2 2 2 2 9" xfId="9865" xr:uid="{C92297F4-AF27-4751-BD3E-824CF9EE7E3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7DB492C2-02B3-4C48-B06C-E1D4F69C7D33}"/>
    <cellStyle name="Normal 4 4 2 2 2 3 2 3" xfId="12422" xr:uid="{7F4AFF00-B3EB-48C3-9284-005117958104}"/>
    <cellStyle name="Normal 4 4 2 2 2 3 3" xfId="5168" xr:uid="{00000000-0005-0000-0000-0000DF140000}"/>
    <cellStyle name="Normal 4 4 2 2 2 3 3 2" xfId="14494" xr:uid="{91C019A4-6DF2-4C88-A632-5B2B4AD0E381}"/>
    <cellStyle name="Normal 4 4 2 2 2 3 4" xfId="9352" xr:uid="{76F31DA2-44D0-447F-BA9C-6271BA6AAE96}"/>
    <cellStyle name="Normal 4 4 2 2 2 3 4 2" xfId="18667" xr:uid="{DB50F8DB-7E87-4775-9AD5-59484A9CEE18}"/>
    <cellStyle name="Normal 4 4 2 2 2 3 5" xfId="10277" xr:uid="{D4DD3573-5257-4E7C-8818-18075E71F4DE}"/>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6C581B1E-AF52-4EE0-8E56-446AE88712A7}"/>
    <cellStyle name="Normal 4 4 2 2 2 4 2 3" xfId="12835" xr:uid="{06FDAF1E-725C-4018-805F-967DE0DDFA2C}"/>
    <cellStyle name="Normal 4 4 2 2 2 4 3" xfId="5581" xr:uid="{00000000-0005-0000-0000-0000E3140000}"/>
    <cellStyle name="Normal 4 4 2 2 2 4 3 2" xfId="14907" xr:uid="{501E3DAD-B6FC-4926-B5BA-0ED62BAA3568}"/>
    <cellStyle name="Normal 4 4 2 2 2 4 4" xfId="10690" xr:uid="{44757717-C1AE-4DE0-BF77-8B77EA011103}"/>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B504F49C-9470-4A23-BB30-BB8D8D4264C5}"/>
    <cellStyle name="Normal 4 4 2 2 2 5 2 3" xfId="13248" xr:uid="{47B02C6D-588C-4AAD-A447-09446F2430D1}"/>
    <cellStyle name="Normal 4 4 2 2 2 5 3" xfId="5994" xr:uid="{00000000-0005-0000-0000-0000E7140000}"/>
    <cellStyle name="Normal 4 4 2 2 2 5 3 2" xfId="15320" xr:uid="{2EABFFA5-940E-4156-A332-4C87B0288D96}"/>
    <cellStyle name="Normal 4 4 2 2 2 5 4" xfId="11103" xr:uid="{BD6A7D47-6A71-4EFE-8121-B248E7BD5F07}"/>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442BC48B-6486-474E-9C21-E46B9A595931}"/>
    <cellStyle name="Normal 4 4 2 2 2 6 2 3" xfId="13661" xr:uid="{03022ED8-0887-4EB9-A058-1FDB38C0518D}"/>
    <cellStyle name="Normal 4 4 2 2 2 6 3" xfId="6407" xr:uid="{00000000-0005-0000-0000-0000EB140000}"/>
    <cellStyle name="Normal 4 4 2 2 2 6 3 2" xfId="15733" xr:uid="{5B82848A-CE0A-40F2-9BB7-AB25E9BBA35A}"/>
    <cellStyle name="Normal 4 4 2 2 2 6 4" xfId="11516" xr:uid="{0684D333-C328-4355-A12A-1B78FE2FCAC4}"/>
    <cellStyle name="Normal 4 4 2 2 2 7" xfId="2537" xr:uid="{00000000-0005-0000-0000-0000EC140000}"/>
    <cellStyle name="Normal 4 4 2 2 2 7 2" xfId="6820" xr:uid="{00000000-0005-0000-0000-0000ED140000}"/>
    <cellStyle name="Normal 4 4 2 2 2 7 2 2" xfId="16146" xr:uid="{8515C1FD-2872-4467-960A-FB6EA94381AC}"/>
    <cellStyle name="Normal 4 4 2 2 2 7 3" xfId="11929" xr:uid="{05CAF675-C29F-415E-BC58-C35D181F3B6B}"/>
    <cellStyle name="Normal 4 4 2 2 2 8" xfId="4755" xr:uid="{00000000-0005-0000-0000-0000EE140000}"/>
    <cellStyle name="Normal 4 4 2 2 2 8 2" xfId="14081" xr:uid="{0500093F-0EEC-40D6-8FD4-45B1CAFD9DEF}"/>
    <cellStyle name="Normal 4 4 2 2 2 9" xfId="8927" xr:uid="{195B9197-F273-4D3B-B7A6-9CBAA360D528}"/>
    <cellStyle name="Normal 4 4 2 2 2 9 2" xfId="18251" xr:uid="{B4B91C30-D57C-4236-8BDA-1F743CB50B1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55B313CA-1BDD-4E63-A26D-4F83AB087607}"/>
    <cellStyle name="Normal 4 4 2 2 3 2 2 3" xfId="12424" xr:uid="{E55B6B39-00D2-4EBD-B432-42EF843AEB9A}"/>
    <cellStyle name="Normal 4 4 2 2 3 2 3" xfId="5170" xr:uid="{00000000-0005-0000-0000-0000F3140000}"/>
    <cellStyle name="Normal 4 4 2 2 3 2 3 2" xfId="14496" xr:uid="{DB7E95BD-AFAD-42EE-A38A-382FCB4AC7EE}"/>
    <cellStyle name="Normal 4 4 2 2 3 2 4" xfId="9456" xr:uid="{7CB0B972-68D8-4A2C-A3A7-1D2BD109E44A}"/>
    <cellStyle name="Normal 4 4 2 2 3 2 4 2" xfId="18771" xr:uid="{C5003FB3-A203-47C5-95A0-68068331C21E}"/>
    <cellStyle name="Normal 4 4 2 2 3 2 5" xfId="10279" xr:uid="{F9C81081-DC8A-43EE-9366-EE47DA4FC4E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B852FF0B-E4E9-4B07-A79D-4CF9AB0C9E4B}"/>
    <cellStyle name="Normal 4 4 2 2 3 3 2 3" xfId="12837" xr:uid="{C201C6A6-BF70-4CE8-B56B-2F438F126E9F}"/>
    <cellStyle name="Normal 4 4 2 2 3 3 3" xfId="5583" xr:uid="{00000000-0005-0000-0000-0000F7140000}"/>
    <cellStyle name="Normal 4 4 2 2 3 3 3 2" xfId="14909" xr:uid="{8CEEC659-571C-4954-9D38-89FDCA3E3104}"/>
    <cellStyle name="Normal 4 4 2 2 3 3 4" xfId="10692" xr:uid="{BB463B16-D232-4993-8768-8753BDDA4C01}"/>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44EA913F-F9CF-4B58-828E-6F674318C784}"/>
    <cellStyle name="Normal 4 4 2 2 3 4 2 3" xfId="13250" xr:uid="{35E51E4E-F900-42B6-B718-2CA939A5AE18}"/>
    <cellStyle name="Normal 4 4 2 2 3 4 3" xfId="5996" xr:uid="{00000000-0005-0000-0000-0000FB140000}"/>
    <cellStyle name="Normal 4 4 2 2 3 4 3 2" xfId="15322" xr:uid="{7BB780F0-02AD-40D7-B265-9393CEB60E72}"/>
    <cellStyle name="Normal 4 4 2 2 3 4 4" xfId="11105" xr:uid="{3F39A73D-C4A4-40E4-9262-1039A54E905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15167B58-4B12-4795-B60D-47B69726B30F}"/>
    <cellStyle name="Normal 4 4 2 2 3 5 2 3" xfId="13663" xr:uid="{9DDBB6FB-BC4B-44B1-AEA5-F4C337BF6999}"/>
    <cellStyle name="Normal 4 4 2 2 3 5 3" xfId="6409" xr:uid="{00000000-0005-0000-0000-0000FF140000}"/>
    <cellStyle name="Normal 4 4 2 2 3 5 3 2" xfId="15735" xr:uid="{AA22E4B7-F53D-4633-8D65-1512883ADA86}"/>
    <cellStyle name="Normal 4 4 2 2 3 5 4" xfId="11518" xr:uid="{A7A2BA88-1E7A-4F55-AA7E-C83BDC1C5C38}"/>
    <cellStyle name="Normal 4 4 2 2 3 6" xfId="2539" xr:uid="{00000000-0005-0000-0000-000000150000}"/>
    <cellStyle name="Normal 4 4 2 2 3 6 2" xfId="6822" xr:uid="{00000000-0005-0000-0000-000001150000}"/>
    <cellStyle name="Normal 4 4 2 2 3 6 2 2" xfId="16148" xr:uid="{045075E6-9A76-4A5E-A29B-66B2DE4E4277}"/>
    <cellStyle name="Normal 4 4 2 2 3 6 3" xfId="11931" xr:uid="{50E0BD05-033A-4F4E-87B5-B891615EC062}"/>
    <cellStyle name="Normal 4 4 2 2 3 7" xfId="4757" xr:uid="{00000000-0005-0000-0000-000002150000}"/>
    <cellStyle name="Normal 4 4 2 2 3 7 2" xfId="14083" xr:uid="{4A35054D-A519-4BA1-BA33-AE0046EE89B4}"/>
    <cellStyle name="Normal 4 4 2 2 3 8" xfId="9031" xr:uid="{F1B59444-328A-4279-8A0A-A9F7E26061D5}"/>
    <cellStyle name="Normal 4 4 2 2 3 8 2" xfId="18355" xr:uid="{A2315153-D441-4CB2-91F8-14508FEA4F1C}"/>
    <cellStyle name="Normal 4 4 2 2 3 9" xfId="9866" xr:uid="{5D048CAB-2DF4-4A08-8B74-32DCA04AC14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34A999BF-3E83-44F4-99F8-3039A96A06C1}"/>
    <cellStyle name="Normal 4 4 2 2 4 2 3" xfId="12421" xr:uid="{361B3EB2-C74E-4349-83C3-BEE2D852F9D2}"/>
    <cellStyle name="Normal 4 4 2 2 4 3" xfId="5167" xr:uid="{00000000-0005-0000-0000-000006150000}"/>
    <cellStyle name="Normal 4 4 2 2 4 3 2" xfId="14493" xr:uid="{C669E5A6-CE52-4833-9D4F-E103E2C8203C}"/>
    <cellStyle name="Normal 4 4 2 2 4 4" xfId="9249" xr:uid="{7E4CA7C7-738D-4CFA-907A-40590344548A}"/>
    <cellStyle name="Normal 4 4 2 2 4 4 2" xfId="18564" xr:uid="{F3FAD7EE-DE75-4E6C-9ADC-33427378026D}"/>
    <cellStyle name="Normal 4 4 2 2 4 5" xfId="10276" xr:uid="{DFD92111-6F04-4848-91EC-2BA737B8A20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6FA84D2E-447F-4414-85CD-84788920E0C3}"/>
    <cellStyle name="Normal 4 4 2 2 5 2 3" xfId="12834" xr:uid="{9C0D758D-B2DA-406A-8D3E-EC3DED9F4389}"/>
    <cellStyle name="Normal 4 4 2 2 5 3" xfId="5580" xr:uid="{00000000-0005-0000-0000-00000A150000}"/>
    <cellStyle name="Normal 4 4 2 2 5 3 2" xfId="14906" xr:uid="{6B20CFB3-EDC5-4541-842A-8DB6F880E1C7}"/>
    <cellStyle name="Normal 4 4 2 2 5 4" xfId="10689" xr:uid="{6C9D60CC-3749-4320-9D1F-3511419D8A6E}"/>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77368E60-DBD0-450E-963F-95AE227BB5BC}"/>
    <cellStyle name="Normal 4 4 2 2 6 2 3" xfId="13247" xr:uid="{B4804165-8B6B-4AA1-8FC4-5F7CC8A49251}"/>
    <cellStyle name="Normal 4 4 2 2 6 3" xfId="5993" xr:uid="{00000000-0005-0000-0000-00000E150000}"/>
    <cellStyle name="Normal 4 4 2 2 6 3 2" xfId="15319" xr:uid="{389978E0-87C0-49FE-929C-3F31A92254CC}"/>
    <cellStyle name="Normal 4 4 2 2 6 4" xfId="11102" xr:uid="{8B80863C-D422-42DF-93D3-75A678CFFBA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92504AC7-F24D-4802-A9CC-693D17C37157}"/>
    <cellStyle name="Normal 4 4 2 2 7 2 3" xfId="13660" xr:uid="{B3F866ED-A487-45A7-9A52-1A77F938294A}"/>
    <cellStyle name="Normal 4 4 2 2 7 3" xfId="6406" xr:uid="{00000000-0005-0000-0000-000012150000}"/>
    <cellStyle name="Normal 4 4 2 2 7 3 2" xfId="15732" xr:uid="{55D98CAF-8F27-4FEE-8ECF-67E8A4DD350A}"/>
    <cellStyle name="Normal 4 4 2 2 7 4" xfId="11515" xr:uid="{81B8E64F-17D3-4A24-8EA5-493C7F923689}"/>
    <cellStyle name="Normal 4 4 2 2 8" xfId="2536" xr:uid="{00000000-0005-0000-0000-000013150000}"/>
    <cellStyle name="Normal 4 4 2 2 8 2" xfId="6819" xr:uid="{00000000-0005-0000-0000-000014150000}"/>
    <cellStyle name="Normal 4 4 2 2 8 2 2" xfId="16145" xr:uid="{F85979E9-5BC6-44CC-87E7-AB137411509A}"/>
    <cellStyle name="Normal 4 4 2 2 8 3" xfId="11928" xr:uid="{BBDCCBF7-D688-4118-A211-43AD9F9699C3}"/>
    <cellStyle name="Normal 4 4 2 2 9" xfId="4754" xr:uid="{00000000-0005-0000-0000-000015150000}"/>
    <cellStyle name="Normal 4 4 2 2 9 2" xfId="14080" xr:uid="{0EFEB38B-E37E-4F68-8531-079253D4707F}"/>
    <cellStyle name="Normal 4 4 2 3" xfId="384" xr:uid="{00000000-0005-0000-0000-000016150000}"/>
    <cellStyle name="Normal 4 4 2 3 10" xfId="9867" xr:uid="{E303DCB2-29DF-4D0C-9640-8D539E8C6C6F}"/>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D4D4F01F-B433-449E-B5A4-985999613AD9}"/>
    <cellStyle name="Normal 4 4 2 3 2 2 2 3" xfId="12426" xr:uid="{7323755B-0D71-40C4-9E6B-81D9D1EA2CEF}"/>
    <cellStyle name="Normal 4 4 2 3 2 2 3" xfId="5172" xr:uid="{00000000-0005-0000-0000-00001B150000}"/>
    <cellStyle name="Normal 4 4 2 3 2 2 3 2" xfId="14498" xr:uid="{E215B1DD-3818-415A-8B2D-16AA744B39C1}"/>
    <cellStyle name="Normal 4 4 2 3 2 2 4" xfId="9516" xr:uid="{93008D3B-5827-4778-B167-5B518B5BF56F}"/>
    <cellStyle name="Normal 4 4 2 3 2 2 4 2" xfId="18831" xr:uid="{431E4665-1E1B-4C4F-BEAD-06043BB0BC2E}"/>
    <cellStyle name="Normal 4 4 2 3 2 2 5" xfId="10281" xr:uid="{E4F1D3B0-57D4-43B6-A829-4E3301AF19DB}"/>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F63293B7-2566-4A12-BBAD-AF7B9E845F50}"/>
    <cellStyle name="Normal 4 4 2 3 2 3 2 3" xfId="12839" xr:uid="{4142CCEE-4F3A-4CCF-9D12-384367EA707E}"/>
    <cellStyle name="Normal 4 4 2 3 2 3 3" xfId="5585" xr:uid="{00000000-0005-0000-0000-00001F150000}"/>
    <cellStyle name="Normal 4 4 2 3 2 3 3 2" xfId="14911" xr:uid="{8060C232-4649-4DDF-9790-FB60A3C99553}"/>
    <cellStyle name="Normal 4 4 2 3 2 3 4" xfId="10694" xr:uid="{CCBADE58-9971-4045-BD2E-EC7A121DB62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5303CB1A-CAA2-417D-92DA-ADD35FCF2BD7}"/>
    <cellStyle name="Normal 4 4 2 3 2 4 2 3" xfId="13252" xr:uid="{08A37905-FB4E-4324-B860-40DECCDFF8E4}"/>
    <cellStyle name="Normal 4 4 2 3 2 4 3" xfId="5998" xr:uid="{00000000-0005-0000-0000-000023150000}"/>
    <cellStyle name="Normal 4 4 2 3 2 4 3 2" xfId="15324" xr:uid="{1830D5F0-07EA-4655-B137-3E405C3553D7}"/>
    <cellStyle name="Normal 4 4 2 3 2 4 4" xfId="11107" xr:uid="{D8DE9106-609E-483C-AFC2-5A5F4F62D0D1}"/>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BE3E5F55-8D7E-4D69-A51B-3C4EB1AFD770}"/>
    <cellStyle name="Normal 4 4 2 3 2 5 2 3" xfId="13665" xr:uid="{F35B61F9-3412-4D85-9775-BF708FC2162A}"/>
    <cellStyle name="Normal 4 4 2 3 2 5 3" xfId="6411" xr:uid="{00000000-0005-0000-0000-000027150000}"/>
    <cellStyle name="Normal 4 4 2 3 2 5 3 2" xfId="15737" xr:uid="{37AAC2C4-4C53-4238-BA03-6D5349D2464C}"/>
    <cellStyle name="Normal 4 4 2 3 2 5 4" xfId="11520" xr:uid="{CB65DDF5-E3EE-46E0-9C98-D50132192D72}"/>
    <cellStyle name="Normal 4 4 2 3 2 6" xfId="2541" xr:uid="{00000000-0005-0000-0000-000028150000}"/>
    <cellStyle name="Normal 4 4 2 3 2 6 2" xfId="6824" xr:uid="{00000000-0005-0000-0000-000029150000}"/>
    <cellStyle name="Normal 4 4 2 3 2 6 2 2" xfId="16150" xr:uid="{7A470BA9-4823-4C09-B376-70E6B05F42DD}"/>
    <cellStyle name="Normal 4 4 2 3 2 6 3" xfId="11933" xr:uid="{71269CC9-FB49-47C1-8DEB-4C44BB603077}"/>
    <cellStyle name="Normal 4 4 2 3 2 7" xfId="4759" xr:uid="{00000000-0005-0000-0000-00002A150000}"/>
    <cellStyle name="Normal 4 4 2 3 2 7 2" xfId="14085" xr:uid="{9B5899CB-5620-470B-887D-37C9BE072E67}"/>
    <cellStyle name="Normal 4 4 2 3 2 8" xfId="9091" xr:uid="{9DBAED0A-05EE-4674-B1B7-8D03DBB53301}"/>
    <cellStyle name="Normal 4 4 2 3 2 8 2" xfId="18415" xr:uid="{C91084F0-D194-4AF9-9AC4-6AA75C753A43}"/>
    <cellStyle name="Normal 4 4 2 3 2 9" xfId="9868" xr:uid="{98ED1AAA-9289-4133-855A-479A4665AD06}"/>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1ED6AB56-DD0D-45A3-911A-305C16DB87FD}"/>
    <cellStyle name="Normal 4 4 2 3 3 2 3" xfId="12425" xr:uid="{63723BA3-0180-4607-ACAB-0BFFC6600253}"/>
    <cellStyle name="Normal 4 4 2 3 3 3" xfId="5171" xr:uid="{00000000-0005-0000-0000-00002E150000}"/>
    <cellStyle name="Normal 4 4 2 3 3 3 2" xfId="14497" xr:uid="{9400DB07-1AAA-4CE5-B776-C4D847FF7B13}"/>
    <cellStyle name="Normal 4 4 2 3 3 4" xfId="9309" xr:uid="{73E912F6-92AF-449E-AE53-1DEDEF686C0F}"/>
    <cellStyle name="Normal 4 4 2 3 3 4 2" xfId="18624" xr:uid="{FE273D4E-E7BA-476E-B488-A1F9C3127088}"/>
    <cellStyle name="Normal 4 4 2 3 3 5" xfId="10280" xr:uid="{C2D787CA-484D-4618-A8B5-964CCB853764}"/>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B13A918F-F7C5-41D6-923D-A13662FDDEE8}"/>
    <cellStyle name="Normal 4 4 2 3 4 2 3" xfId="12838" xr:uid="{BFF0DE4B-8D0F-475B-A329-38230BA13B57}"/>
    <cellStyle name="Normal 4 4 2 3 4 3" xfId="5584" xr:uid="{00000000-0005-0000-0000-000032150000}"/>
    <cellStyle name="Normal 4 4 2 3 4 3 2" xfId="14910" xr:uid="{1AF6DA82-A591-47C1-A9B6-93D15004B273}"/>
    <cellStyle name="Normal 4 4 2 3 4 4" xfId="10693" xr:uid="{3E421614-D71B-4E1F-A096-C58B189183B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FB942CDA-789E-4C01-B69E-6A8C047C3EC3}"/>
    <cellStyle name="Normal 4 4 2 3 5 2 3" xfId="13251" xr:uid="{7365216B-C2A6-48E8-817B-90425358511B}"/>
    <cellStyle name="Normal 4 4 2 3 5 3" xfId="5997" xr:uid="{00000000-0005-0000-0000-000036150000}"/>
    <cellStyle name="Normal 4 4 2 3 5 3 2" xfId="15323" xr:uid="{40CCE744-E2AE-4AE4-AFBF-C77938183989}"/>
    <cellStyle name="Normal 4 4 2 3 5 4" xfId="11106" xr:uid="{3355F8AA-0E35-486C-B164-FD6CCBBF053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119B2941-2A00-4483-90EE-EB4A8D2981AB}"/>
    <cellStyle name="Normal 4 4 2 3 6 2 3" xfId="13664" xr:uid="{7F4C0556-6127-4B2A-B670-108EAA6EE3C9}"/>
    <cellStyle name="Normal 4 4 2 3 6 3" xfId="6410" xr:uid="{00000000-0005-0000-0000-00003A150000}"/>
    <cellStyle name="Normal 4 4 2 3 6 3 2" xfId="15736" xr:uid="{96D4B195-9622-489E-9B9C-F0A2FD4A2443}"/>
    <cellStyle name="Normal 4 4 2 3 6 4" xfId="11519" xr:uid="{3FB1654C-A8E1-4EBD-9DFE-8331CC5A7A79}"/>
    <cellStyle name="Normal 4 4 2 3 7" xfId="2540" xr:uid="{00000000-0005-0000-0000-00003B150000}"/>
    <cellStyle name="Normal 4 4 2 3 7 2" xfId="6823" xr:uid="{00000000-0005-0000-0000-00003C150000}"/>
    <cellStyle name="Normal 4 4 2 3 7 2 2" xfId="16149" xr:uid="{0E3EB06F-D033-4466-A0E8-D47520611089}"/>
    <cellStyle name="Normal 4 4 2 3 7 3" xfId="11932" xr:uid="{092AA1ED-DC2F-4DFD-8C7D-3309243700A2}"/>
    <cellStyle name="Normal 4 4 2 3 8" xfId="4758" xr:uid="{00000000-0005-0000-0000-00003D150000}"/>
    <cellStyle name="Normal 4 4 2 3 8 2" xfId="14084" xr:uid="{522A17D7-BE7A-433F-9979-28151017DCDD}"/>
    <cellStyle name="Normal 4 4 2 3 9" xfId="8884" xr:uid="{CBA8CCC0-D2E2-46C8-AC83-39734599F615}"/>
    <cellStyle name="Normal 4 4 2 3 9 2" xfId="18208" xr:uid="{6A83D6A8-BBB5-4360-898B-58A1308AB557}"/>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9887B4B2-12F6-4B76-A06A-58BE06E473D7}"/>
    <cellStyle name="Normal 4 4 2 4 2 2 3" xfId="12427" xr:uid="{B2CA7D86-8B85-4660-A88B-DFC3E8583EF2}"/>
    <cellStyle name="Normal 4 4 2 4 2 3" xfId="5173" xr:uid="{00000000-0005-0000-0000-000042150000}"/>
    <cellStyle name="Normal 4 4 2 4 2 3 2" xfId="14499" xr:uid="{6D0BC18E-ED48-4A17-9443-CBCD6926B52F}"/>
    <cellStyle name="Normal 4 4 2 4 2 4" xfId="9413" xr:uid="{4DC092EA-7C69-4E02-9FE8-33F62D070F54}"/>
    <cellStyle name="Normal 4 4 2 4 2 4 2" xfId="18728" xr:uid="{A32EBD67-3842-4B14-AC34-D92FCDCE947C}"/>
    <cellStyle name="Normal 4 4 2 4 2 5" xfId="10282" xr:uid="{F2EF561A-D98B-4D20-A255-5DE89B2E0F9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D9D49B45-4954-4062-8F52-3620BAA105F9}"/>
    <cellStyle name="Normal 4 4 2 4 3 2 3" xfId="12840" xr:uid="{2ABA3116-D40B-422C-A924-D9AD9195B420}"/>
    <cellStyle name="Normal 4 4 2 4 3 3" xfId="5586" xr:uid="{00000000-0005-0000-0000-000046150000}"/>
    <cellStyle name="Normal 4 4 2 4 3 3 2" xfId="14912" xr:uid="{A639B8FE-DA7B-4169-ACA5-BE3F0E14D965}"/>
    <cellStyle name="Normal 4 4 2 4 3 4" xfId="10695" xr:uid="{C89712D4-1233-4290-B39C-3C42D3DF68F7}"/>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CC79BD54-7B3A-4F8B-B879-94C4448E1B9F}"/>
    <cellStyle name="Normal 4 4 2 4 4 2 3" xfId="13253" xr:uid="{3A677CE1-ED48-47BF-8591-B6E7ACB5911C}"/>
    <cellStyle name="Normal 4 4 2 4 4 3" xfId="5999" xr:uid="{00000000-0005-0000-0000-00004A150000}"/>
    <cellStyle name="Normal 4 4 2 4 4 3 2" xfId="15325" xr:uid="{5C545590-771E-4E2C-ACFB-CA09AEAB67E1}"/>
    <cellStyle name="Normal 4 4 2 4 4 4" xfId="11108" xr:uid="{A7646EF9-AFCB-4155-B469-641A99C865F4}"/>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72EABD1B-2F43-4988-A676-2D8E061516A0}"/>
    <cellStyle name="Normal 4 4 2 4 5 2 3" xfId="13666" xr:uid="{055B5841-6D4C-4F1C-9DDD-05109178F6E1}"/>
    <cellStyle name="Normal 4 4 2 4 5 3" xfId="6412" xr:uid="{00000000-0005-0000-0000-00004E150000}"/>
    <cellStyle name="Normal 4 4 2 4 5 3 2" xfId="15738" xr:uid="{149ECBAE-3AE7-419E-8BC3-60A08F6482B3}"/>
    <cellStyle name="Normal 4 4 2 4 5 4" xfId="11521" xr:uid="{C8510FFE-3AED-4731-BCEC-DD4B69E18B44}"/>
    <cellStyle name="Normal 4 4 2 4 6" xfId="2542" xr:uid="{00000000-0005-0000-0000-00004F150000}"/>
    <cellStyle name="Normal 4 4 2 4 6 2" xfId="6825" xr:uid="{00000000-0005-0000-0000-000050150000}"/>
    <cellStyle name="Normal 4 4 2 4 6 2 2" xfId="16151" xr:uid="{4E2F96F3-D73C-4760-AC11-874173BE2B28}"/>
    <cellStyle name="Normal 4 4 2 4 6 3" xfId="11934" xr:uid="{C8ADD994-101C-4B9D-AF88-9799A65C26E2}"/>
    <cellStyle name="Normal 4 4 2 4 7" xfId="4760" xr:uid="{00000000-0005-0000-0000-000051150000}"/>
    <cellStyle name="Normal 4 4 2 4 7 2" xfId="14086" xr:uid="{401E0775-89DF-4713-9692-0F218D394569}"/>
    <cellStyle name="Normal 4 4 2 4 8" xfId="8988" xr:uid="{F852E7B0-7ACD-4401-B3B6-BE989A5C8AD5}"/>
    <cellStyle name="Normal 4 4 2 4 8 2" xfId="18312" xr:uid="{3B97AA79-CF78-469F-ABFE-ACA48B921EF2}"/>
    <cellStyle name="Normal 4 4 2 4 9" xfId="9869" xr:uid="{88A6FF91-AABA-49CD-8E9A-F7319CBB09AF}"/>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B4080619-34E2-4EFC-BFE8-4A1D08261AEA}"/>
    <cellStyle name="Normal 4 4 2 5 2 3" xfId="12420" xr:uid="{FCA251EF-7835-4213-9416-699D3E42444D}"/>
    <cellStyle name="Normal 4 4 2 5 3" xfId="5166" xr:uid="{00000000-0005-0000-0000-000055150000}"/>
    <cellStyle name="Normal 4 4 2 5 3 2" xfId="14492" xr:uid="{1D4463E1-BA58-44CE-8E2A-E69505B3CA0D}"/>
    <cellStyle name="Normal 4 4 2 5 4" xfId="9205" xr:uid="{A63DE01D-3EC8-40FC-A47E-E0EA001EED52}"/>
    <cellStyle name="Normal 4 4 2 5 4 2" xfId="18521" xr:uid="{75C95550-9250-44DF-A685-BF7FF1AEBF8B}"/>
    <cellStyle name="Normal 4 4 2 5 5" xfId="10275" xr:uid="{FD32BAE8-0591-4819-890E-5DFFDFCD54EB}"/>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69300DF9-D549-4B30-98FD-068AEC61DF7C}"/>
    <cellStyle name="Normal 4 4 2 6 2 3" xfId="12833" xr:uid="{C490823B-9A8B-4649-A313-82D81571F395}"/>
    <cellStyle name="Normal 4 4 2 6 3" xfId="5579" xr:uid="{00000000-0005-0000-0000-000059150000}"/>
    <cellStyle name="Normal 4 4 2 6 3 2" xfId="14905" xr:uid="{12109AD9-917E-4527-A828-A03786D06646}"/>
    <cellStyle name="Normal 4 4 2 6 4" xfId="10688" xr:uid="{8F38E5F3-7449-49F6-80E8-6144083EC6F1}"/>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156F051D-486A-46EB-B7B2-C076D51EB394}"/>
    <cellStyle name="Normal 4 4 2 7 2 3" xfId="13246" xr:uid="{22D56F72-67A2-4D80-AE53-239787DE6D00}"/>
    <cellStyle name="Normal 4 4 2 7 3" xfId="5992" xr:uid="{00000000-0005-0000-0000-00005D150000}"/>
    <cellStyle name="Normal 4 4 2 7 3 2" xfId="15318" xr:uid="{61FCAC2C-72A7-43C8-8CD4-4F79B8A778D1}"/>
    <cellStyle name="Normal 4 4 2 7 4" xfId="11101" xr:uid="{FDAEE869-9317-4F24-9B50-F9CBE555F711}"/>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1D018415-E246-4914-94CF-EA50ECD1A98A}"/>
    <cellStyle name="Normal 4 4 2 8 2 3" xfId="13659" xr:uid="{DB37AC0C-2ADF-4FF2-9CBD-38714EAD98ED}"/>
    <cellStyle name="Normal 4 4 2 8 3" xfId="6405" xr:uid="{00000000-0005-0000-0000-000061150000}"/>
    <cellStyle name="Normal 4 4 2 8 3 2" xfId="15731" xr:uid="{E3650CB1-C6A5-4D4C-8BC8-230998A92300}"/>
    <cellStyle name="Normal 4 4 2 8 4" xfId="11514" xr:uid="{AE1269D8-89A6-4903-BCE2-4EB1A180AEA6}"/>
    <cellStyle name="Normal 4 4 2 9" xfId="2535" xr:uid="{00000000-0005-0000-0000-000062150000}"/>
    <cellStyle name="Normal 4 4 2 9 2" xfId="6818" xr:uid="{00000000-0005-0000-0000-000063150000}"/>
    <cellStyle name="Normal 4 4 2 9 2 2" xfId="16144" xr:uid="{248FC245-4C42-4A00-8E73-AB1DD97DF2F7}"/>
    <cellStyle name="Normal 4 4 2 9 3" xfId="11927" xr:uid="{69953109-10FB-448C-86A0-BB34E7AEFFE0}"/>
    <cellStyle name="Normal 4 4 3" xfId="387" xr:uid="{00000000-0005-0000-0000-000064150000}"/>
    <cellStyle name="Normal 4 4 3 10" xfId="8823" xr:uid="{E623F102-F69B-4FD0-BEDA-A1480AF4D892}"/>
    <cellStyle name="Normal 4 4 3 10 2" xfId="18147" xr:uid="{F59A6B56-24C2-4BB6-AA4B-A4571BE98383}"/>
    <cellStyle name="Normal 4 4 3 11" xfId="9870" xr:uid="{2EAFA8DD-C70B-4F73-8297-B561F41BC363}"/>
    <cellStyle name="Normal 4 4 3 2" xfId="388" xr:uid="{00000000-0005-0000-0000-000065150000}"/>
    <cellStyle name="Normal 4 4 3 2 10" xfId="9871" xr:uid="{FB8713CA-3964-43D1-8DF6-72543801D09D}"/>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AA210AF5-8133-41BC-BDA2-A5EF032483D5}"/>
    <cellStyle name="Normal 4 4 3 2 2 2 2 3" xfId="12430" xr:uid="{DBB71515-CAF3-432F-BDF6-FB67A03E476F}"/>
    <cellStyle name="Normal 4 4 3 2 2 2 3" xfId="5176" xr:uid="{00000000-0005-0000-0000-00006A150000}"/>
    <cellStyle name="Normal 4 4 3 2 2 2 3 2" xfId="14502" xr:uid="{DEECF369-CC2B-4F73-B42A-AA923E5D78D6}"/>
    <cellStyle name="Normal 4 4 3 2 2 2 4" xfId="9558" xr:uid="{8C9519E6-5920-473D-9749-EC61E4877632}"/>
    <cellStyle name="Normal 4 4 3 2 2 2 4 2" xfId="18873" xr:uid="{87590246-2829-4319-BD0A-E8DE9650D2D9}"/>
    <cellStyle name="Normal 4 4 3 2 2 2 5" xfId="10285" xr:uid="{923AAEC3-2D8A-4E04-B037-5B9E47F92E77}"/>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BEFC7945-7FE3-480A-8E8A-AC616E8C6C9A}"/>
    <cellStyle name="Normal 4 4 3 2 2 3 2 3" xfId="12843" xr:uid="{A047D177-E02B-47E4-8201-91DCAE6D2643}"/>
    <cellStyle name="Normal 4 4 3 2 2 3 3" xfId="5589" xr:uid="{00000000-0005-0000-0000-00006E150000}"/>
    <cellStyle name="Normal 4 4 3 2 2 3 3 2" xfId="14915" xr:uid="{6ABAA5D6-6087-483D-B349-BB3B2EF2BA95}"/>
    <cellStyle name="Normal 4 4 3 2 2 3 4" xfId="10698" xr:uid="{907F91E2-7642-4BFA-B30A-992243E3A71B}"/>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E2AB20C3-3E8E-4697-89B8-6E7FAE4D4AED}"/>
    <cellStyle name="Normal 4 4 3 2 2 4 2 3" xfId="13256" xr:uid="{FF831728-7DFC-4DEF-A889-BC950C31DDF2}"/>
    <cellStyle name="Normal 4 4 3 2 2 4 3" xfId="6002" xr:uid="{00000000-0005-0000-0000-000072150000}"/>
    <cellStyle name="Normal 4 4 3 2 2 4 3 2" xfId="15328" xr:uid="{B4DC3F31-C320-4B09-A03E-893CB28B756C}"/>
    <cellStyle name="Normal 4 4 3 2 2 4 4" xfId="11111" xr:uid="{733066B6-D41E-4F9D-A8F2-B48D854101CC}"/>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E6660E65-95BA-4F87-B84B-E3F7578B67E5}"/>
    <cellStyle name="Normal 4 4 3 2 2 5 2 3" xfId="13669" xr:uid="{AB385682-B0C8-4149-803E-B52242F3C37E}"/>
    <cellStyle name="Normal 4 4 3 2 2 5 3" xfId="6415" xr:uid="{00000000-0005-0000-0000-000076150000}"/>
    <cellStyle name="Normal 4 4 3 2 2 5 3 2" xfId="15741" xr:uid="{C3F7167F-3DED-44DC-901F-429729687A12}"/>
    <cellStyle name="Normal 4 4 3 2 2 5 4" xfId="11524" xr:uid="{F9DD5F55-A5A7-41AA-B545-49C1A73CBD6D}"/>
    <cellStyle name="Normal 4 4 3 2 2 6" xfId="2545" xr:uid="{00000000-0005-0000-0000-000077150000}"/>
    <cellStyle name="Normal 4 4 3 2 2 6 2" xfId="6828" xr:uid="{00000000-0005-0000-0000-000078150000}"/>
    <cellStyle name="Normal 4 4 3 2 2 6 2 2" xfId="16154" xr:uid="{464C0A1C-ADAE-4751-99B2-059F53FEA3C7}"/>
    <cellStyle name="Normal 4 4 3 2 2 6 3" xfId="11937" xr:uid="{B86A013F-CA45-40AB-A312-4C9712FE0E1A}"/>
    <cellStyle name="Normal 4 4 3 2 2 7" xfId="4763" xr:uid="{00000000-0005-0000-0000-000079150000}"/>
    <cellStyle name="Normal 4 4 3 2 2 7 2" xfId="14089" xr:uid="{6A78769E-3121-43C2-8DC7-9ECC87030BBB}"/>
    <cellStyle name="Normal 4 4 3 2 2 8" xfId="9133" xr:uid="{37002A66-D58A-4EF9-8D22-8F1A3EE99E08}"/>
    <cellStyle name="Normal 4 4 3 2 2 8 2" xfId="18457" xr:uid="{7AEBA9C4-F50D-4E83-BE8C-27BAEFDE7DDB}"/>
    <cellStyle name="Normal 4 4 3 2 2 9" xfId="9872" xr:uid="{45FA5392-1440-48C5-B93B-D5472FF9F9C4}"/>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F37C08E0-C15C-42C9-A200-F338119463B9}"/>
    <cellStyle name="Normal 4 4 3 2 3 2 3" xfId="12429" xr:uid="{85E888F5-F710-402F-ABD7-753304CF467E}"/>
    <cellStyle name="Normal 4 4 3 2 3 3" xfId="5175" xr:uid="{00000000-0005-0000-0000-00007D150000}"/>
    <cellStyle name="Normal 4 4 3 2 3 3 2" xfId="14501" xr:uid="{08E76607-1398-473B-8C82-32074E3E634C}"/>
    <cellStyle name="Normal 4 4 3 2 3 4" xfId="9351" xr:uid="{51AD2B95-755A-411D-AA40-98381F5D8294}"/>
    <cellStyle name="Normal 4 4 3 2 3 4 2" xfId="18666" xr:uid="{57C71666-CD27-4157-A762-7DE6778F016B}"/>
    <cellStyle name="Normal 4 4 3 2 3 5" xfId="10284" xr:uid="{64FE269E-65D4-4DB5-A986-19B97BA969DB}"/>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5C09C2D0-98AD-47E6-B61F-277D0D375593}"/>
    <cellStyle name="Normal 4 4 3 2 4 2 3" xfId="12842" xr:uid="{323378D3-B3E3-4447-813F-245052BC2D67}"/>
    <cellStyle name="Normal 4 4 3 2 4 3" xfId="5588" xr:uid="{00000000-0005-0000-0000-000081150000}"/>
    <cellStyle name="Normal 4 4 3 2 4 3 2" xfId="14914" xr:uid="{8F05B93B-AB72-477D-AB33-380065573206}"/>
    <cellStyle name="Normal 4 4 3 2 4 4" xfId="10697" xr:uid="{CE53BA7C-1D2B-4390-B69E-FEAE415B5DF8}"/>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81094E11-D231-4308-88E7-8CA73A9B9E4F}"/>
    <cellStyle name="Normal 4 4 3 2 5 2 3" xfId="13255" xr:uid="{4F799B6C-A1EB-4A45-AA41-CB1799F19D3B}"/>
    <cellStyle name="Normal 4 4 3 2 5 3" xfId="6001" xr:uid="{00000000-0005-0000-0000-000085150000}"/>
    <cellStyle name="Normal 4 4 3 2 5 3 2" xfId="15327" xr:uid="{6598201F-2E95-4E5B-ABA6-75B39F96AE85}"/>
    <cellStyle name="Normal 4 4 3 2 5 4" xfId="11110" xr:uid="{20D0691C-00BB-49EF-A8F6-AF182A2BC2E3}"/>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1552A75-613C-4CE0-957B-024C96ECCA69}"/>
    <cellStyle name="Normal 4 4 3 2 6 2 3" xfId="13668" xr:uid="{2FF572DF-547E-403F-88BE-99DB9D7B5A1F}"/>
    <cellStyle name="Normal 4 4 3 2 6 3" xfId="6414" xr:uid="{00000000-0005-0000-0000-000089150000}"/>
    <cellStyle name="Normal 4 4 3 2 6 3 2" xfId="15740" xr:uid="{ED21C3F6-E0ED-492C-99DE-CE274A726E4E}"/>
    <cellStyle name="Normal 4 4 3 2 6 4" xfId="11523" xr:uid="{F7BD69DA-01EF-41D8-BA75-2545699E749B}"/>
    <cellStyle name="Normal 4 4 3 2 7" xfId="2544" xr:uid="{00000000-0005-0000-0000-00008A150000}"/>
    <cellStyle name="Normal 4 4 3 2 7 2" xfId="6827" xr:uid="{00000000-0005-0000-0000-00008B150000}"/>
    <cellStyle name="Normal 4 4 3 2 7 2 2" xfId="16153" xr:uid="{BCBFC7B6-E756-448A-8093-BDB42E676A39}"/>
    <cellStyle name="Normal 4 4 3 2 7 3" xfId="11936" xr:uid="{2DF37C1E-764C-4C88-B540-99118C4CF7F3}"/>
    <cellStyle name="Normal 4 4 3 2 8" xfId="4762" xr:uid="{00000000-0005-0000-0000-00008C150000}"/>
    <cellStyle name="Normal 4 4 3 2 8 2" xfId="14088" xr:uid="{33990967-123B-4AE4-BF9B-89CB05B5485C}"/>
    <cellStyle name="Normal 4 4 3 2 9" xfId="8926" xr:uid="{821D1F47-EF8D-4C64-BA70-5606A81A57B5}"/>
    <cellStyle name="Normal 4 4 3 2 9 2" xfId="18250" xr:uid="{4C7D95B4-FB40-4855-B997-62DB709D9899}"/>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46F38338-6F52-4790-ADE2-DD6587FDB747}"/>
    <cellStyle name="Normal 4 4 3 3 2 2 3" xfId="12431" xr:uid="{CBA83F64-5ADF-45E4-992F-184556F8887F}"/>
    <cellStyle name="Normal 4 4 3 3 2 3" xfId="5177" xr:uid="{00000000-0005-0000-0000-000091150000}"/>
    <cellStyle name="Normal 4 4 3 3 2 3 2" xfId="14503" xr:uid="{2D1AC72A-D401-4742-BDDF-0D32082F727A}"/>
    <cellStyle name="Normal 4 4 3 3 2 4" xfId="9455" xr:uid="{E39EB3A2-D99A-426C-AFEC-E4C90C85BE02}"/>
    <cellStyle name="Normal 4 4 3 3 2 4 2" xfId="18770" xr:uid="{4F2FB36E-9756-4DD2-8D66-9AFE18B6C715}"/>
    <cellStyle name="Normal 4 4 3 3 2 5" xfId="10286" xr:uid="{D5AE5CAD-C31D-4ABE-927E-76CC75EA077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B188076-9092-4AF4-BEAD-6989605EA247}"/>
    <cellStyle name="Normal 4 4 3 3 3 2 3" xfId="12844" xr:uid="{792AFD6B-79D6-4662-BD92-AC59B9682407}"/>
    <cellStyle name="Normal 4 4 3 3 3 3" xfId="5590" xr:uid="{00000000-0005-0000-0000-000095150000}"/>
    <cellStyle name="Normal 4 4 3 3 3 3 2" xfId="14916" xr:uid="{35CA973C-562D-46DD-8E92-D424E5269687}"/>
    <cellStyle name="Normal 4 4 3 3 3 4" xfId="10699" xr:uid="{0F525C3F-2E76-40FD-BE4F-CDC9C5E8A93C}"/>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F6ABFA09-296D-4327-BBC4-4174FDF1BF7D}"/>
    <cellStyle name="Normal 4 4 3 3 4 2 3" xfId="13257" xr:uid="{114B9C6B-0AFC-4ABC-8325-7A60B7FA3323}"/>
    <cellStyle name="Normal 4 4 3 3 4 3" xfId="6003" xr:uid="{00000000-0005-0000-0000-000099150000}"/>
    <cellStyle name="Normal 4 4 3 3 4 3 2" xfId="15329" xr:uid="{5C8C9B23-69DE-4787-A28C-3218DB74042A}"/>
    <cellStyle name="Normal 4 4 3 3 4 4" xfId="11112" xr:uid="{DFFBC36B-5E87-47C5-9181-F1AF2D9CFFBF}"/>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761B59CF-5CA3-4B9D-9E57-CD78B0104AB5}"/>
    <cellStyle name="Normal 4 4 3 3 5 2 3" xfId="13670" xr:uid="{57273687-31A0-4B70-8848-A18AEC7FBDAE}"/>
    <cellStyle name="Normal 4 4 3 3 5 3" xfId="6416" xr:uid="{00000000-0005-0000-0000-00009D150000}"/>
    <cellStyle name="Normal 4 4 3 3 5 3 2" xfId="15742" xr:uid="{4F455E49-238C-49C8-B392-E8EF05F98D54}"/>
    <cellStyle name="Normal 4 4 3 3 5 4" xfId="11525" xr:uid="{8C1F5D05-EF72-4EFE-919C-D1AA0D1473DA}"/>
    <cellStyle name="Normal 4 4 3 3 6" xfId="2546" xr:uid="{00000000-0005-0000-0000-00009E150000}"/>
    <cellStyle name="Normal 4 4 3 3 6 2" xfId="6829" xr:uid="{00000000-0005-0000-0000-00009F150000}"/>
    <cellStyle name="Normal 4 4 3 3 6 2 2" xfId="16155" xr:uid="{8AD8FC43-437A-43EF-AD0B-66CAF3C4E178}"/>
    <cellStyle name="Normal 4 4 3 3 6 3" xfId="11938" xr:uid="{98D7C5C4-EE4E-46B2-8BA1-041102ED3BE7}"/>
    <cellStyle name="Normal 4 4 3 3 7" xfId="4764" xr:uid="{00000000-0005-0000-0000-0000A0150000}"/>
    <cellStyle name="Normal 4 4 3 3 7 2" xfId="14090" xr:uid="{85310866-A4F0-48A3-B6EA-F08A7923F157}"/>
    <cellStyle name="Normal 4 4 3 3 8" xfId="9030" xr:uid="{F975DAAD-4546-4770-9976-5C5C66DA227B}"/>
    <cellStyle name="Normal 4 4 3 3 8 2" xfId="18354" xr:uid="{10337284-FD55-422A-862F-69647A3E0787}"/>
    <cellStyle name="Normal 4 4 3 3 9" xfId="9873" xr:uid="{2F9ACAA0-8478-497B-8D0D-2DC5E738FBF3}"/>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15BDD8AC-683E-490B-92E9-85C6A6E1C3BF}"/>
    <cellStyle name="Normal 4 4 3 4 2 3" xfId="12428" xr:uid="{1DF8356D-7A8D-404B-94D7-D1499CB9AAA3}"/>
    <cellStyle name="Normal 4 4 3 4 3" xfId="5174" xr:uid="{00000000-0005-0000-0000-0000A4150000}"/>
    <cellStyle name="Normal 4 4 3 4 3 2" xfId="14500" xr:uid="{D40447F4-ED7E-460E-A2BA-F7221ADC471C}"/>
    <cellStyle name="Normal 4 4 3 4 4" xfId="9248" xr:uid="{6C5F877B-48E6-47C2-B849-E53F373D5A86}"/>
    <cellStyle name="Normal 4 4 3 4 4 2" xfId="18563" xr:uid="{996FE6B2-F0BE-4BCA-83D5-39ACA42C8251}"/>
    <cellStyle name="Normal 4 4 3 4 5" xfId="10283" xr:uid="{093D0A26-C33B-46C1-9017-7D7981B72B13}"/>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7645AE27-94EA-4669-A26D-BA1416925A6E}"/>
    <cellStyle name="Normal 4 4 3 5 2 3" xfId="12841" xr:uid="{F2107A61-3482-4425-81DC-CEC91DECD21D}"/>
    <cellStyle name="Normal 4 4 3 5 3" xfId="5587" xr:uid="{00000000-0005-0000-0000-0000A8150000}"/>
    <cellStyle name="Normal 4 4 3 5 3 2" xfId="14913" xr:uid="{90B163EF-3928-4A6B-A8DF-2C855346EA01}"/>
    <cellStyle name="Normal 4 4 3 5 4" xfId="10696" xr:uid="{BAFE1A50-0FAC-4608-8257-60FF9501920D}"/>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856CF321-C5A6-4771-BEE6-799BA0B76A0A}"/>
    <cellStyle name="Normal 4 4 3 6 2 3" xfId="13254" xr:uid="{ABD0615E-85FC-4B37-8362-8388F0CF58DC}"/>
    <cellStyle name="Normal 4 4 3 6 3" xfId="6000" xr:uid="{00000000-0005-0000-0000-0000AC150000}"/>
    <cellStyle name="Normal 4 4 3 6 3 2" xfId="15326" xr:uid="{26110C43-120D-4DDA-AA8D-7D0BDAA40D85}"/>
    <cellStyle name="Normal 4 4 3 6 4" xfId="11109" xr:uid="{82800FD6-3BEE-494D-853B-AC1EBB359535}"/>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56072212-D5B3-43EC-830F-7839DB41BC2E}"/>
    <cellStyle name="Normal 4 4 3 7 2 3" xfId="13667" xr:uid="{8C35BDBE-C506-4912-8ECE-2895C4F89A3D}"/>
    <cellStyle name="Normal 4 4 3 7 3" xfId="6413" xr:uid="{00000000-0005-0000-0000-0000B0150000}"/>
    <cellStyle name="Normal 4 4 3 7 3 2" xfId="15739" xr:uid="{29F10D50-3C4B-4B9F-B3B0-B232F21D4811}"/>
    <cellStyle name="Normal 4 4 3 7 4" xfId="11522" xr:uid="{685312BF-4645-498A-94F3-07BEC9F7D890}"/>
    <cellStyle name="Normal 4 4 3 8" xfId="2543" xr:uid="{00000000-0005-0000-0000-0000B1150000}"/>
    <cellStyle name="Normal 4 4 3 8 2" xfId="6826" xr:uid="{00000000-0005-0000-0000-0000B2150000}"/>
    <cellStyle name="Normal 4 4 3 8 2 2" xfId="16152" xr:uid="{CE7E8C44-D9BC-4EB4-9648-ACA7A74AD19F}"/>
    <cellStyle name="Normal 4 4 3 8 3" xfId="11935" xr:uid="{A0068078-BE7A-4BF8-A177-681111408472}"/>
    <cellStyle name="Normal 4 4 3 9" xfId="4761" xr:uid="{00000000-0005-0000-0000-0000B3150000}"/>
    <cellStyle name="Normal 4 4 3 9 2" xfId="14087" xr:uid="{87A7B791-6EE8-410D-BEB4-F488281A47D6}"/>
    <cellStyle name="Normal 4 4 4" xfId="391" xr:uid="{00000000-0005-0000-0000-0000B4150000}"/>
    <cellStyle name="Normal 4 4 4 10" xfId="9874" xr:uid="{2E66A181-C651-4330-B286-F6C2CAEC90B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5C7CFAB5-515C-4C13-9255-8A79481140A7}"/>
    <cellStyle name="Normal 4 4 4 2 2 2 3" xfId="12433" xr:uid="{0D1570B4-CB91-4DDB-AF62-ECF6DBB69D0E}"/>
    <cellStyle name="Normal 4 4 4 2 2 3" xfId="5179" xr:uid="{00000000-0005-0000-0000-0000B9150000}"/>
    <cellStyle name="Normal 4 4 4 2 2 3 2" xfId="14505" xr:uid="{E0CB3F64-E752-42AA-B14F-11851E580DE8}"/>
    <cellStyle name="Normal 4 4 4 2 2 4" xfId="9484" xr:uid="{69910E0C-08C8-41C5-A6FC-61B52F6CD538}"/>
    <cellStyle name="Normal 4 4 4 2 2 4 2" xfId="18799" xr:uid="{68CC0587-A7E1-43E0-B550-F881C36A0E73}"/>
    <cellStyle name="Normal 4 4 4 2 2 5" xfId="10288" xr:uid="{CB2CC8F4-0FE7-4501-A81E-1A0DC417DD1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2060D51B-C693-415B-B90B-834A5A137844}"/>
    <cellStyle name="Normal 4 4 4 2 3 2 3" xfId="12846" xr:uid="{0C22D2B2-AE50-4E04-B06C-ED430786D7C5}"/>
    <cellStyle name="Normal 4 4 4 2 3 3" xfId="5592" xr:uid="{00000000-0005-0000-0000-0000BD150000}"/>
    <cellStyle name="Normal 4 4 4 2 3 3 2" xfId="14918" xr:uid="{4FC4FBB1-7FE2-4B70-B64A-1DCD71070BEB}"/>
    <cellStyle name="Normal 4 4 4 2 3 4" xfId="10701" xr:uid="{1F7ED5AB-9546-4A87-B901-9E8977C77E4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4CE01CAF-6B5E-4D39-9944-F050ECBDBBAD}"/>
    <cellStyle name="Normal 4 4 4 2 4 2 3" xfId="13259" xr:uid="{0406FF09-FFED-4E05-9856-3253BF08EF0D}"/>
    <cellStyle name="Normal 4 4 4 2 4 3" xfId="6005" xr:uid="{00000000-0005-0000-0000-0000C1150000}"/>
    <cellStyle name="Normal 4 4 4 2 4 3 2" xfId="15331" xr:uid="{29713C79-11BD-41B2-88B7-290B31615DE8}"/>
    <cellStyle name="Normal 4 4 4 2 4 4" xfId="11114" xr:uid="{7DA2E57E-CC37-46A2-95DB-0910959E499B}"/>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CCC1392D-E84B-414D-A827-6BFBE1700759}"/>
    <cellStyle name="Normal 4 4 4 2 5 2 3" xfId="13672" xr:uid="{A8171E03-BF47-4A91-A587-64D167A20F93}"/>
    <cellStyle name="Normal 4 4 4 2 5 3" xfId="6418" xr:uid="{00000000-0005-0000-0000-0000C5150000}"/>
    <cellStyle name="Normal 4 4 4 2 5 3 2" xfId="15744" xr:uid="{7023C75F-4151-4313-8558-EB256500A196}"/>
    <cellStyle name="Normal 4 4 4 2 5 4" xfId="11527" xr:uid="{9CF8DA6C-4640-46D6-9693-79F8E6780E2F}"/>
    <cellStyle name="Normal 4 4 4 2 6" xfId="2548" xr:uid="{00000000-0005-0000-0000-0000C6150000}"/>
    <cellStyle name="Normal 4 4 4 2 6 2" xfId="6831" xr:uid="{00000000-0005-0000-0000-0000C7150000}"/>
    <cellStyle name="Normal 4 4 4 2 6 2 2" xfId="16157" xr:uid="{447E74F9-C35F-4D24-A6B0-1438312C95CB}"/>
    <cellStyle name="Normal 4 4 4 2 6 3" xfId="11940" xr:uid="{62179A37-27F4-41E9-A8D4-3D8F8AA18AA6}"/>
    <cellStyle name="Normal 4 4 4 2 7" xfId="4766" xr:uid="{00000000-0005-0000-0000-0000C8150000}"/>
    <cellStyle name="Normal 4 4 4 2 7 2" xfId="14092" xr:uid="{BF83ABA9-A39B-4566-AAD5-4EAA57AC9044}"/>
    <cellStyle name="Normal 4 4 4 2 8" xfId="9059" xr:uid="{76617FCA-DBA6-4291-BD32-6340A19903F7}"/>
    <cellStyle name="Normal 4 4 4 2 8 2" xfId="18383" xr:uid="{B5C98D0C-3F24-44BA-AE39-AE69D0A8923E}"/>
    <cellStyle name="Normal 4 4 4 2 9" xfId="9875" xr:uid="{6208669E-85C0-4E1E-9652-19FEADA0B934}"/>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A29638B8-C54C-4758-A136-3BDEEDC17C35}"/>
    <cellStyle name="Normal 4 4 4 3 2 3" xfId="12432" xr:uid="{312C263D-6DD7-4752-AB77-6A2DC240A8A8}"/>
    <cellStyle name="Normal 4 4 4 3 3" xfId="5178" xr:uid="{00000000-0005-0000-0000-0000CC150000}"/>
    <cellStyle name="Normal 4 4 4 3 3 2" xfId="14504" xr:uid="{BDD8FEE4-E09C-40D8-905B-81F8970FE757}"/>
    <cellStyle name="Normal 4 4 4 3 4" xfId="9277" xr:uid="{DD01CD29-2559-4BCC-919C-99D1D75C445F}"/>
    <cellStyle name="Normal 4 4 4 3 4 2" xfId="18592" xr:uid="{D0D3B628-9A2E-4A68-ACE7-D79065A2F1B7}"/>
    <cellStyle name="Normal 4 4 4 3 5" xfId="10287" xr:uid="{B715329A-6E5E-417A-8971-4C0CF4F4914B}"/>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F784920E-DBAA-4409-834C-26A88E5AB7D2}"/>
    <cellStyle name="Normal 4 4 4 4 2 3" xfId="12845" xr:uid="{64F7CDB4-9981-4437-9D39-11C93028832B}"/>
    <cellStyle name="Normal 4 4 4 4 3" xfId="5591" xr:uid="{00000000-0005-0000-0000-0000D0150000}"/>
    <cellStyle name="Normal 4 4 4 4 3 2" xfId="14917" xr:uid="{DD585B4B-6AA5-4B11-8115-8F2F396FFA31}"/>
    <cellStyle name="Normal 4 4 4 4 4" xfId="10700" xr:uid="{B33BA347-12F5-49C4-AE2A-9925E367043D}"/>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EB2DDBF2-040B-40C3-AD90-3408D3775763}"/>
    <cellStyle name="Normal 4 4 4 5 2 3" xfId="13258" xr:uid="{1AB50ADC-86DE-4310-94B5-EBE2C22D72A0}"/>
    <cellStyle name="Normal 4 4 4 5 3" xfId="6004" xr:uid="{00000000-0005-0000-0000-0000D4150000}"/>
    <cellStyle name="Normal 4 4 4 5 3 2" xfId="15330" xr:uid="{683A03D4-81AE-4392-95A6-12B158302462}"/>
    <cellStyle name="Normal 4 4 4 5 4" xfId="11113" xr:uid="{5611EE86-313B-48EF-9C87-66938220B539}"/>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106F58A6-04CB-4469-B46A-101CCCF0275B}"/>
    <cellStyle name="Normal 4 4 4 6 2 3" xfId="13671" xr:uid="{52855E8C-1580-4047-B6FF-AA24052507AB}"/>
    <cellStyle name="Normal 4 4 4 6 3" xfId="6417" xr:uid="{00000000-0005-0000-0000-0000D8150000}"/>
    <cellStyle name="Normal 4 4 4 6 3 2" xfId="15743" xr:uid="{324E808D-20B0-4AF3-997A-036381B05768}"/>
    <cellStyle name="Normal 4 4 4 6 4" xfId="11526" xr:uid="{17D4C54F-99F7-479F-9C50-1040014468B3}"/>
    <cellStyle name="Normal 4 4 4 7" xfId="2547" xr:uid="{00000000-0005-0000-0000-0000D9150000}"/>
    <cellStyle name="Normal 4 4 4 7 2" xfId="6830" xr:uid="{00000000-0005-0000-0000-0000DA150000}"/>
    <cellStyle name="Normal 4 4 4 7 2 2" xfId="16156" xr:uid="{6686E705-6D9F-40AC-8FE6-2BBB97E00D5A}"/>
    <cellStyle name="Normal 4 4 4 7 3" xfId="11939" xr:uid="{B5CEA5B5-C47E-4AB7-AAA5-12C27B165C0E}"/>
    <cellStyle name="Normal 4 4 4 8" xfId="4765" xr:uid="{00000000-0005-0000-0000-0000DB150000}"/>
    <cellStyle name="Normal 4 4 4 8 2" xfId="14091" xr:uid="{FC932F71-2E98-4A86-BDF6-29029EC9A88A}"/>
    <cellStyle name="Normal 4 4 4 9" xfId="8852" xr:uid="{DF4BB962-85B1-44B5-A0FE-735796672772}"/>
    <cellStyle name="Normal 4 4 4 9 2" xfId="18176" xr:uid="{22AEE69B-C4EA-4BFE-BE84-D857805DD91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4E4E406B-A204-49DA-8B62-8988737AE04B}"/>
    <cellStyle name="Normal 4 4 5 2 2 3" xfId="12434" xr:uid="{AB81F3DE-18F2-4338-A744-296307E4D4E1}"/>
    <cellStyle name="Normal 4 4 5 2 3" xfId="5180" xr:uid="{00000000-0005-0000-0000-0000E0150000}"/>
    <cellStyle name="Normal 4 4 5 2 3 2" xfId="14506" xr:uid="{16FF259A-4C7B-4189-ABFD-BDADCED8881C}"/>
    <cellStyle name="Normal 4 4 5 2 4" xfId="9393" xr:uid="{C2991CC4-4E0B-46C4-B338-C6A1C9BA2DE9}"/>
    <cellStyle name="Normal 4 4 5 2 4 2" xfId="18708" xr:uid="{E80ED11A-7546-45B2-A06D-9568F5740B56}"/>
    <cellStyle name="Normal 4 4 5 2 5" xfId="10289" xr:uid="{4A1ABEE3-C49C-4A8B-B838-4043E920FDFB}"/>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BDC5B6C3-1FA4-4321-80CB-B1270E4B593B}"/>
    <cellStyle name="Normal 4 4 5 3 2 3" xfId="12847" xr:uid="{C0922796-6848-452B-9D74-8502D102E729}"/>
    <cellStyle name="Normal 4 4 5 3 3" xfId="5593" xr:uid="{00000000-0005-0000-0000-0000E4150000}"/>
    <cellStyle name="Normal 4 4 5 3 3 2" xfId="14919" xr:uid="{C7F0BD18-5DF6-436F-AA72-5AC98836A490}"/>
    <cellStyle name="Normal 4 4 5 3 4" xfId="10702" xr:uid="{8FB51407-6B05-402D-91DF-7C6F002CDC44}"/>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A6D42C8D-97A7-45CA-9CB3-83CF98EB91BC}"/>
    <cellStyle name="Normal 4 4 5 4 2 3" xfId="13260" xr:uid="{DE23EFA9-7A3E-42CE-8C60-710BE45CBFA3}"/>
    <cellStyle name="Normal 4 4 5 4 3" xfId="6006" xr:uid="{00000000-0005-0000-0000-0000E8150000}"/>
    <cellStyle name="Normal 4 4 5 4 3 2" xfId="15332" xr:uid="{4FFABA35-719F-4F53-9EA2-42BD4722C557}"/>
    <cellStyle name="Normal 4 4 5 4 4" xfId="11115" xr:uid="{2B266C00-AC7B-4A5F-B6F5-F91237AB650F}"/>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E69B5254-82DD-4151-AD48-113AC37FAA61}"/>
    <cellStyle name="Normal 4 4 5 5 2 3" xfId="13673" xr:uid="{3A2485F8-2144-4E07-B15B-E3444BFD7C06}"/>
    <cellStyle name="Normal 4 4 5 5 3" xfId="6419" xr:uid="{00000000-0005-0000-0000-0000EC150000}"/>
    <cellStyle name="Normal 4 4 5 5 3 2" xfId="15745" xr:uid="{D8554F2B-3100-4455-A435-4A708D015E23}"/>
    <cellStyle name="Normal 4 4 5 5 4" xfId="11528" xr:uid="{F4B44B24-C1AA-4679-B6BA-E95C167F92B9}"/>
    <cellStyle name="Normal 4 4 5 6" xfId="2549" xr:uid="{00000000-0005-0000-0000-0000ED150000}"/>
    <cellStyle name="Normal 4 4 5 6 2" xfId="6832" xr:uid="{00000000-0005-0000-0000-0000EE150000}"/>
    <cellStyle name="Normal 4 4 5 6 2 2" xfId="16158" xr:uid="{9E2DFAF8-A358-46DA-B08A-C6BD83188415}"/>
    <cellStyle name="Normal 4 4 5 6 3" xfId="11941" xr:uid="{3D9DB0C7-6D17-4FA6-B5BE-10E8B6FE8019}"/>
    <cellStyle name="Normal 4 4 5 7" xfId="4767" xr:uid="{00000000-0005-0000-0000-0000EF150000}"/>
    <cellStyle name="Normal 4 4 5 7 2" xfId="14093" xr:uid="{9C8F4D96-0C68-49E9-A639-C01187A491FD}"/>
    <cellStyle name="Normal 4 4 5 8" xfId="8968" xr:uid="{BE877DDE-435D-4CBA-84F2-0372D1DDE771}"/>
    <cellStyle name="Normal 4 4 5 8 2" xfId="18292" xr:uid="{EFCCF28B-152E-4063-9854-327D9AD714AD}"/>
    <cellStyle name="Normal 4 4 5 9" xfId="9876" xr:uid="{4B19C699-A707-4A5B-870B-33E1BF7A8CD3}"/>
    <cellStyle name="Normal 4 4 6" xfId="853" xr:uid="{00000000-0005-0000-0000-0000F0150000}"/>
    <cellStyle name="Normal 4 4 6 2" xfId="3088" xr:uid="{00000000-0005-0000-0000-0000F1150000}"/>
    <cellStyle name="Normal 4 4 6 2 2" xfId="7310" xr:uid="{00000000-0005-0000-0000-0000F2150000}"/>
    <cellStyle name="Normal 4 4 6 2 2 2" xfId="16636" xr:uid="{1CC37327-3B98-43EA-87F7-6E2C05B85699}"/>
    <cellStyle name="Normal 4 4 6 2 3" xfId="12419" xr:uid="{B3493E7A-D1A2-4E4A-B816-383871071291}"/>
    <cellStyle name="Normal 4 4 6 3" xfId="5165" xr:uid="{00000000-0005-0000-0000-0000F3150000}"/>
    <cellStyle name="Normal 4 4 6 3 2" xfId="14491" xr:uid="{4B0E983B-ABCA-4E81-8F7D-BEB9A5F87B19}"/>
    <cellStyle name="Normal 4 4 6 4" xfId="9171" xr:uid="{C474601B-95F0-4C9E-AB77-B3E61D2A21D7}"/>
    <cellStyle name="Normal 4 4 6 4 2" xfId="18489" xr:uid="{46226268-96AE-4AC9-A960-258630DC5590}"/>
    <cellStyle name="Normal 4 4 6 5" xfId="10274" xr:uid="{0ECA15C8-3D2F-48A4-B25B-6A583AB5D027}"/>
    <cellStyle name="Normal 4 4 7" xfId="1271" xr:uid="{00000000-0005-0000-0000-0000F4150000}"/>
    <cellStyle name="Normal 4 4 7 2" xfId="3501" xr:uid="{00000000-0005-0000-0000-0000F5150000}"/>
    <cellStyle name="Normal 4 4 7 2 2" xfId="7723" xr:uid="{00000000-0005-0000-0000-0000F6150000}"/>
    <cellStyle name="Normal 4 4 7 2 2 2" xfId="17049" xr:uid="{3D892003-6CEC-484B-85FF-DBFC3A162350}"/>
    <cellStyle name="Normal 4 4 7 2 3" xfId="12832" xr:uid="{FA1A2A07-FB92-4222-9898-1F22E7157DC2}"/>
    <cellStyle name="Normal 4 4 7 3" xfId="5578" xr:uid="{00000000-0005-0000-0000-0000F7150000}"/>
    <cellStyle name="Normal 4 4 7 3 2" xfId="14904" xr:uid="{2D5048CE-4670-4803-B726-4BC5798C788A}"/>
    <cellStyle name="Normal 4 4 7 4" xfId="10687" xr:uid="{8668BD7A-89DB-4C90-8C80-B040F89411A6}"/>
    <cellStyle name="Normal 4 4 8" xfId="1684" xr:uid="{00000000-0005-0000-0000-0000F8150000}"/>
    <cellStyle name="Normal 4 4 8 2" xfId="3914" xr:uid="{00000000-0005-0000-0000-0000F9150000}"/>
    <cellStyle name="Normal 4 4 8 2 2" xfId="8136" xr:uid="{00000000-0005-0000-0000-0000FA150000}"/>
    <cellStyle name="Normal 4 4 8 2 2 2" xfId="17462" xr:uid="{B4BB7110-7C0D-48B4-968B-C9BF406B7FD9}"/>
    <cellStyle name="Normal 4 4 8 2 3" xfId="13245" xr:uid="{1D35F927-7AC2-4E1D-AA4F-83CF1E1B32E3}"/>
    <cellStyle name="Normal 4 4 8 3" xfId="5991" xr:uid="{00000000-0005-0000-0000-0000FB150000}"/>
    <cellStyle name="Normal 4 4 8 3 2" xfId="15317" xr:uid="{7D465A8B-D7FC-47A6-A066-7723B369C097}"/>
    <cellStyle name="Normal 4 4 8 4" xfId="11100" xr:uid="{137C103B-279C-4EF0-AA66-50F9E55F3BCA}"/>
    <cellStyle name="Normal 4 4 9" xfId="2098" xr:uid="{00000000-0005-0000-0000-0000FC150000}"/>
    <cellStyle name="Normal 4 4 9 2" xfId="4327" xr:uid="{00000000-0005-0000-0000-0000FD150000}"/>
    <cellStyle name="Normal 4 4 9 2 2" xfId="8549" xr:uid="{00000000-0005-0000-0000-0000FE150000}"/>
    <cellStyle name="Normal 4 4 9 2 2 2" xfId="17875" xr:uid="{8C471FB7-0632-4A86-B7C5-D0253FA132BF}"/>
    <cellStyle name="Normal 4 4 9 2 3" xfId="13658" xr:uid="{36CF8F2D-74A9-4962-A6B0-5BE93125A28B}"/>
    <cellStyle name="Normal 4 4 9 3" xfId="6404" xr:uid="{00000000-0005-0000-0000-0000FF150000}"/>
    <cellStyle name="Normal 4 4 9 3 2" xfId="15730" xr:uid="{4CA8A976-11F1-47E7-8A68-851094A8BD3B}"/>
    <cellStyle name="Normal 4 4 9 4" xfId="11513" xr:uid="{1FA654A0-C44A-43CF-BC80-33F1977A1A9C}"/>
    <cellStyle name="Normal 4 5" xfId="394" xr:uid="{00000000-0005-0000-0000-000000160000}"/>
    <cellStyle name="Normal 4 6" xfId="395" xr:uid="{00000000-0005-0000-0000-000001160000}"/>
    <cellStyle name="Normal 4 6 10" xfId="4768" xr:uid="{00000000-0005-0000-0000-000002160000}"/>
    <cellStyle name="Normal 4 6 10 2" xfId="14094" xr:uid="{909A20C7-B12B-4DFA-81C3-6E536F928EBA}"/>
    <cellStyle name="Normal 4 6 11" xfId="8772" xr:uid="{23628FEE-4113-4B2C-B2A0-0106FC7F55C2}"/>
    <cellStyle name="Normal 4 6 11 2" xfId="18096" xr:uid="{6AB91C5B-BC83-4806-B150-1B736F26B4D3}"/>
    <cellStyle name="Normal 4 6 12" xfId="9877" xr:uid="{F4DDDE76-2E76-462B-B11D-4CD336782E58}"/>
    <cellStyle name="Normal 4 6 2" xfId="396" xr:uid="{00000000-0005-0000-0000-000003160000}"/>
    <cellStyle name="Normal 4 6 2 10" xfId="8825" xr:uid="{C3062495-9D56-441B-95F6-B73E7DAC524C}"/>
    <cellStyle name="Normal 4 6 2 10 2" xfId="18149" xr:uid="{7A3B5A6E-86FE-4311-B730-8AC05AEA81D4}"/>
    <cellStyle name="Normal 4 6 2 11" xfId="9878" xr:uid="{222AD54F-C23E-432A-950F-CFBDAEF467A1}"/>
    <cellStyle name="Normal 4 6 2 2" xfId="397" xr:uid="{00000000-0005-0000-0000-000004160000}"/>
    <cellStyle name="Normal 4 6 2 2 10" xfId="9879" xr:uid="{1216570F-6249-4EAC-86A9-B020AC2FFAD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1B8407B0-81C5-43AF-805E-5105BA090D1D}"/>
    <cellStyle name="Normal 4 6 2 2 2 2 2 3" xfId="12438" xr:uid="{304F3549-D103-43D5-9731-514E619F4EF6}"/>
    <cellStyle name="Normal 4 6 2 2 2 2 3" xfId="5184" xr:uid="{00000000-0005-0000-0000-000009160000}"/>
    <cellStyle name="Normal 4 6 2 2 2 2 3 2" xfId="14510" xr:uid="{FEE5E6D5-BB70-4DD6-AFAA-3157A440026D}"/>
    <cellStyle name="Normal 4 6 2 2 2 2 4" xfId="9560" xr:uid="{04DAEE11-A96E-4522-8546-8A0C107E12B9}"/>
    <cellStyle name="Normal 4 6 2 2 2 2 4 2" xfId="18875" xr:uid="{7A1F5666-3547-4FF2-B3A8-71170D0F1401}"/>
    <cellStyle name="Normal 4 6 2 2 2 2 5" xfId="10293" xr:uid="{822162F4-375E-4847-8868-CAD4AF4057D7}"/>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3AB1D312-5A49-471F-A96F-10FB0012BD20}"/>
    <cellStyle name="Normal 4 6 2 2 2 3 2 3" xfId="12851" xr:uid="{07C63194-7438-4C83-9E3D-23667C119E37}"/>
    <cellStyle name="Normal 4 6 2 2 2 3 3" xfId="5597" xr:uid="{00000000-0005-0000-0000-00000D160000}"/>
    <cellStyle name="Normal 4 6 2 2 2 3 3 2" xfId="14923" xr:uid="{5BDF16AD-A895-439A-ADE2-2B731C987986}"/>
    <cellStyle name="Normal 4 6 2 2 2 3 4" xfId="10706" xr:uid="{FB0DCB1F-6BD6-4C6B-9B9E-D9CC8CF3653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38CEB7E7-02A7-4A60-8505-73D486DF955B}"/>
    <cellStyle name="Normal 4 6 2 2 2 4 2 3" xfId="13264" xr:uid="{208AE9CB-ADF3-4FFF-AA9E-145697CC4175}"/>
    <cellStyle name="Normal 4 6 2 2 2 4 3" xfId="6010" xr:uid="{00000000-0005-0000-0000-000011160000}"/>
    <cellStyle name="Normal 4 6 2 2 2 4 3 2" xfId="15336" xr:uid="{A12CFE8B-0ED4-44E5-87AE-E2447DD36E53}"/>
    <cellStyle name="Normal 4 6 2 2 2 4 4" xfId="11119" xr:uid="{C2FAD7EB-713C-46C3-A1F3-F000963384A2}"/>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443E3C99-65A4-4DDA-A178-52C84B111DD9}"/>
    <cellStyle name="Normal 4 6 2 2 2 5 2 3" xfId="13677" xr:uid="{E370F50D-22C2-42E2-BC4E-F90E97C77C0E}"/>
    <cellStyle name="Normal 4 6 2 2 2 5 3" xfId="6423" xr:uid="{00000000-0005-0000-0000-000015160000}"/>
    <cellStyle name="Normal 4 6 2 2 2 5 3 2" xfId="15749" xr:uid="{E94DD4BE-4164-430B-ACDF-FD0B956494B2}"/>
    <cellStyle name="Normal 4 6 2 2 2 5 4" xfId="11532" xr:uid="{A8981646-4685-44AE-A6FA-6B9E00CCDC9C}"/>
    <cellStyle name="Normal 4 6 2 2 2 6" xfId="2553" xr:uid="{00000000-0005-0000-0000-000016160000}"/>
    <cellStyle name="Normal 4 6 2 2 2 6 2" xfId="6836" xr:uid="{00000000-0005-0000-0000-000017160000}"/>
    <cellStyle name="Normal 4 6 2 2 2 6 2 2" xfId="16162" xr:uid="{B6DBE144-6F2D-4591-AF4A-5E28BFF1ADE7}"/>
    <cellStyle name="Normal 4 6 2 2 2 6 3" xfId="11945" xr:uid="{3021B663-4367-4D85-953C-AE7CE5C8FBEF}"/>
    <cellStyle name="Normal 4 6 2 2 2 7" xfId="4771" xr:uid="{00000000-0005-0000-0000-000018160000}"/>
    <cellStyle name="Normal 4 6 2 2 2 7 2" xfId="14097" xr:uid="{31DF44EE-4DD0-42D0-A4A6-E8F0808D6295}"/>
    <cellStyle name="Normal 4 6 2 2 2 8" xfId="9135" xr:uid="{2F4C420F-13DD-45DD-99DD-C7AFF7CD7823}"/>
    <cellStyle name="Normal 4 6 2 2 2 8 2" xfId="18459" xr:uid="{BBA049FD-929A-49CD-85BC-95595327FD8C}"/>
    <cellStyle name="Normal 4 6 2 2 2 9" xfId="9880" xr:uid="{850E416C-90AD-4B09-AA7E-CF4E5DA597F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BAAA47BC-5C4A-4449-8424-68642E12BCB0}"/>
    <cellStyle name="Normal 4 6 2 2 3 2 3" xfId="12437" xr:uid="{83B65092-2256-4729-92CB-53F7D6B11D17}"/>
    <cellStyle name="Normal 4 6 2 2 3 3" xfId="5183" xr:uid="{00000000-0005-0000-0000-00001C160000}"/>
    <cellStyle name="Normal 4 6 2 2 3 3 2" xfId="14509" xr:uid="{54750A11-6262-414F-8B45-E77562376A59}"/>
    <cellStyle name="Normal 4 6 2 2 3 4" xfId="9353" xr:uid="{60C7EC16-17DE-43AF-A246-41C667B376B7}"/>
    <cellStyle name="Normal 4 6 2 2 3 4 2" xfId="18668" xr:uid="{EF098D8E-B9F7-435C-8B39-1ED929BD9992}"/>
    <cellStyle name="Normal 4 6 2 2 3 5" xfId="10292" xr:uid="{33362BF4-CC95-4B49-ABA7-5EA3DCCB586A}"/>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C3C75296-83C8-45CB-AAC1-53F6A579F0F3}"/>
    <cellStyle name="Normal 4 6 2 2 4 2 3" xfId="12850" xr:uid="{E63BC07E-9C3C-40F1-90A3-92FF5FCC5588}"/>
    <cellStyle name="Normal 4 6 2 2 4 3" xfId="5596" xr:uid="{00000000-0005-0000-0000-000020160000}"/>
    <cellStyle name="Normal 4 6 2 2 4 3 2" xfId="14922" xr:uid="{92ECBF1A-4167-4D51-A047-F288E5B99958}"/>
    <cellStyle name="Normal 4 6 2 2 4 4" xfId="10705" xr:uid="{59982888-0273-449C-AE37-E5038671585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5BE35848-306C-4696-8E5D-068B1611E28C}"/>
    <cellStyle name="Normal 4 6 2 2 5 2 3" xfId="13263" xr:uid="{3BFD0ECE-826D-439D-BBC8-A365D4E02EBE}"/>
    <cellStyle name="Normal 4 6 2 2 5 3" xfId="6009" xr:uid="{00000000-0005-0000-0000-000024160000}"/>
    <cellStyle name="Normal 4 6 2 2 5 3 2" xfId="15335" xr:uid="{A6B69D86-3D04-48E2-ADF5-082844EB3374}"/>
    <cellStyle name="Normal 4 6 2 2 5 4" xfId="11118" xr:uid="{03B33E28-8DA8-4D9F-9C81-D2DA3FF2FC3F}"/>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942393C0-9B70-4C71-9E26-F78A9D934922}"/>
    <cellStyle name="Normal 4 6 2 2 6 2 3" xfId="13676" xr:uid="{43FDEB9A-26A7-4055-82BC-383C3ADDC5F2}"/>
    <cellStyle name="Normal 4 6 2 2 6 3" xfId="6422" xr:uid="{00000000-0005-0000-0000-000028160000}"/>
    <cellStyle name="Normal 4 6 2 2 6 3 2" xfId="15748" xr:uid="{F2444AB4-F487-4DC6-932E-201F44B320F9}"/>
    <cellStyle name="Normal 4 6 2 2 6 4" xfId="11531" xr:uid="{87366012-EDEF-4EF9-A78F-EC3EDA65CB5C}"/>
    <cellStyle name="Normal 4 6 2 2 7" xfId="2552" xr:uid="{00000000-0005-0000-0000-000029160000}"/>
    <cellStyle name="Normal 4 6 2 2 7 2" xfId="6835" xr:uid="{00000000-0005-0000-0000-00002A160000}"/>
    <cellStyle name="Normal 4 6 2 2 7 2 2" xfId="16161" xr:uid="{81BDA195-B15C-4026-8175-4D785A81FCF0}"/>
    <cellStyle name="Normal 4 6 2 2 7 3" xfId="11944" xr:uid="{1DC0A996-8837-4D30-A670-2BD6B3DDD231}"/>
    <cellStyle name="Normal 4 6 2 2 8" xfId="4770" xr:uid="{00000000-0005-0000-0000-00002B160000}"/>
    <cellStyle name="Normal 4 6 2 2 8 2" xfId="14096" xr:uid="{6791F0B5-39C5-4B47-8651-BDE90E7431BF}"/>
    <cellStyle name="Normal 4 6 2 2 9" xfId="8928" xr:uid="{EC58FE5E-68BA-4864-AD86-0F9D1DB17AD0}"/>
    <cellStyle name="Normal 4 6 2 2 9 2" xfId="18252" xr:uid="{CCD3331B-7F84-4B08-9DEC-BF479D5FE3C5}"/>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010F29A2-C8CD-4A70-9A0D-65711CF99C0D}"/>
    <cellStyle name="Normal 4 6 2 3 2 2 3" xfId="12439" xr:uid="{9BBC4E5F-46D4-4BF8-92B2-DCA3683E28FB}"/>
    <cellStyle name="Normal 4 6 2 3 2 3" xfId="5185" xr:uid="{00000000-0005-0000-0000-000030160000}"/>
    <cellStyle name="Normal 4 6 2 3 2 3 2" xfId="14511" xr:uid="{3836C6F7-5E48-4F04-B39F-2BAFD6E9DFA6}"/>
    <cellStyle name="Normal 4 6 2 3 2 4" xfId="9457" xr:uid="{E86AED2D-42AD-49DE-9461-1FA72B82C89E}"/>
    <cellStyle name="Normal 4 6 2 3 2 4 2" xfId="18772" xr:uid="{6773A7E6-FDB8-494E-BD60-B804AD3BF3BD}"/>
    <cellStyle name="Normal 4 6 2 3 2 5" xfId="10294" xr:uid="{4F312570-5432-492C-B8EC-9FC24643BFC4}"/>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8203889D-85AC-4C51-9C74-E20F1AACA9B9}"/>
    <cellStyle name="Normal 4 6 2 3 3 2 3" xfId="12852" xr:uid="{1DFD2A2B-3FE2-4E7A-BD7B-50B96209FCA1}"/>
    <cellStyle name="Normal 4 6 2 3 3 3" xfId="5598" xr:uid="{00000000-0005-0000-0000-000034160000}"/>
    <cellStyle name="Normal 4 6 2 3 3 3 2" xfId="14924" xr:uid="{F3F9160F-70AF-47E7-A781-C7DFF0F4876A}"/>
    <cellStyle name="Normal 4 6 2 3 3 4" xfId="10707" xr:uid="{8864C7DB-A89F-4A99-88A3-F40B842FCBD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90B232EC-2E84-464A-A116-BE1A4B68DD3F}"/>
    <cellStyle name="Normal 4 6 2 3 4 2 3" xfId="13265" xr:uid="{AA17B6AB-B8DF-4A40-84E2-8907BBC06F54}"/>
    <cellStyle name="Normal 4 6 2 3 4 3" xfId="6011" xr:uid="{00000000-0005-0000-0000-000038160000}"/>
    <cellStyle name="Normal 4 6 2 3 4 3 2" xfId="15337" xr:uid="{45AD9D46-0E83-4532-B335-C2A3CBEF5B32}"/>
    <cellStyle name="Normal 4 6 2 3 4 4" xfId="11120" xr:uid="{5D4FABEC-9CEC-4E81-A992-30118B88D39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6AED6B46-1264-4AD3-9F69-56D385B47D16}"/>
    <cellStyle name="Normal 4 6 2 3 5 2 3" xfId="13678" xr:uid="{F86A4EB3-ACF0-491B-BDA6-5F8505508298}"/>
    <cellStyle name="Normal 4 6 2 3 5 3" xfId="6424" xr:uid="{00000000-0005-0000-0000-00003C160000}"/>
    <cellStyle name="Normal 4 6 2 3 5 3 2" xfId="15750" xr:uid="{A76D93C8-2F74-4349-AE6A-406813364544}"/>
    <cellStyle name="Normal 4 6 2 3 5 4" xfId="11533" xr:uid="{11D40A16-88A8-4EA6-9326-420443B5CA2A}"/>
    <cellStyle name="Normal 4 6 2 3 6" xfId="2554" xr:uid="{00000000-0005-0000-0000-00003D160000}"/>
    <cellStyle name="Normal 4 6 2 3 6 2" xfId="6837" xr:uid="{00000000-0005-0000-0000-00003E160000}"/>
    <cellStyle name="Normal 4 6 2 3 6 2 2" xfId="16163" xr:uid="{6417EC2A-3ACF-47CB-B092-150ADD1C7ECF}"/>
    <cellStyle name="Normal 4 6 2 3 6 3" xfId="11946" xr:uid="{E140AEEE-FE2C-4766-B2CA-1E73E20D19A7}"/>
    <cellStyle name="Normal 4 6 2 3 7" xfId="4772" xr:uid="{00000000-0005-0000-0000-00003F160000}"/>
    <cellStyle name="Normal 4 6 2 3 7 2" xfId="14098" xr:uid="{0C7C6951-E0CB-4437-9A1F-CEC7FAB746AA}"/>
    <cellStyle name="Normal 4 6 2 3 8" xfId="9032" xr:uid="{576A1DC5-5971-4772-803F-0A60F80D4C41}"/>
    <cellStyle name="Normal 4 6 2 3 8 2" xfId="18356" xr:uid="{F4163B21-4FDD-4533-821F-81EE526B26B1}"/>
    <cellStyle name="Normal 4 6 2 3 9" xfId="9881" xr:uid="{238FEA24-C222-4EA3-96B7-D48E8C628718}"/>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90FE2925-2F47-4DED-B471-053D7BC71B16}"/>
    <cellStyle name="Normal 4 6 2 4 2 3" xfId="12436" xr:uid="{9E73DA44-8862-4B4C-957B-091716B6EECC}"/>
    <cellStyle name="Normal 4 6 2 4 3" xfId="5182" xr:uid="{00000000-0005-0000-0000-000043160000}"/>
    <cellStyle name="Normal 4 6 2 4 3 2" xfId="14508" xr:uid="{2FF80FAF-C299-4180-8D98-7AADBF82206B}"/>
    <cellStyle name="Normal 4 6 2 4 4" xfId="9250" xr:uid="{CBBC9A51-5203-4C00-93C7-FE7C973DCDD1}"/>
    <cellStyle name="Normal 4 6 2 4 4 2" xfId="18565" xr:uid="{CC4875C7-706A-4D19-AA21-9F5FED3ED8DA}"/>
    <cellStyle name="Normal 4 6 2 4 5" xfId="10291" xr:uid="{9EE1F76C-34E9-43EE-9B31-1B4AE9D31794}"/>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37B5FCE9-A297-42D1-8A19-3AF90A1552DF}"/>
    <cellStyle name="Normal 4 6 2 5 2 3" xfId="12849" xr:uid="{B590F723-313A-4824-9269-BEFA180548ED}"/>
    <cellStyle name="Normal 4 6 2 5 3" xfId="5595" xr:uid="{00000000-0005-0000-0000-000047160000}"/>
    <cellStyle name="Normal 4 6 2 5 3 2" xfId="14921" xr:uid="{9F9BAAC4-73B7-493B-A29B-52C38B06948B}"/>
    <cellStyle name="Normal 4 6 2 5 4" xfId="10704" xr:uid="{6333AFD8-ADA5-4B2E-9AF2-B94142644BFD}"/>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E6DEA747-50F4-47B0-BDF6-7BC052C4C6CF}"/>
    <cellStyle name="Normal 4 6 2 6 2 3" xfId="13262" xr:uid="{1ECE9C78-AEF9-48C2-BD8C-CC5BB49BD82D}"/>
    <cellStyle name="Normal 4 6 2 6 3" xfId="6008" xr:uid="{00000000-0005-0000-0000-00004B160000}"/>
    <cellStyle name="Normal 4 6 2 6 3 2" xfId="15334" xr:uid="{27BE6E2A-55E1-4AC6-84F0-AEA29E41D9B5}"/>
    <cellStyle name="Normal 4 6 2 6 4" xfId="11117" xr:uid="{8413DF72-F5EE-4DB0-971F-67020B06E35C}"/>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55BD1A9D-D335-4A67-B2FF-59A91C7EF512}"/>
    <cellStyle name="Normal 4 6 2 7 2 3" xfId="13675" xr:uid="{64E5C07F-7FFF-4517-B6F2-20C800F505E2}"/>
    <cellStyle name="Normal 4 6 2 7 3" xfId="6421" xr:uid="{00000000-0005-0000-0000-00004F160000}"/>
    <cellStyle name="Normal 4 6 2 7 3 2" xfId="15747" xr:uid="{10DB99AC-57E5-4A4E-8A5A-87650FA5EFBF}"/>
    <cellStyle name="Normal 4 6 2 7 4" xfId="11530" xr:uid="{5EDDA8DC-12ED-4A61-A796-CCFA7B3030CC}"/>
    <cellStyle name="Normal 4 6 2 8" xfId="2551" xr:uid="{00000000-0005-0000-0000-000050160000}"/>
    <cellStyle name="Normal 4 6 2 8 2" xfId="6834" xr:uid="{00000000-0005-0000-0000-000051160000}"/>
    <cellStyle name="Normal 4 6 2 8 2 2" xfId="16160" xr:uid="{F344C1DB-4455-40C9-9FFE-B73AFEC199B4}"/>
    <cellStyle name="Normal 4 6 2 8 3" xfId="11943" xr:uid="{9B9E2CD8-FAC0-4C15-9F1E-B30A3264B73F}"/>
    <cellStyle name="Normal 4 6 2 9" xfId="4769" xr:uid="{00000000-0005-0000-0000-000052160000}"/>
    <cellStyle name="Normal 4 6 2 9 2" xfId="14095" xr:uid="{5D4672CD-FD04-46D5-8650-CDA08CB88D97}"/>
    <cellStyle name="Normal 4 6 3" xfId="400" xr:uid="{00000000-0005-0000-0000-000053160000}"/>
    <cellStyle name="Normal 4 6 3 10" xfId="9882" xr:uid="{5DE4567C-B5A4-49E6-A912-4CB51AE401FA}"/>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3243E45C-2DB1-4B5D-88E6-4346B346F752}"/>
    <cellStyle name="Normal 4 6 3 2 2 2 3" xfId="12441" xr:uid="{E8DDED51-688E-4A9F-8FD3-8893C53C0E2A}"/>
    <cellStyle name="Normal 4 6 3 2 2 3" xfId="5187" xr:uid="{00000000-0005-0000-0000-000058160000}"/>
    <cellStyle name="Normal 4 6 3 2 2 3 2" xfId="14513" xr:uid="{0E91634B-46E4-4811-B7CE-F572A2FB509F}"/>
    <cellStyle name="Normal 4 6 3 2 2 4" xfId="9507" xr:uid="{63E4C3EA-8BE6-4CDE-9E44-1D64049D4CF5}"/>
    <cellStyle name="Normal 4 6 3 2 2 4 2" xfId="18822" xr:uid="{C096E1B0-355D-4668-A3E2-FBBB1FD40A1B}"/>
    <cellStyle name="Normal 4 6 3 2 2 5" xfId="10296" xr:uid="{E20259DB-9EA9-4DFE-8ED7-5CDA0C3B5074}"/>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5A19E336-06E6-4F92-A5CB-52095F3078D4}"/>
    <cellStyle name="Normal 4 6 3 2 3 2 3" xfId="12854" xr:uid="{B9C32AD7-6A0D-4F75-BA27-4ADB9D209FA5}"/>
    <cellStyle name="Normal 4 6 3 2 3 3" xfId="5600" xr:uid="{00000000-0005-0000-0000-00005C160000}"/>
    <cellStyle name="Normal 4 6 3 2 3 3 2" xfId="14926" xr:uid="{3D5FDFD7-705F-4BBB-9529-C0EF16637D40}"/>
    <cellStyle name="Normal 4 6 3 2 3 4" xfId="10709" xr:uid="{8470D4D8-B77B-4AEE-8F89-10707FA0DBCD}"/>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C6D4F266-48D1-495F-9489-42E4395D6CED}"/>
    <cellStyle name="Normal 4 6 3 2 4 2 3" xfId="13267" xr:uid="{7E8F6007-83DE-45D8-948E-C4C211D00C52}"/>
    <cellStyle name="Normal 4 6 3 2 4 3" xfId="6013" xr:uid="{00000000-0005-0000-0000-000060160000}"/>
    <cellStyle name="Normal 4 6 3 2 4 3 2" xfId="15339" xr:uid="{5193F438-E828-4BF7-9848-9EAEE1E17CD9}"/>
    <cellStyle name="Normal 4 6 3 2 4 4" xfId="11122" xr:uid="{57376AF7-6A14-4F78-A99A-B67822E32EF0}"/>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21650AFC-3065-4644-9E9F-107E237CFD35}"/>
    <cellStyle name="Normal 4 6 3 2 5 2 3" xfId="13680" xr:uid="{DC319522-41B1-4B11-ACB4-A987FA372D90}"/>
    <cellStyle name="Normal 4 6 3 2 5 3" xfId="6426" xr:uid="{00000000-0005-0000-0000-000064160000}"/>
    <cellStyle name="Normal 4 6 3 2 5 3 2" xfId="15752" xr:uid="{1A43AAE3-E929-400C-9E04-058902930ECB}"/>
    <cellStyle name="Normal 4 6 3 2 5 4" xfId="11535" xr:uid="{F1FCBA22-B0DC-4859-B6AC-89660333ECCA}"/>
    <cellStyle name="Normal 4 6 3 2 6" xfId="2556" xr:uid="{00000000-0005-0000-0000-000065160000}"/>
    <cellStyle name="Normal 4 6 3 2 6 2" xfId="6839" xr:uid="{00000000-0005-0000-0000-000066160000}"/>
    <cellStyle name="Normal 4 6 3 2 6 2 2" xfId="16165" xr:uid="{711F03A9-8709-426C-A626-EB051610FE41}"/>
    <cellStyle name="Normal 4 6 3 2 6 3" xfId="11948" xr:uid="{5EA2A58D-497B-4C81-8B54-1ED4001114D4}"/>
    <cellStyle name="Normal 4 6 3 2 7" xfId="4774" xr:uid="{00000000-0005-0000-0000-000067160000}"/>
    <cellStyle name="Normal 4 6 3 2 7 2" xfId="14100" xr:uid="{715E0BB9-8131-4F6F-9E5A-2FCEB3F7CB72}"/>
    <cellStyle name="Normal 4 6 3 2 8" xfId="9082" xr:uid="{B272D1AE-3713-4AD0-AE3F-D1A7344AD432}"/>
    <cellStyle name="Normal 4 6 3 2 8 2" xfId="18406" xr:uid="{433DCBA2-EE26-4626-BA9C-B0953CE24208}"/>
    <cellStyle name="Normal 4 6 3 2 9" xfId="9883" xr:uid="{6A50BC27-1F24-46E8-ABE7-180FD85199A2}"/>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BE9B14A0-5ABA-4322-B2A3-416B704CAE7B}"/>
    <cellStyle name="Normal 4 6 3 3 2 3" xfId="12440" xr:uid="{02774E38-47C9-4E41-ACFA-6CA80945B3BE}"/>
    <cellStyle name="Normal 4 6 3 3 3" xfId="5186" xr:uid="{00000000-0005-0000-0000-00006B160000}"/>
    <cellStyle name="Normal 4 6 3 3 3 2" xfId="14512" xr:uid="{19794B7C-7DA6-4979-BB71-4FCF8DCC4832}"/>
    <cellStyle name="Normal 4 6 3 3 4" xfId="9300" xr:uid="{955A2E97-C871-4115-A4F5-A642AE2D2C4B}"/>
    <cellStyle name="Normal 4 6 3 3 4 2" xfId="18615" xr:uid="{E0D7A0F1-5D9F-4F58-BDBC-FB31D200E5DA}"/>
    <cellStyle name="Normal 4 6 3 3 5" xfId="10295" xr:uid="{8E6374DC-396B-40D3-9D91-EF14D174A8AA}"/>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B330BC01-0455-47E9-996A-96B39DB1C95C}"/>
    <cellStyle name="Normal 4 6 3 4 2 3" xfId="12853" xr:uid="{BA3EA19B-DE70-45F8-8C69-1F4EAAEC5CAF}"/>
    <cellStyle name="Normal 4 6 3 4 3" xfId="5599" xr:uid="{00000000-0005-0000-0000-00006F160000}"/>
    <cellStyle name="Normal 4 6 3 4 3 2" xfId="14925" xr:uid="{166A1592-10DA-418D-A7BF-A954346EF608}"/>
    <cellStyle name="Normal 4 6 3 4 4" xfId="10708" xr:uid="{8E050D65-A44D-47BB-B6E8-3E02937912F7}"/>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9C79ADED-1880-497D-A910-E7D81F0A8222}"/>
    <cellStyle name="Normal 4 6 3 5 2 3" xfId="13266" xr:uid="{4EA30DDD-828D-4F5F-BD92-45AFF52881AC}"/>
    <cellStyle name="Normal 4 6 3 5 3" xfId="6012" xr:uid="{00000000-0005-0000-0000-000073160000}"/>
    <cellStyle name="Normal 4 6 3 5 3 2" xfId="15338" xr:uid="{3F1E29D8-05EC-4DFB-9235-F6F58CA41392}"/>
    <cellStyle name="Normal 4 6 3 5 4" xfId="11121" xr:uid="{71AB48D4-8F9D-42E7-9D9E-D6F0B0EC8200}"/>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5C934E2F-E716-4063-BB04-9B3309D02379}"/>
    <cellStyle name="Normal 4 6 3 6 2 3" xfId="13679" xr:uid="{4CE768E5-21CC-4928-9034-4A3BC792F018}"/>
    <cellStyle name="Normal 4 6 3 6 3" xfId="6425" xr:uid="{00000000-0005-0000-0000-000077160000}"/>
    <cellStyle name="Normal 4 6 3 6 3 2" xfId="15751" xr:uid="{A2F1D7EA-3556-4FF1-AB5F-19B8F0AE4815}"/>
    <cellStyle name="Normal 4 6 3 6 4" xfId="11534" xr:uid="{82C05712-395E-4A61-8AE7-CB78B21EA75C}"/>
    <cellStyle name="Normal 4 6 3 7" xfId="2555" xr:uid="{00000000-0005-0000-0000-000078160000}"/>
    <cellStyle name="Normal 4 6 3 7 2" xfId="6838" xr:uid="{00000000-0005-0000-0000-000079160000}"/>
    <cellStyle name="Normal 4 6 3 7 2 2" xfId="16164" xr:uid="{E8F76121-EEE8-4A0D-83E3-FBADCEA8A1C1}"/>
    <cellStyle name="Normal 4 6 3 7 3" xfId="11947" xr:uid="{D62496E2-3590-429D-83EA-811F455D5062}"/>
    <cellStyle name="Normal 4 6 3 8" xfId="4773" xr:uid="{00000000-0005-0000-0000-00007A160000}"/>
    <cellStyle name="Normal 4 6 3 8 2" xfId="14099" xr:uid="{BA149F29-77CB-4C5D-8ADE-F89CA3F9531F}"/>
    <cellStyle name="Normal 4 6 3 9" xfId="8875" xr:uid="{DFD24C28-B729-444D-A0F6-B5522ED354D5}"/>
    <cellStyle name="Normal 4 6 3 9 2" xfId="18199" xr:uid="{83CB5BCA-F352-43DD-8E7F-465DD0090FB1}"/>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9B7D7AF6-E730-4D80-A7EE-7E53B67C789E}"/>
    <cellStyle name="Normal 4 6 4 2 2 3" xfId="12442" xr:uid="{E917D568-4169-49BD-8D0F-EE179CAE0271}"/>
    <cellStyle name="Normal 4 6 4 2 3" xfId="5188" xr:uid="{00000000-0005-0000-0000-00007F160000}"/>
    <cellStyle name="Normal 4 6 4 2 3 2" xfId="14514" xr:uid="{218F9BC6-125B-49F9-A3F2-B1E71589172F}"/>
    <cellStyle name="Normal 4 6 4 2 4" xfId="9404" xr:uid="{D1BAB6D6-35EF-4C34-91EA-2EB17352CDF9}"/>
    <cellStyle name="Normal 4 6 4 2 4 2" xfId="18719" xr:uid="{AE818CC6-EB1E-4EA0-A9E0-C30809CEDA6A}"/>
    <cellStyle name="Normal 4 6 4 2 5" xfId="10297" xr:uid="{68F91673-546F-42B8-915D-7DCA4EAB4BF7}"/>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0CD5E3FD-28F8-48C1-BE25-87365E7055B8}"/>
    <cellStyle name="Normal 4 6 4 3 2 3" xfId="12855" xr:uid="{E965CA11-B394-40BA-9FCA-6C6D7713B694}"/>
    <cellStyle name="Normal 4 6 4 3 3" xfId="5601" xr:uid="{00000000-0005-0000-0000-000083160000}"/>
    <cellStyle name="Normal 4 6 4 3 3 2" xfId="14927" xr:uid="{CAC33901-1321-4CCF-B051-928A4D445C17}"/>
    <cellStyle name="Normal 4 6 4 3 4" xfId="10710" xr:uid="{004849B6-F513-4157-A8D5-B0E8DC866A8A}"/>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41D0B14D-12A3-4FA6-A660-79F7C23CC73D}"/>
    <cellStyle name="Normal 4 6 4 4 2 3" xfId="13268" xr:uid="{443BF104-0438-4DBA-905B-ABF925C586A1}"/>
    <cellStyle name="Normal 4 6 4 4 3" xfId="6014" xr:uid="{00000000-0005-0000-0000-000087160000}"/>
    <cellStyle name="Normal 4 6 4 4 3 2" xfId="15340" xr:uid="{DEB3418C-C147-4201-95B9-AF99C88945B5}"/>
    <cellStyle name="Normal 4 6 4 4 4" xfId="11123" xr:uid="{36C761B8-5FA0-4248-B1DE-1252F1AB04D0}"/>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EA781A30-4A8A-4106-8C45-77835E34BAAF}"/>
    <cellStyle name="Normal 4 6 4 5 2 3" xfId="13681" xr:uid="{3F805C90-492E-4849-AF3C-86843348779C}"/>
    <cellStyle name="Normal 4 6 4 5 3" xfId="6427" xr:uid="{00000000-0005-0000-0000-00008B160000}"/>
    <cellStyle name="Normal 4 6 4 5 3 2" xfId="15753" xr:uid="{B8E73528-06D3-4C35-99CD-688E459B4323}"/>
    <cellStyle name="Normal 4 6 4 5 4" xfId="11536" xr:uid="{F364C7DD-4C9A-42D8-BAFD-E097F9D8CE7D}"/>
    <cellStyle name="Normal 4 6 4 6" xfId="2557" xr:uid="{00000000-0005-0000-0000-00008C160000}"/>
    <cellStyle name="Normal 4 6 4 6 2" xfId="6840" xr:uid="{00000000-0005-0000-0000-00008D160000}"/>
    <cellStyle name="Normal 4 6 4 6 2 2" xfId="16166" xr:uid="{FD68A5EE-45DE-43D2-99AA-B9F7A244AE79}"/>
    <cellStyle name="Normal 4 6 4 6 3" xfId="11949" xr:uid="{26774B81-4034-47C0-91F7-2DF4C787134C}"/>
    <cellStyle name="Normal 4 6 4 7" xfId="4775" xr:uid="{00000000-0005-0000-0000-00008E160000}"/>
    <cellStyle name="Normal 4 6 4 7 2" xfId="14101" xr:uid="{E4406FD2-5281-410D-A7C9-DB0D3AB2568E}"/>
    <cellStyle name="Normal 4 6 4 8" xfId="8979" xr:uid="{358D1440-F461-4509-8416-8F78F7D13FF4}"/>
    <cellStyle name="Normal 4 6 4 8 2" xfId="18303" xr:uid="{AF5256BD-612B-418B-8370-15472534EF5B}"/>
    <cellStyle name="Normal 4 6 4 9" xfId="9884" xr:uid="{9CE18CCF-E1C3-4459-A3DD-977A4C8849C0}"/>
    <cellStyle name="Normal 4 6 5" xfId="869" xr:uid="{00000000-0005-0000-0000-00008F160000}"/>
    <cellStyle name="Normal 4 6 5 2" xfId="3104" xr:uid="{00000000-0005-0000-0000-000090160000}"/>
    <cellStyle name="Normal 4 6 5 2 2" xfId="7326" xr:uid="{00000000-0005-0000-0000-000091160000}"/>
    <cellStyle name="Normal 4 6 5 2 2 2" xfId="16652" xr:uid="{84A050A0-3C40-4E22-91FD-8039E432C4EF}"/>
    <cellStyle name="Normal 4 6 5 2 3" xfId="12435" xr:uid="{C387F0E5-5CC2-4F2B-B00C-67CC5B8ABB84}"/>
    <cellStyle name="Normal 4 6 5 3" xfId="5181" xr:uid="{00000000-0005-0000-0000-000092160000}"/>
    <cellStyle name="Normal 4 6 5 3 2" xfId="14507" xr:uid="{5136603F-2281-4629-A435-14C4E93D8090}"/>
    <cellStyle name="Normal 4 6 5 4" xfId="9196" xr:uid="{8DF5D81E-BEC3-4373-A99C-2D9CDEEBBA3C}"/>
    <cellStyle name="Normal 4 6 5 4 2" xfId="18512" xr:uid="{75A3EABF-E83B-438C-993C-5FD903F810E0}"/>
    <cellStyle name="Normal 4 6 5 5" xfId="10290" xr:uid="{33FB8100-5CCB-409E-BA13-254232FB92EC}"/>
    <cellStyle name="Normal 4 6 6" xfId="1287" xr:uid="{00000000-0005-0000-0000-000093160000}"/>
    <cellStyle name="Normal 4 6 6 2" xfId="3517" xr:uid="{00000000-0005-0000-0000-000094160000}"/>
    <cellStyle name="Normal 4 6 6 2 2" xfId="7739" xr:uid="{00000000-0005-0000-0000-000095160000}"/>
    <cellStyle name="Normal 4 6 6 2 2 2" xfId="17065" xr:uid="{C4201048-DE7A-4269-B45F-FCA6B2F732EB}"/>
    <cellStyle name="Normal 4 6 6 2 3" xfId="12848" xr:uid="{2E86271E-70DA-473B-A4C6-94BC3233F756}"/>
    <cellStyle name="Normal 4 6 6 3" xfId="5594" xr:uid="{00000000-0005-0000-0000-000096160000}"/>
    <cellStyle name="Normal 4 6 6 3 2" xfId="14920" xr:uid="{19FA8C94-B470-4781-A4AE-F3F4C17AC9D0}"/>
    <cellStyle name="Normal 4 6 6 4" xfId="10703" xr:uid="{74B128BA-B783-4AB0-8F0B-F84E3534A20B}"/>
    <cellStyle name="Normal 4 6 7" xfId="1700" xr:uid="{00000000-0005-0000-0000-000097160000}"/>
    <cellStyle name="Normal 4 6 7 2" xfId="3930" xr:uid="{00000000-0005-0000-0000-000098160000}"/>
    <cellStyle name="Normal 4 6 7 2 2" xfId="8152" xr:uid="{00000000-0005-0000-0000-000099160000}"/>
    <cellStyle name="Normal 4 6 7 2 2 2" xfId="17478" xr:uid="{7995C66A-22F8-4AA5-A425-557335045E89}"/>
    <cellStyle name="Normal 4 6 7 2 3" xfId="13261" xr:uid="{E4644C3C-7899-4C10-A9C2-5393AA40F298}"/>
    <cellStyle name="Normal 4 6 7 3" xfId="6007" xr:uid="{00000000-0005-0000-0000-00009A160000}"/>
    <cellStyle name="Normal 4 6 7 3 2" xfId="15333" xr:uid="{6E119042-9F25-4A8C-91B2-23B06AF6C6CE}"/>
    <cellStyle name="Normal 4 6 7 4" xfId="11116" xr:uid="{FF231448-37FD-46CF-857F-77E9881B2A2B}"/>
    <cellStyle name="Normal 4 6 8" xfId="2114" xr:uid="{00000000-0005-0000-0000-00009B160000}"/>
    <cellStyle name="Normal 4 6 8 2" xfId="4343" xr:uid="{00000000-0005-0000-0000-00009C160000}"/>
    <cellStyle name="Normal 4 6 8 2 2" xfId="8565" xr:uid="{00000000-0005-0000-0000-00009D160000}"/>
    <cellStyle name="Normal 4 6 8 2 2 2" xfId="17891" xr:uid="{2E5A617D-FA11-4752-87BE-32AAF46A05C2}"/>
    <cellStyle name="Normal 4 6 8 2 3" xfId="13674" xr:uid="{3F3D5AE5-B69A-4748-A9D6-94DC74A53905}"/>
    <cellStyle name="Normal 4 6 8 3" xfId="6420" xr:uid="{00000000-0005-0000-0000-00009E160000}"/>
    <cellStyle name="Normal 4 6 8 3 2" xfId="15746" xr:uid="{A39261C0-64DF-4287-A407-30D3C8E06A15}"/>
    <cellStyle name="Normal 4 6 8 4" xfId="11529" xr:uid="{34EB7255-26A0-4A46-AF3A-ED3E962CC99B}"/>
    <cellStyle name="Normal 4 6 9" xfId="2550" xr:uid="{00000000-0005-0000-0000-00009F160000}"/>
    <cellStyle name="Normal 4 6 9 2" xfId="6833" xr:uid="{00000000-0005-0000-0000-0000A0160000}"/>
    <cellStyle name="Normal 4 6 9 2 2" xfId="16159" xr:uid="{4A2F5236-7A97-4563-95DE-FF76236082CE}"/>
    <cellStyle name="Normal 4 6 9 3" xfId="11942" xr:uid="{51B33F48-570B-4097-BCCC-582601BE34F3}"/>
    <cellStyle name="Normal 4 7" xfId="403" xr:uid="{00000000-0005-0000-0000-0000A1160000}"/>
    <cellStyle name="Normal 4 7 10" xfId="9885" xr:uid="{2AC8FD25-BA37-4FFA-AB4B-603578CB874A}"/>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B5FFFC64-BF1D-4254-98D1-CEA69265D424}"/>
    <cellStyle name="Normal 4 7 2 2 2 3" xfId="12444" xr:uid="{20A6BDEC-F305-4F00-B25A-A8094D0C0BEB}"/>
    <cellStyle name="Normal 4 7 2 2 3" xfId="5190" xr:uid="{00000000-0005-0000-0000-0000A6160000}"/>
    <cellStyle name="Normal 4 7 2 2 3 2" xfId="14516" xr:uid="{7DAB9E88-68E4-4A80-99D5-73134C526DB1}"/>
    <cellStyle name="Normal 4 7 2 2 4" xfId="9475" xr:uid="{1E309EF6-7D7C-4A4D-B2F1-E00D0CF6E167}"/>
    <cellStyle name="Normal 4 7 2 2 4 2" xfId="18790" xr:uid="{861E28EE-C47A-4D46-900C-562BFFBA9800}"/>
    <cellStyle name="Normal 4 7 2 2 5" xfId="10299" xr:uid="{EC152852-3858-4D4E-A8FF-B31C39EA94ED}"/>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516D2520-6863-41C9-9FFB-03CCD3B41D48}"/>
    <cellStyle name="Normal 4 7 2 3 2 3" xfId="12857" xr:uid="{36E80AC4-21C2-4347-9372-15A12D2F51F0}"/>
    <cellStyle name="Normal 4 7 2 3 3" xfId="5603" xr:uid="{00000000-0005-0000-0000-0000AA160000}"/>
    <cellStyle name="Normal 4 7 2 3 3 2" xfId="14929" xr:uid="{920F6015-7F76-4643-BE4D-EA5E3CEBF7CC}"/>
    <cellStyle name="Normal 4 7 2 3 4" xfId="10712" xr:uid="{F5B243C5-725A-4741-92C3-9EE3F95BF2F3}"/>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3240442E-E7E9-49AA-BD7C-3D3F293347BD}"/>
    <cellStyle name="Normal 4 7 2 4 2 3" xfId="13270" xr:uid="{8B911FF4-4EEC-434E-B7C8-6D9655895B59}"/>
    <cellStyle name="Normal 4 7 2 4 3" xfId="6016" xr:uid="{00000000-0005-0000-0000-0000AE160000}"/>
    <cellStyle name="Normal 4 7 2 4 3 2" xfId="15342" xr:uid="{99F76953-65F9-486C-8330-989598BCA2C7}"/>
    <cellStyle name="Normal 4 7 2 4 4" xfId="11125" xr:uid="{493C17E6-139B-4FD8-BF1E-F29532814FF8}"/>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A2487C38-6CE9-49D3-B016-768093459414}"/>
    <cellStyle name="Normal 4 7 2 5 2 3" xfId="13683" xr:uid="{5945520F-213B-45E5-839A-BC001D29DBDE}"/>
    <cellStyle name="Normal 4 7 2 5 3" xfId="6429" xr:uid="{00000000-0005-0000-0000-0000B2160000}"/>
    <cellStyle name="Normal 4 7 2 5 3 2" xfId="15755" xr:uid="{6F1CFF9D-4489-4BBA-A4A0-3A7EB7798704}"/>
    <cellStyle name="Normal 4 7 2 5 4" xfId="11538" xr:uid="{248E3930-3B7A-4C36-82EC-2BBE2F4E393A}"/>
    <cellStyle name="Normal 4 7 2 6" xfId="2559" xr:uid="{00000000-0005-0000-0000-0000B3160000}"/>
    <cellStyle name="Normal 4 7 2 6 2" xfId="6842" xr:uid="{00000000-0005-0000-0000-0000B4160000}"/>
    <cellStyle name="Normal 4 7 2 6 2 2" xfId="16168" xr:uid="{A16CC8B0-5EEB-4A90-AE79-3C43BD011DAB}"/>
    <cellStyle name="Normal 4 7 2 6 3" xfId="11951" xr:uid="{ABCC50B7-9262-43B2-8476-8CA1D120021E}"/>
    <cellStyle name="Normal 4 7 2 7" xfId="4777" xr:uid="{00000000-0005-0000-0000-0000B5160000}"/>
    <cellStyle name="Normal 4 7 2 7 2" xfId="14103" xr:uid="{1F61D69D-C197-4C42-91F0-2E32288BD785}"/>
    <cellStyle name="Normal 4 7 2 8" xfId="9050" xr:uid="{C18A0BCD-6C40-47C4-AC72-E06914F008F6}"/>
    <cellStyle name="Normal 4 7 2 8 2" xfId="18374" xr:uid="{0E647C28-FD80-4A3B-B4E9-919366F04A55}"/>
    <cellStyle name="Normal 4 7 2 9" xfId="9886" xr:uid="{7C57AC7A-4390-4967-9A82-7B45E77424E1}"/>
    <cellStyle name="Normal 4 7 3" xfId="877" xr:uid="{00000000-0005-0000-0000-0000B6160000}"/>
    <cellStyle name="Normal 4 7 3 2" xfId="3112" xr:uid="{00000000-0005-0000-0000-0000B7160000}"/>
    <cellStyle name="Normal 4 7 3 2 2" xfId="7334" xr:uid="{00000000-0005-0000-0000-0000B8160000}"/>
    <cellStyle name="Normal 4 7 3 2 2 2" xfId="16660" xr:uid="{F9EF646D-D1FF-44BD-9EC7-D69CB66C9CB7}"/>
    <cellStyle name="Normal 4 7 3 2 3" xfId="12443" xr:uid="{B4F47FCC-7961-4719-B4F0-54C6873D771C}"/>
    <cellStyle name="Normal 4 7 3 3" xfId="5189" xr:uid="{00000000-0005-0000-0000-0000B9160000}"/>
    <cellStyle name="Normal 4 7 3 3 2" xfId="14515" xr:uid="{AE1D5D06-38A7-42A9-9CDB-4C3D3F538414}"/>
    <cellStyle name="Normal 4 7 3 4" xfId="9268" xr:uid="{83DA99B2-5D77-4110-AEB9-304D3ECEF3EB}"/>
    <cellStyle name="Normal 4 7 3 4 2" xfId="18583" xr:uid="{984DB7B5-54CA-4055-9DC9-1AA26188849C}"/>
    <cellStyle name="Normal 4 7 3 5" xfId="10298" xr:uid="{842084BB-F07A-4CDF-8DEC-BA6D1F785655}"/>
    <cellStyle name="Normal 4 7 4" xfId="1295" xr:uid="{00000000-0005-0000-0000-0000BA160000}"/>
    <cellStyle name="Normal 4 7 4 2" xfId="3525" xr:uid="{00000000-0005-0000-0000-0000BB160000}"/>
    <cellStyle name="Normal 4 7 4 2 2" xfId="7747" xr:uid="{00000000-0005-0000-0000-0000BC160000}"/>
    <cellStyle name="Normal 4 7 4 2 2 2" xfId="17073" xr:uid="{7C8882F5-A732-43DA-AACD-C8F290F23405}"/>
    <cellStyle name="Normal 4 7 4 2 3" xfId="12856" xr:uid="{60987A76-45F6-4A43-B94D-ECE686E671B2}"/>
    <cellStyle name="Normal 4 7 4 3" xfId="5602" xr:uid="{00000000-0005-0000-0000-0000BD160000}"/>
    <cellStyle name="Normal 4 7 4 3 2" xfId="14928" xr:uid="{278076D4-1519-434E-80A0-72BE1ABF8B07}"/>
    <cellStyle name="Normal 4 7 4 4" xfId="10711" xr:uid="{FF4355D9-3C4D-44B1-86E0-9EAFE904D5A8}"/>
    <cellStyle name="Normal 4 7 5" xfId="1708" xr:uid="{00000000-0005-0000-0000-0000BE160000}"/>
    <cellStyle name="Normal 4 7 5 2" xfId="3938" xr:uid="{00000000-0005-0000-0000-0000BF160000}"/>
    <cellStyle name="Normal 4 7 5 2 2" xfId="8160" xr:uid="{00000000-0005-0000-0000-0000C0160000}"/>
    <cellStyle name="Normal 4 7 5 2 2 2" xfId="17486" xr:uid="{B1FF2997-542D-441B-BC4E-1EB17EF90145}"/>
    <cellStyle name="Normal 4 7 5 2 3" xfId="13269" xr:uid="{A09E8415-1424-45F1-853F-8219136D6E7F}"/>
    <cellStyle name="Normal 4 7 5 3" xfId="6015" xr:uid="{00000000-0005-0000-0000-0000C1160000}"/>
    <cellStyle name="Normal 4 7 5 3 2" xfId="15341" xr:uid="{C347ACD6-2BC2-43AB-B873-C65470C19179}"/>
    <cellStyle name="Normal 4 7 5 4" xfId="11124" xr:uid="{FFF1C4D5-F81A-426C-8C7C-DDA06C362D2F}"/>
    <cellStyle name="Normal 4 7 6" xfId="2122" xr:uid="{00000000-0005-0000-0000-0000C2160000}"/>
    <cellStyle name="Normal 4 7 6 2" xfId="4351" xr:uid="{00000000-0005-0000-0000-0000C3160000}"/>
    <cellStyle name="Normal 4 7 6 2 2" xfId="8573" xr:uid="{00000000-0005-0000-0000-0000C4160000}"/>
    <cellStyle name="Normal 4 7 6 2 2 2" xfId="17899" xr:uid="{30D318BB-F2EC-4A69-A16E-5F5C09EDF8C4}"/>
    <cellStyle name="Normal 4 7 6 2 3" xfId="13682" xr:uid="{98E00798-4E0D-447C-83E4-5A7EEADEB2E5}"/>
    <cellStyle name="Normal 4 7 6 3" xfId="6428" xr:uid="{00000000-0005-0000-0000-0000C5160000}"/>
    <cellStyle name="Normal 4 7 6 3 2" xfId="15754" xr:uid="{CE9AAA51-5F82-48D0-811A-831F32D022A9}"/>
    <cellStyle name="Normal 4 7 6 4" xfId="11537" xr:uid="{1582F41D-1A6A-441C-B23E-B649A580892E}"/>
    <cellStyle name="Normal 4 7 7" xfId="2558" xr:uid="{00000000-0005-0000-0000-0000C6160000}"/>
    <cellStyle name="Normal 4 7 7 2" xfId="6841" xr:uid="{00000000-0005-0000-0000-0000C7160000}"/>
    <cellStyle name="Normal 4 7 7 2 2" xfId="16167" xr:uid="{4E43B979-36B9-4DDB-965E-2D4F7E1AB204}"/>
    <cellStyle name="Normal 4 7 7 3" xfId="11950" xr:uid="{BBD591BA-15EF-4875-A86C-B805DEA34CC5}"/>
    <cellStyle name="Normal 4 7 8" xfId="4776" xr:uid="{00000000-0005-0000-0000-0000C8160000}"/>
    <cellStyle name="Normal 4 7 8 2" xfId="14102" xr:uid="{3245EB28-D7C4-4B39-B6C5-99C14689EF42}"/>
    <cellStyle name="Normal 4 7 9" xfId="8843" xr:uid="{092972D9-0015-4C5A-94A6-5AFD2026266B}"/>
    <cellStyle name="Normal 4 7 9 2" xfId="18167" xr:uid="{12AE2876-9245-48ED-8463-07DFF9CD308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AAA7049C-17DF-407D-B1B7-2C37C6237363}"/>
    <cellStyle name="Normal 4 8 2 2 3" xfId="12445" xr:uid="{1A17303A-40D9-4CC6-828E-87D702684248}"/>
    <cellStyle name="Normal 4 8 2 3" xfId="5191" xr:uid="{00000000-0005-0000-0000-0000CD160000}"/>
    <cellStyle name="Normal 4 8 2 3 2" xfId="14517" xr:uid="{F6840AD5-F604-431F-9BDB-5D11AEB2067F}"/>
    <cellStyle name="Normal 4 8 2 4" xfId="9384" xr:uid="{6351F1DA-E485-4044-8429-C0AE76E79EEE}"/>
    <cellStyle name="Normal 4 8 2 4 2" xfId="18699" xr:uid="{28841D27-D5C4-455F-8857-73308F5305CF}"/>
    <cellStyle name="Normal 4 8 2 5" xfId="10300" xr:uid="{F18027F3-D10D-4D58-BE9C-391508AAC574}"/>
    <cellStyle name="Normal 4 8 3" xfId="1297" xr:uid="{00000000-0005-0000-0000-0000CE160000}"/>
    <cellStyle name="Normal 4 8 3 2" xfId="3527" xr:uid="{00000000-0005-0000-0000-0000CF160000}"/>
    <cellStyle name="Normal 4 8 3 2 2" xfId="7749" xr:uid="{00000000-0005-0000-0000-0000D0160000}"/>
    <cellStyle name="Normal 4 8 3 2 2 2" xfId="17075" xr:uid="{099BD2E9-80E8-4C29-B44C-F11C43E2F294}"/>
    <cellStyle name="Normal 4 8 3 2 3" xfId="12858" xr:uid="{7F1C27CE-C184-4733-8337-E57A105DF1E5}"/>
    <cellStyle name="Normal 4 8 3 3" xfId="5604" xr:uid="{00000000-0005-0000-0000-0000D1160000}"/>
    <cellStyle name="Normal 4 8 3 3 2" xfId="14930" xr:uid="{7D7662AB-D3B4-4901-A425-16FE1802027F}"/>
    <cellStyle name="Normal 4 8 3 4" xfId="10713" xr:uid="{EF5716BA-F95C-407D-BA9B-02E71C52D217}"/>
    <cellStyle name="Normal 4 8 4" xfId="1710" xr:uid="{00000000-0005-0000-0000-0000D2160000}"/>
    <cellStyle name="Normal 4 8 4 2" xfId="3940" xr:uid="{00000000-0005-0000-0000-0000D3160000}"/>
    <cellStyle name="Normal 4 8 4 2 2" xfId="8162" xr:uid="{00000000-0005-0000-0000-0000D4160000}"/>
    <cellStyle name="Normal 4 8 4 2 2 2" xfId="17488" xr:uid="{72FC8080-75BA-4734-B89B-7A4F1D8E0EFE}"/>
    <cellStyle name="Normal 4 8 4 2 3" xfId="13271" xr:uid="{7959DFD1-2A0E-44BE-B55E-8748DE6DF6D1}"/>
    <cellStyle name="Normal 4 8 4 3" xfId="6017" xr:uid="{00000000-0005-0000-0000-0000D5160000}"/>
    <cellStyle name="Normal 4 8 4 3 2" xfId="15343" xr:uid="{8A434793-D3E6-4993-8DBB-11FFAD7144F3}"/>
    <cellStyle name="Normal 4 8 4 4" xfId="11126" xr:uid="{174C9D91-3D6F-4F53-AC47-8A2C433871AC}"/>
    <cellStyle name="Normal 4 8 5" xfId="2124" xr:uid="{00000000-0005-0000-0000-0000D6160000}"/>
    <cellStyle name="Normal 4 8 5 2" xfId="4353" xr:uid="{00000000-0005-0000-0000-0000D7160000}"/>
    <cellStyle name="Normal 4 8 5 2 2" xfId="8575" xr:uid="{00000000-0005-0000-0000-0000D8160000}"/>
    <cellStyle name="Normal 4 8 5 2 2 2" xfId="17901" xr:uid="{F9DCFDFD-1995-4341-BA18-6CD772759945}"/>
    <cellStyle name="Normal 4 8 5 2 3" xfId="13684" xr:uid="{6B9EA458-FF25-4AA2-89BF-D7E898F0BE64}"/>
    <cellStyle name="Normal 4 8 5 3" xfId="6430" xr:uid="{00000000-0005-0000-0000-0000D9160000}"/>
    <cellStyle name="Normal 4 8 5 3 2" xfId="15756" xr:uid="{490622DE-8D4B-4224-860D-B780968A64D1}"/>
    <cellStyle name="Normal 4 8 5 4" xfId="11539" xr:uid="{B5E4ED81-2B85-474F-8B42-496884ED8F77}"/>
    <cellStyle name="Normal 4 8 6" xfId="2560" xr:uid="{00000000-0005-0000-0000-0000DA160000}"/>
    <cellStyle name="Normal 4 8 6 2" xfId="6843" xr:uid="{00000000-0005-0000-0000-0000DB160000}"/>
    <cellStyle name="Normal 4 8 6 2 2" xfId="16169" xr:uid="{D07DF437-267A-4BA9-90E1-35FD6F85B9C2}"/>
    <cellStyle name="Normal 4 8 6 3" xfId="11952" xr:uid="{394F80B6-0C13-4F65-8231-13CD98204A20}"/>
    <cellStyle name="Normal 4 8 7" xfId="4778" xr:uid="{00000000-0005-0000-0000-0000DC160000}"/>
    <cellStyle name="Normal 4 8 7 2" xfId="14104" xr:uid="{8424D58A-3F48-408C-8451-7A5CECFD1B5C}"/>
    <cellStyle name="Normal 4 8 8" xfId="8959" xr:uid="{E3216EF3-66EB-48FF-967C-A258B3C3F4FF}"/>
    <cellStyle name="Normal 4 8 8 2" xfId="18283" xr:uid="{4182C242-FF19-4A34-A595-68893FBC3F60}"/>
    <cellStyle name="Normal 4 8 9" xfId="9887" xr:uid="{77077E91-B913-4B9F-9134-4460175DC357}"/>
    <cellStyle name="Normal 4 9" xfId="4715" xr:uid="{00000000-0005-0000-0000-0000DD160000}"/>
    <cellStyle name="Normal 4 9 2" xfId="9162" xr:uid="{BC355FAB-4557-4712-A03F-EB5522B29E6A}"/>
    <cellStyle name="Normal 4 9 2 2" xfId="18480" xr:uid="{8CE7D94A-99AC-4A8A-9BFE-36B1EC43B3CB}"/>
    <cellStyle name="Normal 4 9 3" xfId="14041" xr:uid="{0B3E8531-8FE0-4949-BEB4-E06336FB6144}"/>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CE8A4DC5-D7E8-4E05-92F3-C8B21866905D}"/>
    <cellStyle name="Normal 5 10 2 3" xfId="13272" xr:uid="{84ED2486-E1FF-4B34-B2DF-6ACE0B48B19C}"/>
    <cellStyle name="Normal 5 10 3" xfId="6018" xr:uid="{00000000-0005-0000-0000-0000E2160000}"/>
    <cellStyle name="Normal 5 10 3 2" xfId="15344" xr:uid="{2775B023-A0CF-43B9-A317-9B23C208EC21}"/>
    <cellStyle name="Normal 5 10 4" xfId="11127" xr:uid="{AEEB3EC8-23CA-4BE7-8BF6-964307F1B9B0}"/>
    <cellStyle name="Normal 5 11" xfId="2125" xr:uid="{00000000-0005-0000-0000-0000E3160000}"/>
    <cellStyle name="Normal 5 11 2" xfId="4354" xr:uid="{00000000-0005-0000-0000-0000E4160000}"/>
    <cellStyle name="Normal 5 11 2 2" xfId="8576" xr:uid="{00000000-0005-0000-0000-0000E5160000}"/>
    <cellStyle name="Normal 5 11 2 2 2" xfId="17902" xr:uid="{BE16E8C4-B247-4977-A91A-0FF6C4A36EF8}"/>
    <cellStyle name="Normal 5 11 2 3" xfId="13685" xr:uid="{304A8FBF-835C-4D07-80B3-E6B08E04E11D}"/>
    <cellStyle name="Normal 5 11 3" xfId="6431" xr:uid="{00000000-0005-0000-0000-0000E6160000}"/>
    <cellStyle name="Normal 5 11 3 2" xfId="15757" xr:uid="{C356631B-6A04-4F63-94B5-C76033158037}"/>
    <cellStyle name="Normal 5 11 4" xfId="11540" xr:uid="{D27E7402-557A-4E0C-AFE1-27FC0B8F80BC}"/>
    <cellStyle name="Normal 5 12" xfId="2561" xr:uid="{00000000-0005-0000-0000-0000E7160000}"/>
    <cellStyle name="Normal 5 12 2" xfId="6844" xr:uid="{00000000-0005-0000-0000-0000E8160000}"/>
    <cellStyle name="Normal 5 12 2 2" xfId="16170" xr:uid="{06D36D69-A5AF-4F9E-ADC4-F2A7142DD84F}"/>
    <cellStyle name="Normal 5 12 3" xfId="11953" xr:uid="{78FAE6D5-F897-4D07-8C78-61ABFA395F6F}"/>
    <cellStyle name="Normal 5 13" xfId="4779" xr:uid="{00000000-0005-0000-0000-0000E9160000}"/>
    <cellStyle name="Normal 5 13 2" xfId="14105" xr:uid="{232CE23C-944B-4F6F-A48A-36E4EEF652E2}"/>
    <cellStyle name="Normal 5 14" xfId="8741" xr:uid="{6467398C-BC57-47BF-AF01-9B3356F8431F}"/>
    <cellStyle name="Normal 5 14 2" xfId="18065" xr:uid="{4B7682F0-C8D4-4757-ACB8-5DF3D67DEF07}"/>
    <cellStyle name="Normal 5 15" xfId="9888" xr:uid="{6A7AF7B3-0340-42CE-B427-4F4F33C3820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07B42309-67EA-4A4E-8509-8E7EAD277982}"/>
    <cellStyle name="Normal 5 2 10 2 3" xfId="13686" xr:uid="{C90E095F-A7AA-4B87-BF3C-62FD49398EF2}"/>
    <cellStyle name="Normal 5 2 10 3" xfId="6432" xr:uid="{00000000-0005-0000-0000-0000EE160000}"/>
    <cellStyle name="Normal 5 2 10 3 2" xfId="15758" xr:uid="{05E84B35-88EE-438F-81EA-BD3505AF1CEF}"/>
    <cellStyle name="Normal 5 2 10 4" xfId="11541" xr:uid="{9D8EC308-FB19-4B3B-996A-D5D9EF889BD3}"/>
    <cellStyle name="Normal 5 2 11" xfId="2562" xr:uid="{00000000-0005-0000-0000-0000EF160000}"/>
    <cellStyle name="Normal 5 2 11 2" xfId="6845" xr:uid="{00000000-0005-0000-0000-0000F0160000}"/>
    <cellStyle name="Normal 5 2 11 2 2" xfId="16171" xr:uid="{A29C582A-0042-4F87-8F6A-658C8067CBE6}"/>
    <cellStyle name="Normal 5 2 11 3" xfId="11954" xr:uid="{356D5E14-CB1C-44EB-8A73-2EE9D62CD9BD}"/>
    <cellStyle name="Normal 5 2 12" xfId="4780" xr:uid="{00000000-0005-0000-0000-0000F1160000}"/>
    <cellStyle name="Normal 5 2 12 2" xfId="14106" xr:uid="{0FFA4F88-49C1-469D-9C4B-6477584F1B36}"/>
    <cellStyle name="Normal 5 2 13" xfId="8744" xr:uid="{40D5DF2B-E9DF-4D52-AAE0-3E5A94050B59}"/>
    <cellStyle name="Normal 5 2 13 2" xfId="18068" xr:uid="{98280A75-6CAF-440E-B706-C0D38F9C4897}"/>
    <cellStyle name="Normal 5 2 14" xfId="9889" xr:uid="{EABF3460-6390-4810-94A7-6F522A44416A}"/>
    <cellStyle name="Normal 5 2 2" xfId="408" xr:uid="{00000000-0005-0000-0000-0000F2160000}"/>
    <cellStyle name="Normal 5 2 2 10" xfId="2563" xr:uid="{00000000-0005-0000-0000-0000F3160000}"/>
    <cellStyle name="Normal 5 2 2 10 2" xfId="6846" xr:uid="{00000000-0005-0000-0000-0000F4160000}"/>
    <cellStyle name="Normal 5 2 2 10 2 2" xfId="16172" xr:uid="{095C8FA4-4D9D-4D01-A131-3B78FD3520E9}"/>
    <cellStyle name="Normal 5 2 2 10 3" xfId="11955" xr:uid="{2E5ECE18-7277-4D82-BD6E-C3643690B8C4}"/>
    <cellStyle name="Normal 5 2 2 11" xfId="4781" xr:uid="{00000000-0005-0000-0000-0000F5160000}"/>
    <cellStyle name="Normal 5 2 2 11 2" xfId="14107" xr:uid="{3500FCDC-B2A8-406D-A38A-B5B6AA4F08D0}"/>
    <cellStyle name="Normal 5 2 2 12" xfId="8753" xr:uid="{96D04E2F-D92F-448D-9FDA-8261D8BEE094}"/>
    <cellStyle name="Normal 5 2 2 12 2" xfId="18077" xr:uid="{CAA7BC45-1B2D-4FF2-88AB-C4E3C3AE3A0F}"/>
    <cellStyle name="Normal 5 2 2 13" xfId="9890" xr:uid="{449548D9-99ED-4B8D-A21B-9C28A92427FA}"/>
    <cellStyle name="Normal 5 2 2 2" xfId="409" xr:uid="{00000000-0005-0000-0000-0000F6160000}"/>
    <cellStyle name="Normal 5 2 2 2 10" xfId="4782" xr:uid="{00000000-0005-0000-0000-0000F7160000}"/>
    <cellStyle name="Normal 5 2 2 2 10 2" xfId="14108" xr:uid="{2147699C-1E91-40A3-B4CE-3FDFB2913138}"/>
    <cellStyle name="Normal 5 2 2 2 11" xfId="8771" xr:uid="{0E58ED1C-12F1-4692-801F-170CA6F7CBDB}"/>
    <cellStyle name="Normal 5 2 2 2 11 2" xfId="18095" xr:uid="{CF048105-A523-4B81-B918-93B3DE03FE13}"/>
    <cellStyle name="Normal 5 2 2 2 12" xfId="9891" xr:uid="{517A2C6A-B371-4324-B63A-D8C147D7E03D}"/>
    <cellStyle name="Normal 5 2 2 2 2" xfId="410" xr:uid="{00000000-0005-0000-0000-0000F8160000}"/>
    <cellStyle name="Normal 5 2 2 2 2 10" xfId="8829" xr:uid="{AC161972-21E9-4E03-8D2E-9F95632CB08D}"/>
    <cellStyle name="Normal 5 2 2 2 2 10 2" xfId="18153" xr:uid="{C01F0AB3-3558-453E-9D39-53E304CEEF63}"/>
    <cellStyle name="Normal 5 2 2 2 2 11" xfId="9892" xr:uid="{E7435E45-AB94-461B-89FC-8E15E426418F}"/>
    <cellStyle name="Normal 5 2 2 2 2 2" xfId="411" xr:uid="{00000000-0005-0000-0000-0000F9160000}"/>
    <cellStyle name="Normal 5 2 2 2 2 2 10" xfId="9893" xr:uid="{040A7290-613F-407C-AED0-A79CFDB5ECC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8902AC29-A5FC-46E6-8FDA-4A8635169F88}"/>
    <cellStyle name="Normal 5 2 2 2 2 2 2 2 2 3" xfId="12452" xr:uid="{06368479-27FF-45F3-B678-5A23DF6B7733}"/>
    <cellStyle name="Normal 5 2 2 2 2 2 2 2 3" xfId="5198" xr:uid="{00000000-0005-0000-0000-0000FE160000}"/>
    <cellStyle name="Normal 5 2 2 2 2 2 2 2 3 2" xfId="14524" xr:uid="{EB255E30-C696-43C8-880A-D641676044A5}"/>
    <cellStyle name="Normal 5 2 2 2 2 2 2 2 4" xfId="9564" xr:uid="{15884BE4-44C0-46E7-A184-FC102AAADEB4}"/>
    <cellStyle name="Normal 5 2 2 2 2 2 2 2 4 2" xfId="18879" xr:uid="{C1A1728E-7E23-41A5-9C6F-57D2CC429754}"/>
    <cellStyle name="Normal 5 2 2 2 2 2 2 2 5" xfId="10307" xr:uid="{260939AB-136A-40D7-AC17-D74DD6C810A5}"/>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2EF89943-89EC-4F37-B03A-3AF5FF934E77}"/>
    <cellStyle name="Normal 5 2 2 2 2 2 2 3 2 3" xfId="12865" xr:uid="{5BE5EA18-EDEC-4B8F-85F7-2BAA5D13823C}"/>
    <cellStyle name="Normal 5 2 2 2 2 2 2 3 3" xfId="5611" xr:uid="{00000000-0005-0000-0000-000002170000}"/>
    <cellStyle name="Normal 5 2 2 2 2 2 2 3 3 2" xfId="14937" xr:uid="{CA5DE15C-F98D-4D37-B265-22D03A533C7C}"/>
    <cellStyle name="Normal 5 2 2 2 2 2 2 3 4" xfId="10720" xr:uid="{F6A25F7C-C527-4751-9119-00FB18FFC69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DD320AC2-694D-491F-9938-AA0E77E26903}"/>
    <cellStyle name="Normal 5 2 2 2 2 2 2 4 2 3" xfId="13278" xr:uid="{AEA06C6C-19D0-4615-92C2-6A09BFFA0B66}"/>
    <cellStyle name="Normal 5 2 2 2 2 2 2 4 3" xfId="6024" xr:uid="{00000000-0005-0000-0000-000006170000}"/>
    <cellStyle name="Normal 5 2 2 2 2 2 2 4 3 2" xfId="15350" xr:uid="{7B4C34BA-999A-484E-AF61-E229FBA70331}"/>
    <cellStyle name="Normal 5 2 2 2 2 2 2 4 4" xfId="11133" xr:uid="{DFEEB0DA-B5D8-4FC8-B673-31C816D89B5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A63B6D14-423D-4680-B4E4-14862F3B83CF}"/>
    <cellStyle name="Normal 5 2 2 2 2 2 2 5 2 3" xfId="13691" xr:uid="{70D7BB74-5150-4FE4-B0BC-67A432A7982A}"/>
    <cellStyle name="Normal 5 2 2 2 2 2 2 5 3" xfId="6437" xr:uid="{00000000-0005-0000-0000-00000A170000}"/>
    <cellStyle name="Normal 5 2 2 2 2 2 2 5 3 2" xfId="15763" xr:uid="{78B0F3BC-AA68-4FD4-A443-DDDC35B848E1}"/>
    <cellStyle name="Normal 5 2 2 2 2 2 2 5 4" xfId="11546" xr:uid="{758F2B28-801F-4F4F-BE7F-4E400F0EBE99}"/>
    <cellStyle name="Normal 5 2 2 2 2 2 2 6" xfId="2567" xr:uid="{00000000-0005-0000-0000-00000B170000}"/>
    <cellStyle name="Normal 5 2 2 2 2 2 2 6 2" xfId="6850" xr:uid="{00000000-0005-0000-0000-00000C170000}"/>
    <cellStyle name="Normal 5 2 2 2 2 2 2 6 2 2" xfId="16176" xr:uid="{9353B706-E05D-498B-8430-DD766B2C2008}"/>
    <cellStyle name="Normal 5 2 2 2 2 2 2 6 3" xfId="11959" xr:uid="{EEA1E524-0B4F-4A94-96BE-C67D1AE60BB1}"/>
    <cellStyle name="Normal 5 2 2 2 2 2 2 7" xfId="4785" xr:uid="{00000000-0005-0000-0000-00000D170000}"/>
    <cellStyle name="Normal 5 2 2 2 2 2 2 7 2" xfId="14111" xr:uid="{67C05139-952E-4E68-A2A7-6885516B53FF}"/>
    <cellStyle name="Normal 5 2 2 2 2 2 2 8" xfId="9139" xr:uid="{CFCC7179-F81D-4929-81F2-C6E64655A093}"/>
    <cellStyle name="Normal 5 2 2 2 2 2 2 8 2" xfId="18463" xr:uid="{4016A886-1FAD-4E34-825B-89D79BC35929}"/>
    <cellStyle name="Normal 5 2 2 2 2 2 2 9" xfId="9894" xr:uid="{A5FB27DC-57F0-4067-AF4E-3493D893FC6B}"/>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0358E4D7-CB1D-4C3C-9DA0-3B413F99F416}"/>
    <cellStyle name="Normal 5 2 2 2 2 2 3 2 3" xfId="12451" xr:uid="{235203E6-FD19-4C7D-BE4E-3E26EC57F473}"/>
    <cellStyle name="Normal 5 2 2 2 2 2 3 3" xfId="5197" xr:uid="{00000000-0005-0000-0000-000011170000}"/>
    <cellStyle name="Normal 5 2 2 2 2 2 3 3 2" xfId="14523" xr:uid="{0A187C82-12B3-4A66-BF94-2B39F1D4D77C}"/>
    <cellStyle name="Normal 5 2 2 2 2 2 3 4" xfId="9357" xr:uid="{1809EB60-9E69-4954-99A5-643CD830C5FB}"/>
    <cellStyle name="Normal 5 2 2 2 2 2 3 4 2" xfId="18672" xr:uid="{15A22C50-E28A-4FB4-9A18-D61165AE2CF5}"/>
    <cellStyle name="Normal 5 2 2 2 2 2 3 5" xfId="10306" xr:uid="{0C9D7E03-6EA8-436F-9A4D-CBDF2C8749F6}"/>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237E7661-8E54-4CA2-B472-646CB76470AB}"/>
    <cellStyle name="Normal 5 2 2 2 2 2 4 2 3" xfId="12864" xr:uid="{E9262240-1BCD-42EB-8B5B-E7F393BDCC6B}"/>
    <cellStyle name="Normal 5 2 2 2 2 2 4 3" xfId="5610" xr:uid="{00000000-0005-0000-0000-000015170000}"/>
    <cellStyle name="Normal 5 2 2 2 2 2 4 3 2" xfId="14936" xr:uid="{C45C8981-4C6A-4672-BC3F-F8136AA0192B}"/>
    <cellStyle name="Normal 5 2 2 2 2 2 4 4" xfId="10719" xr:uid="{C021150F-D3E5-481B-9F0C-B500F8C0B536}"/>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F767745A-7D2D-42DC-8EE1-05F56F83D6FD}"/>
    <cellStyle name="Normal 5 2 2 2 2 2 5 2 3" xfId="13277" xr:uid="{8675CD44-4513-44DD-9FF2-D485084EC8DA}"/>
    <cellStyle name="Normal 5 2 2 2 2 2 5 3" xfId="6023" xr:uid="{00000000-0005-0000-0000-000019170000}"/>
    <cellStyle name="Normal 5 2 2 2 2 2 5 3 2" xfId="15349" xr:uid="{78955BB8-13A0-45F7-9378-4C8F9BE403C2}"/>
    <cellStyle name="Normal 5 2 2 2 2 2 5 4" xfId="11132" xr:uid="{F9956C1E-4CFA-4DEC-A701-482E408A09F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6C18199F-F36A-4672-9117-1BB6CD1A1F3B}"/>
    <cellStyle name="Normal 5 2 2 2 2 2 6 2 3" xfId="13690" xr:uid="{934C4AA3-B640-4898-9648-5474251920C5}"/>
    <cellStyle name="Normal 5 2 2 2 2 2 6 3" xfId="6436" xr:uid="{00000000-0005-0000-0000-00001D170000}"/>
    <cellStyle name="Normal 5 2 2 2 2 2 6 3 2" xfId="15762" xr:uid="{12938246-BDB7-4C18-984E-7B7279AA9D20}"/>
    <cellStyle name="Normal 5 2 2 2 2 2 6 4" xfId="11545" xr:uid="{A64800C5-3504-428A-B2CC-2C8074FE8B27}"/>
    <cellStyle name="Normal 5 2 2 2 2 2 7" xfId="2566" xr:uid="{00000000-0005-0000-0000-00001E170000}"/>
    <cellStyle name="Normal 5 2 2 2 2 2 7 2" xfId="6849" xr:uid="{00000000-0005-0000-0000-00001F170000}"/>
    <cellStyle name="Normal 5 2 2 2 2 2 7 2 2" xfId="16175" xr:uid="{D85475AC-BF0E-492A-996D-0CA54058DCDD}"/>
    <cellStyle name="Normal 5 2 2 2 2 2 7 3" xfId="11958" xr:uid="{61D4C45C-73AE-447D-AD4C-1DC2E296D45C}"/>
    <cellStyle name="Normal 5 2 2 2 2 2 8" xfId="4784" xr:uid="{00000000-0005-0000-0000-000020170000}"/>
    <cellStyle name="Normal 5 2 2 2 2 2 8 2" xfId="14110" xr:uid="{394694FA-EB81-4629-A267-E3B0C7E492F4}"/>
    <cellStyle name="Normal 5 2 2 2 2 2 9" xfId="8932" xr:uid="{8A89D9DD-5FCE-4028-8D52-F4758EFA866E}"/>
    <cellStyle name="Normal 5 2 2 2 2 2 9 2" xfId="18256" xr:uid="{3B6E4F40-E199-4C1F-9B1E-B5AA72866AA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28BBACE2-332D-49D9-9FD6-D8E40376F150}"/>
    <cellStyle name="Normal 5 2 2 2 2 3 2 2 3" xfId="12453" xr:uid="{E1F6FB92-1484-48AC-B27E-947C8416A5C9}"/>
    <cellStyle name="Normal 5 2 2 2 2 3 2 3" xfId="5199" xr:uid="{00000000-0005-0000-0000-000025170000}"/>
    <cellStyle name="Normal 5 2 2 2 2 3 2 3 2" xfId="14525" xr:uid="{01136265-7F54-4193-A7EC-41DBDC296C62}"/>
    <cellStyle name="Normal 5 2 2 2 2 3 2 4" xfId="9461" xr:uid="{815E4D9A-ED64-4B6C-A17A-F6D83CC40A47}"/>
    <cellStyle name="Normal 5 2 2 2 2 3 2 4 2" xfId="18776" xr:uid="{CFB1F636-CA2A-4F84-84FC-4A4121392FCC}"/>
    <cellStyle name="Normal 5 2 2 2 2 3 2 5" xfId="10308" xr:uid="{78F99555-1F83-4B3F-A4E4-17F486C4AF5B}"/>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4FC0F08C-E584-4BFD-B7C3-672E08A5A896}"/>
    <cellStyle name="Normal 5 2 2 2 2 3 3 2 3" xfId="12866" xr:uid="{C9725014-9AE2-4827-A8E5-027E9D8EA146}"/>
    <cellStyle name="Normal 5 2 2 2 2 3 3 3" xfId="5612" xr:uid="{00000000-0005-0000-0000-000029170000}"/>
    <cellStyle name="Normal 5 2 2 2 2 3 3 3 2" xfId="14938" xr:uid="{7906CF50-07A2-4258-84FD-3090D1D3BB25}"/>
    <cellStyle name="Normal 5 2 2 2 2 3 3 4" xfId="10721" xr:uid="{353F523B-FCD9-4CEA-BC00-6F0A3E279BE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B0EAA82C-5C63-4A04-8DA3-BFDF4E24A57C}"/>
    <cellStyle name="Normal 5 2 2 2 2 3 4 2 3" xfId="13279" xr:uid="{21934D7B-93DD-43B9-98CA-6D8DAF528E0F}"/>
    <cellStyle name="Normal 5 2 2 2 2 3 4 3" xfId="6025" xr:uid="{00000000-0005-0000-0000-00002D170000}"/>
    <cellStyle name="Normal 5 2 2 2 2 3 4 3 2" xfId="15351" xr:uid="{71718B43-6931-4AC5-93BE-EDE43DB8738B}"/>
    <cellStyle name="Normal 5 2 2 2 2 3 4 4" xfId="11134" xr:uid="{6586682B-0FAF-4B6D-804A-FE175A4A83C6}"/>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1B6F097C-16AB-4DB3-82FE-F742F4F40605}"/>
    <cellStyle name="Normal 5 2 2 2 2 3 5 2 3" xfId="13692" xr:uid="{A6A000F8-4C7A-4041-9880-C1A2A7F971B6}"/>
    <cellStyle name="Normal 5 2 2 2 2 3 5 3" xfId="6438" xr:uid="{00000000-0005-0000-0000-000031170000}"/>
    <cellStyle name="Normal 5 2 2 2 2 3 5 3 2" xfId="15764" xr:uid="{DA331223-5870-4634-A47E-F27A8A2B2801}"/>
    <cellStyle name="Normal 5 2 2 2 2 3 5 4" xfId="11547" xr:uid="{08D6480A-3458-4F05-8091-CE83E7E25A42}"/>
    <cellStyle name="Normal 5 2 2 2 2 3 6" xfId="2568" xr:uid="{00000000-0005-0000-0000-000032170000}"/>
    <cellStyle name="Normal 5 2 2 2 2 3 6 2" xfId="6851" xr:uid="{00000000-0005-0000-0000-000033170000}"/>
    <cellStyle name="Normal 5 2 2 2 2 3 6 2 2" xfId="16177" xr:uid="{E20D2E90-5B91-4263-9BDB-40C7CA7A57AC}"/>
    <cellStyle name="Normal 5 2 2 2 2 3 6 3" xfId="11960" xr:uid="{ECA04AF8-D16D-4439-A9E2-9F3EF4AE1977}"/>
    <cellStyle name="Normal 5 2 2 2 2 3 7" xfId="4786" xr:uid="{00000000-0005-0000-0000-000034170000}"/>
    <cellStyle name="Normal 5 2 2 2 2 3 7 2" xfId="14112" xr:uid="{FD6E14D3-4D23-4CC5-9FA0-C99E2DB1AAF9}"/>
    <cellStyle name="Normal 5 2 2 2 2 3 8" xfId="9036" xr:uid="{2B9BC3AC-900A-42EE-A23F-E5574B6E75BC}"/>
    <cellStyle name="Normal 5 2 2 2 2 3 8 2" xfId="18360" xr:uid="{7F0C58F7-5BA9-457F-9CCD-E3F6AD85062E}"/>
    <cellStyle name="Normal 5 2 2 2 2 3 9" xfId="9895" xr:uid="{668F0072-C197-413D-85F4-713F53783296}"/>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27EE180C-07E3-4B64-AACD-D4281D1F4C04}"/>
    <cellStyle name="Normal 5 2 2 2 2 4 2 3" xfId="12450" xr:uid="{1574D637-B8EE-462E-8FBE-F9F40E746E12}"/>
    <cellStyle name="Normal 5 2 2 2 2 4 3" xfId="5196" xr:uid="{00000000-0005-0000-0000-000038170000}"/>
    <cellStyle name="Normal 5 2 2 2 2 4 3 2" xfId="14522" xr:uid="{00C644F6-C06D-4548-AA7D-6688FA24F5F4}"/>
    <cellStyle name="Normal 5 2 2 2 2 4 4" xfId="9254" xr:uid="{B0B4DA0D-4C0F-4712-8BF0-280C2A85D575}"/>
    <cellStyle name="Normal 5 2 2 2 2 4 4 2" xfId="18569" xr:uid="{29EAAAB2-7CCB-44AD-901C-F3478D14DF86}"/>
    <cellStyle name="Normal 5 2 2 2 2 4 5" xfId="10305" xr:uid="{831E082E-EB42-4A69-B84C-CC1943FF057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E71D7C5E-B8DB-46DF-9F3D-2620A50E227C}"/>
    <cellStyle name="Normal 5 2 2 2 2 5 2 3" xfId="12863" xr:uid="{2DAC662A-1CA3-432A-B143-64C41139E117}"/>
    <cellStyle name="Normal 5 2 2 2 2 5 3" xfId="5609" xr:uid="{00000000-0005-0000-0000-00003C170000}"/>
    <cellStyle name="Normal 5 2 2 2 2 5 3 2" xfId="14935" xr:uid="{127ED1FB-E7A0-4596-B9AC-F4EF2EABD7B9}"/>
    <cellStyle name="Normal 5 2 2 2 2 5 4" xfId="10718" xr:uid="{7083226D-A023-48BD-BEEF-E71618CB009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B5464B1B-D54B-4B00-9713-3159DD2F8F1A}"/>
    <cellStyle name="Normal 5 2 2 2 2 6 2 3" xfId="13276" xr:uid="{E67A2F0F-15B2-4A69-9145-2635D6C7C550}"/>
    <cellStyle name="Normal 5 2 2 2 2 6 3" xfId="6022" xr:uid="{00000000-0005-0000-0000-000040170000}"/>
    <cellStyle name="Normal 5 2 2 2 2 6 3 2" xfId="15348" xr:uid="{539E8B7F-91D5-4189-BE38-080234E68E44}"/>
    <cellStyle name="Normal 5 2 2 2 2 6 4" xfId="11131" xr:uid="{0F864E1F-D2A8-45E4-8FEC-3ED6FEF2D20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7843614D-8458-4B68-B4EE-8F98AB0683F7}"/>
    <cellStyle name="Normal 5 2 2 2 2 7 2 3" xfId="13689" xr:uid="{939B1EE3-31E2-4D02-8543-A0EB8ECAC1C0}"/>
    <cellStyle name="Normal 5 2 2 2 2 7 3" xfId="6435" xr:uid="{00000000-0005-0000-0000-000044170000}"/>
    <cellStyle name="Normal 5 2 2 2 2 7 3 2" xfId="15761" xr:uid="{E04A79F0-FA7F-4C3D-A44B-4B784AB3527E}"/>
    <cellStyle name="Normal 5 2 2 2 2 7 4" xfId="11544" xr:uid="{C305EF17-DA4C-4DC7-827B-774660196E3B}"/>
    <cellStyle name="Normal 5 2 2 2 2 8" xfId="2565" xr:uid="{00000000-0005-0000-0000-000045170000}"/>
    <cellStyle name="Normal 5 2 2 2 2 8 2" xfId="6848" xr:uid="{00000000-0005-0000-0000-000046170000}"/>
    <cellStyle name="Normal 5 2 2 2 2 8 2 2" xfId="16174" xr:uid="{567D066F-C6A9-41A8-B426-3CC5F20A60D3}"/>
    <cellStyle name="Normal 5 2 2 2 2 8 3" xfId="11957" xr:uid="{5D617104-F0E7-40AE-B8AD-2E084935960A}"/>
    <cellStyle name="Normal 5 2 2 2 2 9" xfId="4783" xr:uid="{00000000-0005-0000-0000-000047170000}"/>
    <cellStyle name="Normal 5 2 2 2 2 9 2" xfId="14109" xr:uid="{0EC818D9-1DE6-44A0-8547-9139287B5FE8}"/>
    <cellStyle name="Normal 5 2 2 2 3" xfId="414" xr:uid="{00000000-0005-0000-0000-000048170000}"/>
    <cellStyle name="Normal 5 2 2 2 3 10" xfId="9896" xr:uid="{00A767B3-68BD-4BA0-A646-B230FF5F7813}"/>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A9AD2693-3DC5-4739-81B9-7E5FCB57E3C1}"/>
    <cellStyle name="Normal 5 2 2 2 3 2 2 2 3" xfId="12455" xr:uid="{4E6FEBB3-E826-4E94-B31C-71A7E131B0D9}"/>
    <cellStyle name="Normal 5 2 2 2 3 2 2 3" xfId="5201" xr:uid="{00000000-0005-0000-0000-00004D170000}"/>
    <cellStyle name="Normal 5 2 2 2 3 2 2 3 2" xfId="14527" xr:uid="{A7630318-3096-4E81-90C1-D4793D0E0076}"/>
    <cellStyle name="Normal 5 2 2 2 3 2 2 4" xfId="9506" xr:uid="{65E8E1F9-5B62-47C9-8131-412DF42F5268}"/>
    <cellStyle name="Normal 5 2 2 2 3 2 2 4 2" xfId="18821" xr:uid="{7D19EAEE-304E-48C2-8AA1-932CDD33EFEC}"/>
    <cellStyle name="Normal 5 2 2 2 3 2 2 5" xfId="10310" xr:uid="{EA438B88-BC8B-42CB-85BB-BF57909E36AC}"/>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2A5CE079-0927-4ABC-A14D-10A4DAED64B5}"/>
    <cellStyle name="Normal 5 2 2 2 3 2 3 2 3" xfId="12868" xr:uid="{25A8535D-2552-4169-88CB-304FA5CE57E7}"/>
    <cellStyle name="Normal 5 2 2 2 3 2 3 3" xfId="5614" xr:uid="{00000000-0005-0000-0000-000051170000}"/>
    <cellStyle name="Normal 5 2 2 2 3 2 3 3 2" xfId="14940" xr:uid="{AA5379CC-04E2-4361-9901-790C936FF7DC}"/>
    <cellStyle name="Normal 5 2 2 2 3 2 3 4" xfId="10723" xr:uid="{93CB752C-3F1B-4913-99EC-05E066297B5F}"/>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3190E11D-BD72-4168-86EB-C3FD52C17001}"/>
    <cellStyle name="Normal 5 2 2 2 3 2 4 2 3" xfId="13281" xr:uid="{9A14ACD1-E5D9-4A93-8863-CEBC60BF6D23}"/>
    <cellStyle name="Normal 5 2 2 2 3 2 4 3" xfId="6027" xr:uid="{00000000-0005-0000-0000-000055170000}"/>
    <cellStyle name="Normal 5 2 2 2 3 2 4 3 2" xfId="15353" xr:uid="{7BB8A553-513A-47FC-8B49-3FB42D0B26F5}"/>
    <cellStyle name="Normal 5 2 2 2 3 2 4 4" xfId="11136" xr:uid="{DEC27D30-EB45-4107-8A67-1E20CCD744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4D121B7C-CFD7-4067-9E2D-312C702DEB7B}"/>
    <cellStyle name="Normal 5 2 2 2 3 2 5 2 3" xfId="13694" xr:uid="{AA381D65-021F-4358-B144-0C6B2F955875}"/>
    <cellStyle name="Normal 5 2 2 2 3 2 5 3" xfId="6440" xr:uid="{00000000-0005-0000-0000-000059170000}"/>
    <cellStyle name="Normal 5 2 2 2 3 2 5 3 2" xfId="15766" xr:uid="{52D2D902-D527-4EF6-804E-89EAD7EC48C6}"/>
    <cellStyle name="Normal 5 2 2 2 3 2 5 4" xfId="11549" xr:uid="{96E32827-7E66-48F8-879C-C2E8775B0DC3}"/>
    <cellStyle name="Normal 5 2 2 2 3 2 6" xfId="2570" xr:uid="{00000000-0005-0000-0000-00005A170000}"/>
    <cellStyle name="Normal 5 2 2 2 3 2 6 2" xfId="6853" xr:uid="{00000000-0005-0000-0000-00005B170000}"/>
    <cellStyle name="Normal 5 2 2 2 3 2 6 2 2" xfId="16179" xr:uid="{CC6C0A70-D7C5-4257-9F88-D1F32B83C089}"/>
    <cellStyle name="Normal 5 2 2 2 3 2 6 3" xfId="11962" xr:uid="{E57CC6BE-CDAD-496C-A51C-E1774338BFA0}"/>
    <cellStyle name="Normal 5 2 2 2 3 2 7" xfId="4788" xr:uid="{00000000-0005-0000-0000-00005C170000}"/>
    <cellStyle name="Normal 5 2 2 2 3 2 7 2" xfId="14114" xr:uid="{67CB4B48-DA2C-4945-A7EB-47FC85988DD0}"/>
    <cellStyle name="Normal 5 2 2 2 3 2 8" xfId="9081" xr:uid="{B0400C6D-4400-4F06-9092-2DCAD3324CF1}"/>
    <cellStyle name="Normal 5 2 2 2 3 2 8 2" xfId="18405" xr:uid="{C8C24784-4986-4C48-AFFA-9510CF76510D}"/>
    <cellStyle name="Normal 5 2 2 2 3 2 9" xfId="9897" xr:uid="{FBDF7BD4-5C09-4408-B7DA-3784D8BD08DB}"/>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BBBF0F46-3A4F-4016-B458-C6CB90CEF11F}"/>
    <cellStyle name="Normal 5 2 2 2 3 3 2 3" xfId="12454" xr:uid="{CB60BD38-869C-49AF-B8B7-1CF09D953E11}"/>
    <cellStyle name="Normal 5 2 2 2 3 3 3" xfId="5200" xr:uid="{00000000-0005-0000-0000-000060170000}"/>
    <cellStyle name="Normal 5 2 2 2 3 3 3 2" xfId="14526" xr:uid="{B0B5DC45-E6FD-4566-ACFF-768439CD7C23}"/>
    <cellStyle name="Normal 5 2 2 2 3 3 4" xfId="9299" xr:uid="{85780536-A38F-4D86-8846-D9FA6BB2D61D}"/>
    <cellStyle name="Normal 5 2 2 2 3 3 4 2" xfId="18614" xr:uid="{F00B57A2-44BA-4869-A94A-AB073ED640F1}"/>
    <cellStyle name="Normal 5 2 2 2 3 3 5" xfId="10309" xr:uid="{A9F56E57-FAEF-43A6-B607-5D3B49D031E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C271A7E4-0433-4775-9B8A-BDC7EEF5788D}"/>
    <cellStyle name="Normal 5 2 2 2 3 4 2 3" xfId="12867" xr:uid="{84C9C551-B2F1-4041-BC73-078B94C63EAA}"/>
    <cellStyle name="Normal 5 2 2 2 3 4 3" xfId="5613" xr:uid="{00000000-0005-0000-0000-000064170000}"/>
    <cellStyle name="Normal 5 2 2 2 3 4 3 2" xfId="14939" xr:uid="{1B0B8A74-3DCC-4138-9BCF-C3DB3E3E930B}"/>
    <cellStyle name="Normal 5 2 2 2 3 4 4" xfId="10722" xr:uid="{4771E3AE-C0E4-4F40-A4DC-E36DD684BF4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9337D75D-BE12-4ED2-9C6C-F12A3FECF8C2}"/>
    <cellStyle name="Normal 5 2 2 2 3 5 2 3" xfId="13280" xr:uid="{37E82232-32F7-4E40-8880-6D67046CFCCF}"/>
    <cellStyle name="Normal 5 2 2 2 3 5 3" xfId="6026" xr:uid="{00000000-0005-0000-0000-000068170000}"/>
    <cellStyle name="Normal 5 2 2 2 3 5 3 2" xfId="15352" xr:uid="{8DD8A221-CC4B-4DFD-9290-F384BCFC160C}"/>
    <cellStyle name="Normal 5 2 2 2 3 5 4" xfId="11135" xr:uid="{B5433F61-E857-41E8-B10E-128442B5C51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B9938A81-EB4A-4772-927C-8A8B7EB0E733}"/>
    <cellStyle name="Normal 5 2 2 2 3 6 2 3" xfId="13693" xr:uid="{0B6B25F3-4209-46A3-9EAE-82466E71887A}"/>
    <cellStyle name="Normal 5 2 2 2 3 6 3" xfId="6439" xr:uid="{00000000-0005-0000-0000-00006C170000}"/>
    <cellStyle name="Normal 5 2 2 2 3 6 3 2" xfId="15765" xr:uid="{BC6B81C6-BD93-401B-AABD-2580215A7BDC}"/>
    <cellStyle name="Normal 5 2 2 2 3 6 4" xfId="11548" xr:uid="{33D19A3D-21CA-462A-9CAF-5EFE807FDDD1}"/>
    <cellStyle name="Normal 5 2 2 2 3 7" xfId="2569" xr:uid="{00000000-0005-0000-0000-00006D170000}"/>
    <cellStyle name="Normal 5 2 2 2 3 7 2" xfId="6852" xr:uid="{00000000-0005-0000-0000-00006E170000}"/>
    <cellStyle name="Normal 5 2 2 2 3 7 2 2" xfId="16178" xr:uid="{0AEAEA3D-DB87-47AA-A080-D75BA028DED4}"/>
    <cellStyle name="Normal 5 2 2 2 3 7 3" xfId="11961" xr:uid="{BC90D8F4-7A90-4328-96A9-EAB25330625D}"/>
    <cellStyle name="Normal 5 2 2 2 3 8" xfId="4787" xr:uid="{00000000-0005-0000-0000-00006F170000}"/>
    <cellStyle name="Normal 5 2 2 2 3 8 2" xfId="14113" xr:uid="{7EC7F1CB-286D-4020-8860-94103347DBF4}"/>
    <cellStyle name="Normal 5 2 2 2 3 9" xfId="8874" xr:uid="{D7CEB9F3-DFA5-483F-B08A-C4A582DD7FE8}"/>
    <cellStyle name="Normal 5 2 2 2 3 9 2" xfId="18198" xr:uid="{F69F981F-B3C1-461A-AE5F-D79DD2A72F3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944FAF57-65E7-4646-B79C-2794BE89F825}"/>
    <cellStyle name="Normal 5 2 2 2 4 2 2 3" xfId="12456" xr:uid="{7720E98B-C369-4D49-BC55-D45D648086C6}"/>
    <cellStyle name="Normal 5 2 2 2 4 2 3" xfId="5202" xr:uid="{00000000-0005-0000-0000-000074170000}"/>
    <cellStyle name="Normal 5 2 2 2 4 2 3 2" xfId="14528" xr:uid="{57506A48-4BC6-41E5-9C8B-137792E683A5}"/>
    <cellStyle name="Normal 5 2 2 2 4 2 4" xfId="9403" xr:uid="{DDA7C497-662A-4A76-A324-A27E6A0A2B3D}"/>
    <cellStyle name="Normal 5 2 2 2 4 2 4 2" xfId="18718" xr:uid="{400DB06E-9961-485F-B76D-94D3A5BBA54D}"/>
    <cellStyle name="Normal 5 2 2 2 4 2 5" xfId="10311" xr:uid="{23D3AD1B-4F00-4CCD-9DF7-C0A3C2A36EA6}"/>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69861E30-D57C-4505-9666-C5DAE2A68A03}"/>
    <cellStyle name="Normal 5 2 2 2 4 3 2 3" xfId="12869" xr:uid="{0152EFA9-EE88-41CA-B0F0-95335436EED5}"/>
    <cellStyle name="Normal 5 2 2 2 4 3 3" xfId="5615" xr:uid="{00000000-0005-0000-0000-000078170000}"/>
    <cellStyle name="Normal 5 2 2 2 4 3 3 2" xfId="14941" xr:uid="{296DB83F-AD76-494F-9699-47A8ADF78EDF}"/>
    <cellStyle name="Normal 5 2 2 2 4 3 4" xfId="10724" xr:uid="{9201EDB5-3E9C-4733-9BCE-6DAC2FBEAE61}"/>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33E11633-9C38-4D83-A53D-90BFC3B6969C}"/>
    <cellStyle name="Normal 5 2 2 2 4 4 2 3" xfId="13282" xr:uid="{4A85B56C-D1CF-416A-A47C-D7CF4DE65ECE}"/>
    <cellStyle name="Normal 5 2 2 2 4 4 3" xfId="6028" xr:uid="{00000000-0005-0000-0000-00007C170000}"/>
    <cellStyle name="Normal 5 2 2 2 4 4 3 2" xfId="15354" xr:uid="{749970FA-D0EB-46DE-A00C-5045174EF103}"/>
    <cellStyle name="Normal 5 2 2 2 4 4 4" xfId="11137" xr:uid="{E7549B12-0A1B-4626-9067-F2D0B664BBE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9B65B819-5839-4054-9CFE-C1155C346A29}"/>
    <cellStyle name="Normal 5 2 2 2 4 5 2 3" xfId="13695" xr:uid="{48FC6758-F98D-43F7-BC0F-34A5702BD506}"/>
    <cellStyle name="Normal 5 2 2 2 4 5 3" xfId="6441" xr:uid="{00000000-0005-0000-0000-000080170000}"/>
    <cellStyle name="Normal 5 2 2 2 4 5 3 2" xfId="15767" xr:uid="{641BD10E-3377-4882-B438-D9F5155AFC6F}"/>
    <cellStyle name="Normal 5 2 2 2 4 5 4" xfId="11550" xr:uid="{55EA79C1-D963-4363-8893-2B804CD13B52}"/>
    <cellStyle name="Normal 5 2 2 2 4 6" xfId="2571" xr:uid="{00000000-0005-0000-0000-000081170000}"/>
    <cellStyle name="Normal 5 2 2 2 4 6 2" xfId="6854" xr:uid="{00000000-0005-0000-0000-000082170000}"/>
    <cellStyle name="Normal 5 2 2 2 4 6 2 2" xfId="16180" xr:uid="{C2694109-CC78-4BB8-9E55-C628EA66D89B}"/>
    <cellStyle name="Normal 5 2 2 2 4 6 3" xfId="11963" xr:uid="{44912D3A-B57B-4F31-9D6B-A72117C32231}"/>
    <cellStyle name="Normal 5 2 2 2 4 7" xfId="4789" xr:uid="{00000000-0005-0000-0000-000083170000}"/>
    <cellStyle name="Normal 5 2 2 2 4 7 2" xfId="14115" xr:uid="{54C92A03-DFE5-4F33-9FAD-A330B1ACC628}"/>
    <cellStyle name="Normal 5 2 2 2 4 8" xfId="8978" xr:uid="{5B5F86B4-BA0F-43A7-920A-E466FD014739}"/>
    <cellStyle name="Normal 5 2 2 2 4 8 2" xfId="18302" xr:uid="{22B280AE-E43E-45AE-BC62-7175D46719D1}"/>
    <cellStyle name="Normal 5 2 2 2 4 9" xfId="9898" xr:uid="{68483943-39E8-45DA-B94B-A7EB2AC70A60}"/>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BB13AA46-DF06-4477-910B-C9D23C8846FC}"/>
    <cellStyle name="Normal 5 2 2 2 5 2 3" xfId="12449" xr:uid="{71BF0458-4A91-43F8-B8C9-1632854EF019}"/>
    <cellStyle name="Normal 5 2 2 2 5 3" xfId="5195" xr:uid="{00000000-0005-0000-0000-000087170000}"/>
    <cellStyle name="Normal 5 2 2 2 5 3 2" xfId="14521" xr:uid="{DA4086D1-210F-421A-9850-F7C01F65752A}"/>
    <cellStyle name="Normal 5 2 2 2 5 4" xfId="9195" xr:uid="{A7E71EA0-2CA4-4918-870E-A32EEF45C61A}"/>
    <cellStyle name="Normal 5 2 2 2 5 4 2" xfId="18511" xr:uid="{3C970DC4-E6DD-49E3-8512-E6F819B65499}"/>
    <cellStyle name="Normal 5 2 2 2 5 5" xfId="10304" xr:uid="{DC8FF021-D71A-4300-B670-03E38900C4E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C726B785-C006-43A9-8D5A-1AF840F3AAEA}"/>
    <cellStyle name="Normal 5 2 2 2 6 2 3" xfId="12862" xr:uid="{C1B447E4-4643-4B7D-94AF-E1A3A6605649}"/>
    <cellStyle name="Normal 5 2 2 2 6 3" xfId="5608" xr:uid="{00000000-0005-0000-0000-00008B170000}"/>
    <cellStyle name="Normal 5 2 2 2 6 3 2" xfId="14934" xr:uid="{0F301ABB-BCD3-46ED-BCE7-16034FAD7893}"/>
    <cellStyle name="Normal 5 2 2 2 6 4" xfId="10717" xr:uid="{82C58FE4-E30A-452F-A7C6-6DD47C46BC44}"/>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4AB91A48-76E4-420F-BD49-55EF19820C27}"/>
    <cellStyle name="Normal 5 2 2 2 7 2 3" xfId="13275" xr:uid="{5A65F530-C7E6-4A80-A88C-C4C0F41C13FE}"/>
    <cellStyle name="Normal 5 2 2 2 7 3" xfId="6021" xr:uid="{00000000-0005-0000-0000-00008F170000}"/>
    <cellStyle name="Normal 5 2 2 2 7 3 2" xfId="15347" xr:uid="{5593E3B9-D0BE-44CA-9E2A-642E52A64429}"/>
    <cellStyle name="Normal 5 2 2 2 7 4" xfId="11130" xr:uid="{A026CBFA-D34E-42BF-A80D-74FF5CB4A4C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A13428FF-A8E6-456A-84C6-2D5557A98501}"/>
    <cellStyle name="Normal 5 2 2 2 8 2 3" xfId="13688" xr:uid="{579C8422-5526-49D0-8599-3831C530A970}"/>
    <cellStyle name="Normal 5 2 2 2 8 3" xfId="6434" xr:uid="{00000000-0005-0000-0000-000093170000}"/>
    <cellStyle name="Normal 5 2 2 2 8 3 2" xfId="15760" xr:uid="{BC5D37B9-95BF-4E48-9AD5-F4713F7759EB}"/>
    <cellStyle name="Normal 5 2 2 2 8 4" xfId="11543" xr:uid="{08A9A65C-AACE-4E22-B2ED-8AEF6588230D}"/>
    <cellStyle name="Normal 5 2 2 2 9" xfId="2564" xr:uid="{00000000-0005-0000-0000-000094170000}"/>
    <cellStyle name="Normal 5 2 2 2 9 2" xfId="6847" xr:uid="{00000000-0005-0000-0000-000095170000}"/>
    <cellStyle name="Normal 5 2 2 2 9 2 2" xfId="16173" xr:uid="{30F1C45C-222B-48BF-AED9-94927CEBDFF2}"/>
    <cellStyle name="Normal 5 2 2 2 9 3" xfId="11956" xr:uid="{C74FEE75-1BA0-4CD9-B3EF-7F05671FE79F}"/>
    <cellStyle name="Normal 5 2 2 3" xfId="417" xr:uid="{00000000-0005-0000-0000-000096170000}"/>
    <cellStyle name="Normal 5 2 2 3 10" xfId="8828" xr:uid="{5CED8211-F967-469B-812B-9DF6FC250177}"/>
    <cellStyle name="Normal 5 2 2 3 10 2" xfId="18152" xr:uid="{8F60B177-14D4-49AC-8C9C-9EAC3A077EB8}"/>
    <cellStyle name="Normal 5 2 2 3 11" xfId="9899" xr:uid="{47BC8F14-B649-494B-9E2B-0EE98EE40D17}"/>
    <cellStyle name="Normal 5 2 2 3 2" xfId="418" xr:uid="{00000000-0005-0000-0000-000097170000}"/>
    <cellStyle name="Normal 5 2 2 3 2 10" xfId="9900" xr:uid="{3EBE2C12-12C5-40DE-AA3C-32C0DC89AA9C}"/>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3C3149FD-1771-4F68-B0FE-141DCF2FA994}"/>
    <cellStyle name="Normal 5 2 2 3 2 2 2 2 3" xfId="12459" xr:uid="{5817E3CB-264A-4526-8FB4-C4FF5A5305CA}"/>
    <cellStyle name="Normal 5 2 2 3 2 2 2 3" xfId="5205" xr:uid="{00000000-0005-0000-0000-00009C170000}"/>
    <cellStyle name="Normal 5 2 2 3 2 2 2 3 2" xfId="14531" xr:uid="{EFE3E62E-BBB5-46B8-A92B-7A5AFD054BCE}"/>
    <cellStyle name="Normal 5 2 2 3 2 2 2 4" xfId="9563" xr:uid="{804E641C-B5FA-46A3-B805-C1D4AF390C28}"/>
    <cellStyle name="Normal 5 2 2 3 2 2 2 4 2" xfId="18878" xr:uid="{875540C6-8C46-4F36-820B-0BC3B3C77F67}"/>
    <cellStyle name="Normal 5 2 2 3 2 2 2 5" xfId="10314" xr:uid="{4B7AD49C-D038-4FF9-89F2-7654F8799F0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74A6E690-408E-4FD6-A5D0-2608575AD261}"/>
    <cellStyle name="Normal 5 2 2 3 2 2 3 2 3" xfId="12872" xr:uid="{98C10A08-F3E9-4459-9C86-EE94DA6BBDF2}"/>
    <cellStyle name="Normal 5 2 2 3 2 2 3 3" xfId="5618" xr:uid="{00000000-0005-0000-0000-0000A0170000}"/>
    <cellStyle name="Normal 5 2 2 3 2 2 3 3 2" xfId="14944" xr:uid="{A33CB2D8-B88E-472B-93DC-93805F8C0FCC}"/>
    <cellStyle name="Normal 5 2 2 3 2 2 3 4" xfId="10727" xr:uid="{5F02742A-612E-4848-A103-AE968B6736FF}"/>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F832FCA4-C74C-4F15-9FD6-7DAC3F1FCE8E}"/>
    <cellStyle name="Normal 5 2 2 3 2 2 4 2 3" xfId="13285" xr:uid="{E18DCC5E-8288-412C-B183-7CA111726089}"/>
    <cellStyle name="Normal 5 2 2 3 2 2 4 3" xfId="6031" xr:uid="{00000000-0005-0000-0000-0000A4170000}"/>
    <cellStyle name="Normal 5 2 2 3 2 2 4 3 2" xfId="15357" xr:uid="{096E4BA9-2D0D-45DC-95B0-F72E2FC92317}"/>
    <cellStyle name="Normal 5 2 2 3 2 2 4 4" xfId="11140" xr:uid="{0A8804AE-19A6-4979-946B-286205A16DBE}"/>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07CD1914-53DB-4BE6-945E-B1BFEDA539EA}"/>
    <cellStyle name="Normal 5 2 2 3 2 2 5 2 3" xfId="13698" xr:uid="{AA91DBE5-7638-4A83-ABEB-00B1297D27D4}"/>
    <cellStyle name="Normal 5 2 2 3 2 2 5 3" xfId="6444" xr:uid="{00000000-0005-0000-0000-0000A8170000}"/>
    <cellStyle name="Normal 5 2 2 3 2 2 5 3 2" xfId="15770" xr:uid="{E0FC958D-48F3-414A-84C2-241B5346531B}"/>
    <cellStyle name="Normal 5 2 2 3 2 2 5 4" xfId="11553" xr:uid="{606E656F-EEA0-4005-BDBB-815BC113F33F}"/>
    <cellStyle name="Normal 5 2 2 3 2 2 6" xfId="2574" xr:uid="{00000000-0005-0000-0000-0000A9170000}"/>
    <cellStyle name="Normal 5 2 2 3 2 2 6 2" xfId="6857" xr:uid="{00000000-0005-0000-0000-0000AA170000}"/>
    <cellStyle name="Normal 5 2 2 3 2 2 6 2 2" xfId="16183" xr:uid="{DAEE5EC2-D7AE-4877-9461-B0C692731D8F}"/>
    <cellStyle name="Normal 5 2 2 3 2 2 6 3" xfId="11966" xr:uid="{92A32011-7336-4CD2-BF6A-5571ECF4F5A4}"/>
    <cellStyle name="Normal 5 2 2 3 2 2 7" xfId="4792" xr:uid="{00000000-0005-0000-0000-0000AB170000}"/>
    <cellStyle name="Normal 5 2 2 3 2 2 7 2" xfId="14118" xr:uid="{E477F01F-CA9E-4681-80E7-A61AA1B9F85E}"/>
    <cellStyle name="Normal 5 2 2 3 2 2 8" xfId="9138" xr:uid="{BE73D583-3CAB-48A9-8A6F-E88EE69D1D1D}"/>
    <cellStyle name="Normal 5 2 2 3 2 2 8 2" xfId="18462" xr:uid="{F18322A4-2C00-4D6A-B163-10120A408477}"/>
    <cellStyle name="Normal 5 2 2 3 2 2 9" xfId="9901" xr:uid="{90E6A5AB-8491-4811-AC25-97474216A7F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B4A69828-7041-42B5-9FE9-849466117AC7}"/>
    <cellStyle name="Normal 5 2 2 3 2 3 2 3" xfId="12458" xr:uid="{12943387-5313-4202-9F42-8B672CC0F112}"/>
    <cellStyle name="Normal 5 2 2 3 2 3 3" xfId="5204" xr:uid="{00000000-0005-0000-0000-0000AF170000}"/>
    <cellStyle name="Normal 5 2 2 3 2 3 3 2" xfId="14530" xr:uid="{5817A068-6BDF-477B-96EB-D53BA1EF10DE}"/>
    <cellStyle name="Normal 5 2 2 3 2 3 4" xfId="9356" xr:uid="{58BAA3B3-A7A2-4F6F-9929-D8BE9F0A557D}"/>
    <cellStyle name="Normal 5 2 2 3 2 3 4 2" xfId="18671" xr:uid="{0E5784B8-3449-4B18-83F5-95FB87681512}"/>
    <cellStyle name="Normal 5 2 2 3 2 3 5" xfId="10313" xr:uid="{252BE7A2-8015-4640-9CAC-0298733A47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9729E048-2029-40D1-B2B6-D6E0C0FD1552}"/>
    <cellStyle name="Normal 5 2 2 3 2 4 2 3" xfId="12871" xr:uid="{7CBD48F6-E3BB-4A38-A6D1-7B446C91B28D}"/>
    <cellStyle name="Normal 5 2 2 3 2 4 3" xfId="5617" xr:uid="{00000000-0005-0000-0000-0000B3170000}"/>
    <cellStyle name="Normal 5 2 2 3 2 4 3 2" xfId="14943" xr:uid="{CE68EFBA-B439-49FE-8FF3-AAD23E6C8A17}"/>
    <cellStyle name="Normal 5 2 2 3 2 4 4" xfId="10726" xr:uid="{4014A7A4-46F4-4C3C-8DC9-09420ED160A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8519B89C-9C5B-4C0C-AF61-7665A4DCA1AF}"/>
    <cellStyle name="Normal 5 2 2 3 2 5 2 3" xfId="13284" xr:uid="{AEC5E486-1B93-4A3B-A041-156E0C6DF55B}"/>
    <cellStyle name="Normal 5 2 2 3 2 5 3" xfId="6030" xr:uid="{00000000-0005-0000-0000-0000B7170000}"/>
    <cellStyle name="Normal 5 2 2 3 2 5 3 2" xfId="15356" xr:uid="{E8C40FD0-5BC0-4430-B833-9124ED666F55}"/>
    <cellStyle name="Normal 5 2 2 3 2 5 4" xfId="11139" xr:uid="{95C45326-78CF-4832-AD00-9F1C4D2E15E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A3A582C2-955D-4264-8E6A-1604FBA00036}"/>
    <cellStyle name="Normal 5 2 2 3 2 6 2 3" xfId="13697" xr:uid="{C4C2B2D2-CE45-4B04-8C36-587FE1B8305D}"/>
    <cellStyle name="Normal 5 2 2 3 2 6 3" xfId="6443" xr:uid="{00000000-0005-0000-0000-0000BB170000}"/>
    <cellStyle name="Normal 5 2 2 3 2 6 3 2" xfId="15769" xr:uid="{89FC34A3-4D10-4485-8E52-35AB9C0F044F}"/>
    <cellStyle name="Normal 5 2 2 3 2 6 4" xfId="11552" xr:uid="{9A3BDABF-0A11-4BA3-A35F-AD4BE5300178}"/>
    <cellStyle name="Normal 5 2 2 3 2 7" xfId="2573" xr:uid="{00000000-0005-0000-0000-0000BC170000}"/>
    <cellStyle name="Normal 5 2 2 3 2 7 2" xfId="6856" xr:uid="{00000000-0005-0000-0000-0000BD170000}"/>
    <cellStyle name="Normal 5 2 2 3 2 7 2 2" xfId="16182" xr:uid="{E934E509-9BB7-4070-B845-F1DC0480497D}"/>
    <cellStyle name="Normal 5 2 2 3 2 7 3" xfId="11965" xr:uid="{5BEBEBC7-AD2A-4E41-A441-6BB50DEC61A6}"/>
    <cellStyle name="Normal 5 2 2 3 2 8" xfId="4791" xr:uid="{00000000-0005-0000-0000-0000BE170000}"/>
    <cellStyle name="Normal 5 2 2 3 2 8 2" xfId="14117" xr:uid="{C3D7511C-1425-4843-80ED-3DC242CC909D}"/>
    <cellStyle name="Normal 5 2 2 3 2 9" xfId="8931" xr:uid="{E27E09D3-2564-4B82-8EA4-A27330B6B436}"/>
    <cellStyle name="Normal 5 2 2 3 2 9 2" xfId="18255" xr:uid="{E8EA29CA-47DC-4647-A3BF-D50CBB4332E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10B57488-89B0-4FA6-979E-35C8003C4965}"/>
    <cellStyle name="Normal 5 2 2 3 3 2 2 3" xfId="12460" xr:uid="{7F04F5F0-1671-45A1-8B9F-3EE0D5944F8A}"/>
    <cellStyle name="Normal 5 2 2 3 3 2 3" xfId="5206" xr:uid="{00000000-0005-0000-0000-0000C3170000}"/>
    <cellStyle name="Normal 5 2 2 3 3 2 3 2" xfId="14532" xr:uid="{55F82DAE-D615-428D-B574-16D18200E1D1}"/>
    <cellStyle name="Normal 5 2 2 3 3 2 4" xfId="9460" xr:uid="{423E0BE9-24F3-4EF0-8962-2565594BF831}"/>
    <cellStyle name="Normal 5 2 2 3 3 2 4 2" xfId="18775" xr:uid="{AA61F85F-AD31-41ED-98DF-0D89FF5D14D8}"/>
    <cellStyle name="Normal 5 2 2 3 3 2 5" xfId="10315" xr:uid="{6CE2EB5B-8112-465B-BC7A-F7360EB2292D}"/>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467A7753-4A19-4743-9453-08FA6C50C3DE}"/>
    <cellStyle name="Normal 5 2 2 3 3 3 2 3" xfId="12873" xr:uid="{CB7B4961-3D05-448F-98FA-1071D0C67B6A}"/>
    <cellStyle name="Normal 5 2 2 3 3 3 3" xfId="5619" xr:uid="{00000000-0005-0000-0000-0000C7170000}"/>
    <cellStyle name="Normal 5 2 2 3 3 3 3 2" xfId="14945" xr:uid="{FCEAB6C2-0E1A-48F2-A4B5-ABCA7043F0A0}"/>
    <cellStyle name="Normal 5 2 2 3 3 3 4" xfId="10728" xr:uid="{4A2F2E2D-13C6-4E34-B1EA-5555378DBF0A}"/>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8CACB48-629D-40A2-BBF3-4BF0E7A85708}"/>
    <cellStyle name="Normal 5 2 2 3 3 4 2 3" xfId="13286" xr:uid="{30852434-12F7-4F99-B4DA-5D64E1735783}"/>
    <cellStyle name="Normal 5 2 2 3 3 4 3" xfId="6032" xr:uid="{00000000-0005-0000-0000-0000CB170000}"/>
    <cellStyle name="Normal 5 2 2 3 3 4 3 2" xfId="15358" xr:uid="{88C5862E-F7CD-4A05-A894-9D72E0F54582}"/>
    <cellStyle name="Normal 5 2 2 3 3 4 4" xfId="11141" xr:uid="{7340D289-ACAC-4911-BE08-86EF53754CF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01B892BE-0928-4381-A795-5DBDBAE33AED}"/>
    <cellStyle name="Normal 5 2 2 3 3 5 2 3" xfId="13699" xr:uid="{7817161B-1851-4886-8520-902DAF2F37BC}"/>
    <cellStyle name="Normal 5 2 2 3 3 5 3" xfId="6445" xr:uid="{00000000-0005-0000-0000-0000CF170000}"/>
    <cellStyle name="Normal 5 2 2 3 3 5 3 2" xfId="15771" xr:uid="{06304B01-E531-4AB6-9257-DDB9D24A8B54}"/>
    <cellStyle name="Normal 5 2 2 3 3 5 4" xfId="11554" xr:uid="{F416AD13-5B56-4746-8DEF-5740629C69DA}"/>
    <cellStyle name="Normal 5 2 2 3 3 6" xfId="2575" xr:uid="{00000000-0005-0000-0000-0000D0170000}"/>
    <cellStyle name="Normal 5 2 2 3 3 6 2" xfId="6858" xr:uid="{00000000-0005-0000-0000-0000D1170000}"/>
    <cellStyle name="Normal 5 2 2 3 3 6 2 2" xfId="16184" xr:uid="{DF97FB12-F5B1-454A-A083-535AB7AF7376}"/>
    <cellStyle name="Normal 5 2 2 3 3 6 3" xfId="11967" xr:uid="{566C771F-40B4-479B-9C76-10C5439E52CB}"/>
    <cellStyle name="Normal 5 2 2 3 3 7" xfId="4793" xr:uid="{00000000-0005-0000-0000-0000D2170000}"/>
    <cellStyle name="Normal 5 2 2 3 3 7 2" xfId="14119" xr:uid="{8C01F506-1DC8-4C3E-B5DB-22B5B5632366}"/>
    <cellStyle name="Normal 5 2 2 3 3 8" xfId="9035" xr:uid="{6AC57173-16AF-4847-A277-E4254AACDA36}"/>
    <cellStyle name="Normal 5 2 2 3 3 8 2" xfId="18359" xr:uid="{89AEA4D8-0CD0-4DFD-90BE-15273B63EDE4}"/>
    <cellStyle name="Normal 5 2 2 3 3 9" xfId="9902" xr:uid="{59C42C9B-7C50-42A6-9A61-30668BADCC6C}"/>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6744B21B-0899-479D-AD13-4F4390539BE7}"/>
    <cellStyle name="Normal 5 2 2 3 4 2 3" xfId="12457" xr:uid="{F1EC1BF0-A2FD-4CF5-810C-79F090F0F7CB}"/>
    <cellStyle name="Normal 5 2 2 3 4 3" xfId="5203" xr:uid="{00000000-0005-0000-0000-0000D6170000}"/>
    <cellStyle name="Normal 5 2 2 3 4 3 2" xfId="14529" xr:uid="{DE999BED-86DE-49A6-A845-2152A5E60A25}"/>
    <cellStyle name="Normal 5 2 2 3 4 4" xfId="9253" xr:uid="{A5C3AAF9-67DD-41B1-A0BF-05B69F588F71}"/>
    <cellStyle name="Normal 5 2 2 3 4 4 2" xfId="18568" xr:uid="{1F7D4EA4-8052-495E-AD3D-B8A6818BCCDB}"/>
    <cellStyle name="Normal 5 2 2 3 4 5" xfId="10312" xr:uid="{2DC2CA42-9898-48CA-9310-28A1E66CEA02}"/>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F3FB346B-B8B1-4169-8A5E-CB1F4834819F}"/>
    <cellStyle name="Normal 5 2 2 3 5 2 3" xfId="12870" xr:uid="{CBA5E93F-EBD7-43ED-AB55-30260155D845}"/>
    <cellStyle name="Normal 5 2 2 3 5 3" xfId="5616" xr:uid="{00000000-0005-0000-0000-0000DA170000}"/>
    <cellStyle name="Normal 5 2 2 3 5 3 2" xfId="14942" xr:uid="{D601C267-946B-418F-B577-48DB731662A8}"/>
    <cellStyle name="Normal 5 2 2 3 5 4" xfId="10725" xr:uid="{4C42045B-3925-4D7E-840B-76016DB14982}"/>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E529DE00-48B1-40CA-BEB0-1E4F443FE9A1}"/>
    <cellStyle name="Normal 5 2 2 3 6 2 3" xfId="13283" xr:uid="{697B178B-A584-4483-B4A6-3C1C8A897B8E}"/>
    <cellStyle name="Normal 5 2 2 3 6 3" xfId="6029" xr:uid="{00000000-0005-0000-0000-0000DE170000}"/>
    <cellStyle name="Normal 5 2 2 3 6 3 2" xfId="15355" xr:uid="{C0299D48-2631-4224-A9D2-DA7B61D6BC66}"/>
    <cellStyle name="Normal 5 2 2 3 6 4" xfId="11138" xr:uid="{B221B2D8-C5D1-49DF-9E3C-3EDF931D8E7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717CF3DE-FD5E-4DDA-A62A-5ABAD298F9D6}"/>
    <cellStyle name="Normal 5 2 2 3 7 2 3" xfId="13696" xr:uid="{5FD4C589-17C7-4414-BE7F-4AAAE12E8943}"/>
    <cellStyle name="Normal 5 2 2 3 7 3" xfId="6442" xr:uid="{00000000-0005-0000-0000-0000E2170000}"/>
    <cellStyle name="Normal 5 2 2 3 7 3 2" xfId="15768" xr:uid="{1E14D0F3-45E9-4B9B-BF51-4354E0B35DF4}"/>
    <cellStyle name="Normal 5 2 2 3 7 4" xfId="11551" xr:uid="{27281B07-29F3-4416-93AB-85BF2B13DFED}"/>
    <cellStyle name="Normal 5 2 2 3 8" xfId="2572" xr:uid="{00000000-0005-0000-0000-0000E3170000}"/>
    <cellStyle name="Normal 5 2 2 3 8 2" xfId="6855" xr:uid="{00000000-0005-0000-0000-0000E4170000}"/>
    <cellStyle name="Normal 5 2 2 3 8 2 2" xfId="16181" xr:uid="{EA29E3E5-8C9B-4EB3-B474-DC4E7FBE4821}"/>
    <cellStyle name="Normal 5 2 2 3 8 3" xfId="11964" xr:uid="{30969B86-2C74-41FF-8093-D16E9D8A922A}"/>
    <cellStyle name="Normal 5 2 2 3 9" xfId="4790" xr:uid="{00000000-0005-0000-0000-0000E5170000}"/>
    <cellStyle name="Normal 5 2 2 3 9 2" xfId="14116" xr:uid="{87B879F6-23F9-46B2-9942-B1ACF0529703}"/>
    <cellStyle name="Normal 5 2 2 4" xfId="421" xr:uid="{00000000-0005-0000-0000-0000E6170000}"/>
    <cellStyle name="Normal 5 2 2 4 10" xfId="9903" xr:uid="{0D708381-CE30-494A-90C2-0EAC50C33DB4}"/>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8539ED61-1CE3-4B64-9BC3-5602334A469E}"/>
    <cellStyle name="Normal 5 2 2 4 2 2 2 3" xfId="12462" xr:uid="{C25003F6-F932-4122-BAF3-D1AE062FA3B9}"/>
    <cellStyle name="Normal 5 2 2 4 2 2 3" xfId="5208" xr:uid="{00000000-0005-0000-0000-0000EB170000}"/>
    <cellStyle name="Normal 5 2 2 4 2 2 3 2" xfId="14534" xr:uid="{86064190-A4C6-4A10-8B23-5655C587AE21}"/>
    <cellStyle name="Normal 5 2 2 4 2 2 4" xfId="9488" xr:uid="{2997B11D-E810-48A4-BD3C-4498479B295E}"/>
    <cellStyle name="Normal 5 2 2 4 2 2 4 2" xfId="18803" xr:uid="{9C5479A7-920C-4CB2-9A72-3333D1EDD843}"/>
    <cellStyle name="Normal 5 2 2 4 2 2 5" xfId="10317" xr:uid="{9AFA3003-DBDC-4A7F-9D87-1ACE2E0BCE3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6FAB65ED-F173-4EF3-9C5F-12F6323D9B8D}"/>
    <cellStyle name="Normal 5 2 2 4 2 3 2 3" xfId="12875" xr:uid="{CAE9D082-20F3-4FB8-95F5-0BC5C3A6B067}"/>
    <cellStyle name="Normal 5 2 2 4 2 3 3" xfId="5621" xr:uid="{00000000-0005-0000-0000-0000EF170000}"/>
    <cellStyle name="Normal 5 2 2 4 2 3 3 2" xfId="14947" xr:uid="{F8DFE569-B5C9-41C8-805B-CA316C64790B}"/>
    <cellStyle name="Normal 5 2 2 4 2 3 4" xfId="10730" xr:uid="{0DEF0335-5812-463B-9AD6-76F26FBCF2B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D029982F-AFE3-4B44-BA59-8E7F70FBE2FF}"/>
    <cellStyle name="Normal 5 2 2 4 2 4 2 3" xfId="13288" xr:uid="{E11A9EDD-D098-440F-A241-DA7EDF1A6848}"/>
    <cellStyle name="Normal 5 2 2 4 2 4 3" xfId="6034" xr:uid="{00000000-0005-0000-0000-0000F3170000}"/>
    <cellStyle name="Normal 5 2 2 4 2 4 3 2" xfId="15360" xr:uid="{6DC7D408-9762-4212-BC64-8D4573F61FD4}"/>
    <cellStyle name="Normal 5 2 2 4 2 4 4" xfId="11143" xr:uid="{F7C872EA-3EAC-4A06-812B-5CF3C9C6C15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09D3ACE2-89E1-4060-824A-914A3C2F8EC4}"/>
    <cellStyle name="Normal 5 2 2 4 2 5 2 3" xfId="13701" xr:uid="{14A34FDC-8331-411E-BB9B-B65A3D210024}"/>
    <cellStyle name="Normal 5 2 2 4 2 5 3" xfId="6447" xr:uid="{00000000-0005-0000-0000-0000F7170000}"/>
    <cellStyle name="Normal 5 2 2 4 2 5 3 2" xfId="15773" xr:uid="{EC9B5BEB-91A2-4DF1-A93E-AC6C80C5CD19}"/>
    <cellStyle name="Normal 5 2 2 4 2 5 4" xfId="11556" xr:uid="{DB31792B-94D8-43C7-B6F5-ED4B2C74B361}"/>
    <cellStyle name="Normal 5 2 2 4 2 6" xfId="2577" xr:uid="{00000000-0005-0000-0000-0000F8170000}"/>
    <cellStyle name="Normal 5 2 2 4 2 6 2" xfId="6860" xr:uid="{00000000-0005-0000-0000-0000F9170000}"/>
    <cellStyle name="Normal 5 2 2 4 2 6 2 2" xfId="16186" xr:uid="{590B70B1-4741-4217-A2DE-761A308DC7DC}"/>
    <cellStyle name="Normal 5 2 2 4 2 6 3" xfId="11969" xr:uid="{E4112035-2BF2-46B2-96CE-FD583E601C64}"/>
    <cellStyle name="Normal 5 2 2 4 2 7" xfId="4795" xr:uid="{00000000-0005-0000-0000-0000FA170000}"/>
    <cellStyle name="Normal 5 2 2 4 2 7 2" xfId="14121" xr:uid="{0B51EA6C-6422-4EAB-B6A0-E86D31716662}"/>
    <cellStyle name="Normal 5 2 2 4 2 8" xfId="9063" xr:uid="{3B1AA107-8D7F-4938-A60C-EED41E9B9A2A}"/>
    <cellStyle name="Normal 5 2 2 4 2 8 2" xfId="18387" xr:uid="{4B1E9585-52B0-4021-B2DD-E263B3AFBA52}"/>
    <cellStyle name="Normal 5 2 2 4 2 9" xfId="9904" xr:uid="{899CC925-C293-4342-8F58-002073A12C06}"/>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0E3310B7-389B-4631-A70F-E1A747BDF5A4}"/>
    <cellStyle name="Normal 5 2 2 4 3 2 3" xfId="12461" xr:uid="{55CCD99F-89FB-4433-B47D-4CA93D35A30E}"/>
    <cellStyle name="Normal 5 2 2 4 3 3" xfId="5207" xr:uid="{00000000-0005-0000-0000-0000FE170000}"/>
    <cellStyle name="Normal 5 2 2 4 3 3 2" xfId="14533" xr:uid="{3BEA9368-B161-4D2F-B7C7-CA9A400BB9EC}"/>
    <cellStyle name="Normal 5 2 2 4 3 4" xfId="9281" xr:uid="{9304050F-95A7-4BE3-AD21-FEBB7D0875B2}"/>
    <cellStyle name="Normal 5 2 2 4 3 4 2" xfId="18596" xr:uid="{CDC11B43-D46D-45D8-AAFB-FA0970AAC964}"/>
    <cellStyle name="Normal 5 2 2 4 3 5" xfId="10316" xr:uid="{22D8CB06-33F9-4B01-AF3F-6F97D2953188}"/>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752553A5-0617-4A6F-8BD2-96C5F61D1790}"/>
    <cellStyle name="Normal 5 2 2 4 4 2 3" xfId="12874" xr:uid="{75068876-5F55-4F66-B1B7-DBCEC75A3532}"/>
    <cellStyle name="Normal 5 2 2 4 4 3" xfId="5620" xr:uid="{00000000-0005-0000-0000-000002180000}"/>
    <cellStyle name="Normal 5 2 2 4 4 3 2" xfId="14946" xr:uid="{1F8BB465-6A01-4495-B080-A79F022F6EFC}"/>
    <cellStyle name="Normal 5 2 2 4 4 4" xfId="10729" xr:uid="{01201458-7E42-498E-8A3A-E1FEBE4C341F}"/>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E20EF646-E23E-4A6D-9D27-33151D6D6E3E}"/>
    <cellStyle name="Normal 5 2 2 4 5 2 3" xfId="13287" xr:uid="{764C0892-314E-4469-BF54-A4DB326445C6}"/>
    <cellStyle name="Normal 5 2 2 4 5 3" xfId="6033" xr:uid="{00000000-0005-0000-0000-000006180000}"/>
    <cellStyle name="Normal 5 2 2 4 5 3 2" xfId="15359" xr:uid="{ADF0D33F-F6C6-4928-993C-62E76B369FF7}"/>
    <cellStyle name="Normal 5 2 2 4 5 4" xfId="11142" xr:uid="{F1BF4C2C-194B-4620-8741-C0016CC05A96}"/>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D3AC41CD-04A8-49E5-B527-FC9A0E38FA01}"/>
    <cellStyle name="Normal 5 2 2 4 6 2 3" xfId="13700" xr:uid="{BE9B9CF6-18DC-4A05-9D42-56C8C78C90EC}"/>
    <cellStyle name="Normal 5 2 2 4 6 3" xfId="6446" xr:uid="{00000000-0005-0000-0000-00000A180000}"/>
    <cellStyle name="Normal 5 2 2 4 6 3 2" xfId="15772" xr:uid="{50A140CB-6B18-4BB4-9527-BA1F08376E1E}"/>
    <cellStyle name="Normal 5 2 2 4 6 4" xfId="11555" xr:uid="{C0D78C7F-0423-4D32-850A-6CA0560FD036}"/>
    <cellStyle name="Normal 5 2 2 4 7" xfId="2576" xr:uid="{00000000-0005-0000-0000-00000B180000}"/>
    <cellStyle name="Normal 5 2 2 4 7 2" xfId="6859" xr:uid="{00000000-0005-0000-0000-00000C180000}"/>
    <cellStyle name="Normal 5 2 2 4 7 2 2" xfId="16185" xr:uid="{753B81DA-EB66-4552-9C01-347BDF125E44}"/>
    <cellStyle name="Normal 5 2 2 4 7 3" xfId="11968" xr:uid="{B651160F-5FAA-41F2-BAD0-76830127CAAB}"/>
    <cellStyle name="Normal 5 2 2 4 8" xfId="4794" xr:uid="{00000000-0005-0000-0000-00000D180000}"/>
    <cellStyle name="Normal 5 2 2 4 8 2" xfId="14120" xr:uid="{0D75D8CC-0D56-4D24-BE98-5357670B2A1E}"/>
    <cellStyle name="Normal 5 2 2 4 9" xfId="8856" xr:uid="{8A537EF5-BE1D-4B82-9546-B2DC1F74308F}"/>
    <cellStyle name="Normal 5 2 2 4 9 2" xfId="18180" xr:uid="{5DECB1FA-79D8-497E-A4DB-B7CEB43EA3D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5900DC83-7548-4F2A-BCAB-812B6A16849B}"/>
    <cellStyle name="Normal 5 2 2 5 2 2 3" xfId="12463" xr:uid="{6CD91D15-B8BF-43AA-BE2F-43E58224F2AF}"/>
    <cellStyle name="Normal 5 2 2 5 2 3" xfId="5209" xr:uid="{00000000-0005-0000-0000-000012180000}"/>
    <cellStyle name="Normal 5 2 2 5 2 3 2" xfId="14535" xr:uid="{9C2E9CD2-9B32-456F-A3D0-B23E7D4FDF4F}"/>
    <cellStyle name="Normal 5 2 2 5 2 4" xfId="9397" xr:uid="{3CB0B9A4-F907-4F52-ACFC-7970F7AF9B13}"/>
    <cellStyle name="Normal 5 2 2 5 2 4 2" xfId="18712" xr:uid="{0B1CDA6D-31A6-42A7-B51F-B9D574FFAC7D}"/>
    <cellStyle name="Normal 5 2 2 5 2 5" xfId="10318" xr:uid="{5E045D1F-30A5-47C1-A5DF-1336BDD04ACA}"/>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07154E73-2070-41A4-9C13-A22B4DFCEE63}"/>
    <cellStyle name="Normal 5 2 2 5 3 2 3" xfId="12876" xr:uid="{DD47EF28-7A92-4D22-9AE3-DB3E680A86A1}"/>
    <cellStyle name="Normal 5 2 2 5 3 3" xfId="5622" xr:uid="{00000000-0005-0000-0000-000016180000}"/>
    <cellStyle name="Normal 5 2 2 5 3 3 2" xfId="14948" xr:uid="{DA77B842-C672-477F-B9A1-8BBC3CC5E2E4}"/>
    <cellStyle name="Normal 5 2 2 5 3 4" xfId="10731" xr:uid="{0940AE5B-BFFD-472A-9B33-B0C1F17050B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3C85EED2-6A88-48C0-B5C5-E64BFFB63892}"/>
    <cellStyle name="Normal 5 2 2 5 4 2 3" xfId="13289" xr:uid="{06CF707D-50AF-4A2D-8D2A-A6DE466762F8}"/>
    <cellStyle name="Normal 5 2 2 5 4 3" xfId="6035" xr:uid="{00000000-0005-0000-0000-00001A180000}"/>
    <cellStyle name="Normal 5 2 2 5 4 3 2" xfId="15361" xr:uid="{7B6A83A3-F5BD-4C7A-AC94-288E35235CFC}"/>
    <cellStyle name="Normal 5 2 2 5 4 4" xfId="11144" xr:uid="{34B05751-66D5-41F2-BCD2-B6FAB446AA6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F0381698-4A95-4D2E-BFBF-B004D379D7F0}"/>
    <cellStyle name="Normal 5 2 2 5 5 2 3" xfId="13702" xr:uid="{02B6781C-97CF-4810-B58B-8F7392616BE6}"/>
    <cellStyle name="Normal 5 2 2 5 5 3" xfId="6448" xr:uid="{00000000-0005-0000-0000-00001E180000}"/>
    <cellStyle name="Normal 5 2 2 5 5 3 2" xfId="15774" xr:uid="{59E09BDF-4137-473E-8606-4B213AA01AD5}"/>
    <cellStyle name="Normal 5 2 2 5 5 4" xfId="11557" xr:uid="{C7CA7B0A-5896-4631-B9BC-160F7C24297D}"/>
    <cellStyle name="Normal 5 2 2 5 6" xfId="2578" xr:uid="{00000000-0005-0000-0000-00001F180000}"/>
    <cellStyle name="Normal 5 2 2 5 6 2" xfId="6861" xr:uid="{00000000-0005-0000-0000-000020180000}"/>
    <cellStyle name="Normal 5 2 2 5 6 2 2" xfId="16187" xr:uid="{127786EA-325D-4AD1-9DFA-4DEE9FE024D9}"/>
    <cellStyle name="Normal 5 2 2 5 6 3" xfId="11970" xr:uid="{29B62816-60E1-405E-80A1-2A6D34CCAA16}"/>
    <cellStyle name="Normal 5 2 2 5 7" xfId="4796" xr:uid="{00000000-0005-0000-0000-000021180000}"/>
    <cellStyle name="Normal 5 2 2 5 7 2" xfId="14122" xr:uid="{84332419-C4F7-4EDA-92DB-142A614FF4B3}"/>
    <cellStyle name="Normal 5 2 2 5 8" xfId="8972" xr:uid="{3CCC8856-6464-4309-A4F9-43F74A48C503}"/>
    <cellStyle name="Normal 5 2 2 5 8 2" xfId="18296" xr:uid="{1F6143CC-B12F-4444-9AED-913F1B1B322D}"/>
    <cellStyle name="Normal 5 2 2 5 9" xfId="9905" xr:uid="{A1120718-BBB5-43EB-A8E4-B64F541BE67B}"/>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227E0BCB-0955-4905-AB56-50F42C6BF5D8}"/>
    <cellStyle name="Normal 5 2 2 6 2 3" xfId="12448" xr:uid="{DD160B4B-5348-40B3-B954-F17C2E20E5F7}"/>
    <cellStyle name="Normal 5 2 2 6 3" xfId="5194" xr:uid="{00000000-0005-0000-0000-000025180000}"/>
    <cellStyle name="Normal 5 2 2 6 3 2" xfId="14520" xr:uid="{DC482EF4-2622-4068-841C-1837F7CCF5BB}"/>
    <cellStyle name="Normal 5 2 2 6 4" xfId="9175" xr:uid="{A0BC076A-DB75-4963-A17E-57836FA6391D}"/>
    <cellStyle name="Normal 5 2 2 6 4 2" xfId="18493" xr:uid="{80179452-B7C8-4D4C-9B42-C3ED849F5908}"/>
    <cellStyle name="Normal 5 2 2 6 5" xfId="10303" xr:uid="{9247982E-9C0B-4048-ADE6-3649AC10A9DD}"/>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753E0F83-2949-4B46-946F-31DFA6DD9F7E}"/>
    <cellStyle name="Normal 5 2 2 7 2 3" xfId="12861" xr:uid="{EF715631-94C9-47CC-9AD4-AA2B860ECAA3}"/>
    <cellStyle name="Normal 5 2 2 7 3" xfId="5607" xr:uid="{00000000-0005-0000-0000-000029180000}"/>
    <cellStyle name="Normal 5 2 2 7 3 2" xfId="14933" xr:uid="{9072FCD1-D2BD-40E1-BC55-924DD707B8B2}"/>
    <cellStyle name="Normal 5 2 2 7 4" xfId="10716" xr:uid="{75A79007-39DE-47DB-8054-DABEE82E8FA5}"/>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2BC8AA1F-AAAB-4E41-8C8C-80976CEEB5BB}"/>
    <cellStyle name="Normal 5 2 2 8 2 3" xfId="13274" xr:uid="{7200B5E4-D4C7-4F21-86B1-C581C8FB0A24}"/>
    <cellStyle name="Normal 5 2 2 8 3" xfId="6020" xr:uid="{00000000-0005-0000-0000-00002D180000}"/>
    <cellStyle name="Normal 5 2 2 8 3 2" xfId="15346" xr:uid="{C08CC9C5-EC17-4031-BC79-CC319B6DC2FF}"/>
    <cellStyle name="Normal 5 2 2 8 4" xfId="11129" xr:uid="{2296B486-9484-43DA-90A6-89C9CCAF7F8C}"/>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DE69FF7E-5FBA-403C-BE61-4A4597A0CE9E}"/>
    <cellStyle name="Normal 5 2 2 9 2 3" xfId="13687" xr:uid="{5A912DCA-6D2B-4BF5-8A54-03AB52B3CBCC}"/>
    <cellStyle name="Normal 5 2 2 9 3" xfId="6433" xr:uid="{00000000-0005-0000-0000-000031180000}"/>
    <cellStyle name="Normal 5 2 2 9 3 2" xfId="15759" xr:uid="{95C74039-F63D-4563-BE7E-CCFAE9EEC0F4}"/>
    <cellStyle name="Normal 5 2 2 9 4" xfId="11542" xr:uid="{DC2373E4-E5EB-4F7A-9AF4-60E29670871A}"/>
    <cellStyle name="Normal 5 2 3" xfId="424" xr:uid="{00000000-0005-0000-0000-000032180000}"/>
    <cellStyle name="Normal 5 2 3 10" xfId="4797" xr:uid="{00000000-0005-0000-0000-000033180000}"/>
    <cellStyle name="Normal 5 2 3 10 2" xfId="14123" xr:uid="{2C1B25E6-789D-4634-8AE2-CD64CE7ECCA4}"/>
    <cellStyle name="Normal 5 2 3 11" xfId="8776" xr:uid="{883173D2-CE3E-48F3-8E13-32EAEF7B08C3}"/>
    <cellStyle name="Normal 5 2 3 11 2" xfId="18100" xr:uid="{65E9E3F5-8B8B-478C-8347-243A4F297E19}"/>
    <cellStyle name="Normal 5 2 3 12" xfId="9906" xr:uid="{BA136EC5-05A2-40E0-8BEA-C5CA800D34DE}"/>
    <cellStyle name="Normal 5 2 3 2" xfId="425" xr:uid="{00000000-0005-0000-0000-000034180000}"/>
    <cellStyle name="Normal 5 2 3 2 10" xfId="8830" xr:uid="{287E15F2-6F23-4B3E-B8AA-9DE92D950FBA}"/>
    <cellStyle name="Normal 5 2 3 2 10 2" xfId="18154" xr:uid="{A035556C-D943-4518-B43A-D6826868C2E4}"/>
    <cellStyle name="Normal 5 2 3 2 11" xfId="9907" xr:uid="{B81F40AE-B966-4CA6-B2B8-A0FB7A40BF3F}"/>
    <cellStyle name="Normal 5 2 3 2 2" xfId="426" xr:uid="{00000000-0005-0000-0000-000035180000}"/>
    <cellStyle name="Normal 5 2 3 2 2 10" xfId="9908" xr:uid="{F50BCFD5-ED37-4E19-8CC0-78AE0FA5CFFF}"/>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27D57080-1CEF-4529-870C-55E50B0E97FA}"/>
    <cellStyle name="Normal 5 2 3 2 2 2 2 2 3" xfId="12467" xr:uid="{521B3D2D-D016-44E3-AE77-4E97CDB3B5DC}"/>
    <cellStyle name="Normal 5 2 3 2 2 2 2 3" xfId="5213" xr:uid="{00000000-0005-0000-0000-00003A180000}"/>
    <cellStyle name="Normal 5 2 3 2 2 2 2 3 2" xfId="14539" xr:uid="{0C389E1A-F283-46BC-ADA2-F5E8851BAF7F}"/>
    <cellStyle name="Normal 5 2 3 2 2 2 2 4" xfId="9565" xr:uid="{B33C5ECB-02D9-4BAF-B467-F38E8EEB7F6E}"/>
    <cellStyle name="Normal 5 2 3 2 2 2 2 4 2" xfId="18880" xr:uid="{7E0CA9FF-92CC-4E8C-981C-A712901C6733}"/>
    <cellStyle name="Normal 5 2 3 2 2 2 2 5" xfId="10322" xr:uid="{4FC80F56-802E-4F49-8873-267CDF23D278}"/>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3EA6E8FE-B741-43FC-9BBA-D63F5CBA46E0}"/>
    <cellStyle name="Normal 5 2 3 2 2 2 3 2 3" xfId="12880" xr:uid="{56C5A000-A84A-47CD-875C-90A021750A74}"/>
    <cellStyle name="Normal 5 2 3 2 2 2 3 3" xfId="5626" xr:uid="{00000000-0005-0000-0000-00003E180000}"/>
    <cellStyle name="Normal 5 2 3 2 2 2 3 3 2" xfId="14952" xr:uid="{506243B8-6309-4D20-992C-AB4D74F2800D}"/>
    <cellStyle name="Normal 5 2 3 2 2 2 3 4" xfId="10735" xr:uid="{6E520699-7A87-4145-9A89-52F8141A4B7D}"/>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B881287C-97D0-4F46-9DDC-E3A0FE413C04}"/>
    <cellStyle name="Normal 5 2 3 2 2 2 4 2 3" xfId="13293" xr:uid="{F34B3141-2560-4C12-A9B1-F660013B534B}"/>
    <cellStyle name="Normal 5 2 3 2 2 2 4 3" xfId="6039" xr:uid="{00000000-0005-0000-0000-000042180000}"/>
    <cellStyle name="Normal 5 2 3 2 2 2 4 3 2" xfId="15365" xr:uid="{0B0CD89D-E952-47CB-A0BB-AC7997CC2858}"/>
    <cellStyle name="Normal 5 2 3 2 2 2 4 4" xfId="11148" xr:uid="{5CE9AB5A-EE6E-424D-A983-20246C85DB8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ACC8400C-24E9-4AB9-830D-BEB834BFDE28}"/>
    <cellStyle name="Normal 5 2 3 2 2 2 5 2 3" xfId="13706" xr:uid="{6B51AD4F-3224-4B4F-B498-191FA0FD6CDF}"/>
    <cellStyle name="Normal 5 2 3 2 2 2 5 3" xfId="6452" xr:uid="{00000000-0005-0000-0000-000046180000}"/>
    <cellStyle name="Normal 5 2 3 2 2 2 5 3 2" xfId="15778" xr:uid="{03AFD9E4-7B9C-4D9F-B289-F58E791FB49A}"/>
    <cellStyle name="Normal 5 2 3 2 2 2 5 4" xfId="11561" xr:uid="{D789FFCF-B8C5-4AFC-AC7B-17EA54B90C4E}"/>
    <cellStyle name="Normal 5 2 3 2 2 2 6" xfId="2582" xr:uid="{00000000-0005-0000-0000-000047180000}"/>
    <cellStyle name="Normal 5 2 3 2 2 2 6 2" xfId="6865" xr:uid="{00000000-0005-0000-0000-000048180000}"/>
    <cellStyle name="Normal 5 2 3 2 2 2 6 2 2" xfId="16191" xr:uid="{64927FAB-945D-4C58-988B-E0AB1CE8616B}"/>
    <cellStyle name="Normal 5 2 3 2 2 2 6 3" xfId="11974" xr:uid="{0AF1BE36-872B-44E7-AC77-1B15E0E6BEE8}"/>
    <cellStyle name="Normal 5 2 3 2 2 2 7" xfId="4800" xr:uid="{00000000-0005-0000-0000-000049180000}"/>
    <cellStyle name="Normal 5 2 3 2 2 2 7 2" xfId="14126" xr:uid="{1647CF8F-F4E1-440E-B8B7-D87BCC7E9E1F}"/>
    <cellStyle name="Normal 5 2 3 2 2 2 8" xfId="9140" xr:uid="{175A16DB-BA54-4083-AB68-1FA46DB27A86}"/>
    <cellStyle name="Normal 5 2 3 2 2 2 8 2" xfId="18464" xr:uid="{323D2EF7-D18B-4C01-963E-4776C3B19277}"/>
    <cellStyle name="Normal 5 2 3 2 2 2 9" xfId="9909" xr:uid="{7E691063-BC89-4D33-8ACD-913A75666FD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FDE21F82-5043-413D-872F-1512A59389CC}"/>
    <cellStyle name="Normal 5 2 3 2 2 3 2 3" xfId="12466" xr:uid="{20571A3F-FDED-431D-906D-80E91B56B9A9}"/>
    <cellStyle name="Normal 5 2 3 2 2 3 3" xfId="5212" xr:uid="{00000000-0005-0000-0000-00004D180000}"/>
    <cellStyle name="Normal 5 2 3 2 2 3 3 2" xfId="14538" xr:uid="{FB6B0AB0-B79C-4EFC-BE31-6686439FAEA5}"/>
    <cellStyle name="Normal 5 2 3 2 2 3 4" xfId="9358" xr:uid="{5B196E7D-8DD9-4C59-A83C-7626B0E60040}"/>
    <cellStyle name="Normal 5 2 3 2 2 3 4 2" xfId="18673" xr:uid="{6A525E25-191F-4D80-8A5E-A17A6D802FB0}"/>
    <cellStyle name="Normal 5 2 3 2 2 3 5" xfId="10321" xr:uid="{BE765919-3D87-4D6C-9DAF-C0891725A459}"/>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EB233030-AA2B-4116-80E1-EC903E73B080}"/>
    <cellStyle name="Normal 5 2 3 2 2 4 2 3" xfId="12879" xr:uid="{E2212AB0-8FEF-4E65-89D9-8BC994A03FDE}"/>
    <cellStyle name="Normal 5 2 3 2 2 4 3" xfId="5625" xr:uid="{00000000-0005-0000-0000-000051180000}"/>
    <cellStyle name="Normal 5 2 3 2 2 4 3 2" xfId="14951" xr:uid="{8303A76E-0E36-4C3F-A8B3-836516B39ADA}"/>
    <cellStyle name="Normal 5 2 3 2 2 4 4" xfId="10734" xr:uid="{34A87847-7649-462E-A1C0-A0D1073BB081}"/>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6C30CAFE-3E78-4E40-895F-F74DDFAD3B1A}"/>
    <cellStyle name="Normal 5 2 3 2 2 5 2 3" xfId="13292" xr:uid="{6C546D8A-05D2-4FB5-ACBB-66B0586B0AFA}"/>
    <cellStyle name="Normal 5 2 3 2 2 5 3" xfId="6038" xr:uid="{00000000-0005-0000-0000-000055180000}"/>
    <cellStyle name="Normal 5 2 3 2 2 5 3 2" xfId="15364" xr:uid="{87BAEF59-7D81-4E8D-B0B8-4E4B2F4453BC}"/>
    <cellStyle name="Normal 5 2 3 2 2 5 4" xfId="11147" xr:uid="{705EC803-8AF5-4086-83E8-7AAD01665274}"/>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9942E0C5-76AD-4A66-9CF1-7B32A0B5459E}"/>
    <cellStyle name="Normal 5 2 3 2 2 6 2 3" xfId="13705" xr:uid="{3D7FB81E-8ED0-41A1-A25A-8B9E7CB29F28}"/>
    <cellStyle name="Normal 5 2 3 2 2 6 3" xfId="6451" xr:uid="{00000000-0005-0000-0000-000059180000}"/>
    <cellStyle name="Normal 5 2 3 2 2 6 3 2" xfId="15777" xr:uid="{ADD971E7-F6A9-44BF-AD2C-0EBD556815B9}"/>
    <cellStyle name="Normal 5 2 3 2 2 6 4" xfId="11560" xr:uid="{189C130A-0A3B-4228-A7AD-240ACA5B17B0}"/>
    <cellStyle name="Normal 5 2 3 2 2 7" xfId="2581" xr:uid="{00000000-0005-0000-0000-00005A180000}"/>
    <cellStyle name="Normal 5 2 3 2 2 7 2" xfId="6864" xr:uid="{00000000-0005-0000-0000-00005B180000}"/>
    <cellStyle name="Normal 5 2 3 2 2 7 2 2" xfId="16190" xr:uid="{BE1B2607-A597-4710-9C1A-70EDF3A6A4D0}"/>
    <cellStyle name="Normal 5 2 3 2 2 7 3" xfId="11973" xr:uid="{718E084F-3B92-4892-96E5-D04101B75714}"/>
    <cellStyle name="Normal 5 2 3 2 2 8" xfId="4799" xr:uid="{00000000-0005-0000-0000-00005C180000}"/>
    <cellStyle name="Normal 5 2 3 2 2 8 2" xfId="14125" xr:uid="{79E93433-CB2F-4D9F-8679-C21E4A22EDED}"/>
    <cellStyle name="Normal 5 2 3 2 2 9" xfId="8933" xr:uid="{2228AC18-CB51-4AF4-A227-403A8409C6C2}"/>
    <cellStyle name="Normal 5 2 3 2 2 9 2" xfId="18257" xr:uid="{0DC73D9D-8F01-4947-A686-79FBD835619A}"/>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1EFE8232-876F-414E-9B4B-26EE5B86F539}"/>
    <cellStyle name="Normal 5 2 3 2 3 2 2 3" xfId="12468" xr:uid="{373AED62-8665-46B4-81DA-476F45205EE1}"/>
    <cellStyle name="Normal 5 2 3 2 3 2 3" xfId="5214" xr:uid="{00000000-0005-0000-0000-000061180000}"/>
    <cellStyle name="Normal 5 2 3 2 3 2 3 2" xfId="14540" xr:uid="{2BAD25BC-33AD-4D97-A3C5-9F4AD615145E}"/>
    <cellStyle name="Normal 5 2 3 2 3 2 4" xfId="9462" xr:uid="{B4C14F1A-A88A-428F-A7F8-BAFD7E5CD045}"/>
    <cellStyle name="Normal 5 2 3 2 3 2 4 2" xfId="18777" xr:uid="{529ED4AA-27D0-495B-BF55-42B0208BA234}"/>
    <cellStyle name="Normal 5 2 3 2 3 2 5" xfId="10323" xr:uid="{0B23D457-7BB1-4800-9770-FC41D67FB513}"/>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A4FD3439-5BAE-41A1-96D1-F44438214C79}"/>
    <cellStyle name="Normal 5 2 3 2 3 3 2 3" xfId="12881" xr:uid="{E451C6D6-AF6D-4567-9DBF-6036F13C3925}"/>
    <cellStyle name="Normal 5 2 3 2 3 3 3" xfId="5627" xr:uid="{00000000-0005-0000-0000-000065180000}"/>
    <cellStyle name="Normal 5 2 3 2 3 3 3 2" xfId="14953" xr:uid="{20B5589A-C69D-4BCF-B35F-54AFB1872B8B}"/>
    <cellStyle name="Normal 5 2 3 2 3 3 4" xfId="10736" xr:uid="{50DD1C0D-56A3-483D-AD08-EA808ED9E44A}"/>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11DB486D-C682-4897-B5BB-C2D2FA66B49F}"/>
    <cellStyle name="Normal 5 2 3 2 3 4 2 3" xfId="13294" xr:uid="{CAF466AF-49AE-4417-9ECA-B27A4DF612CB}"/>
    <cellStyle name="Normal 5 2 3 2 3 4 3" xfId="6040" xr:uid="{00000000-0005-0000-0000-000069180000}"/>
    <cellStyle name="Normal 5 2 3 2 3 4 3 2" xfId="15366" xr:uid="{BEEF4C4D-9C4F-4858-8B0D-215F4BA827EB}"/>
    <cellStyle name="Normal 5 2 3 2 3 4 4" xfId="11149" xr:uid="{050FC6BF-4EF2-460D-B061-A2F3B0EC9E9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F04286D3-901F-474C-983F-E5756B729F3D}"/>
    <cellStyle name="Normal 5 2 3 2 3 5 2 3" xfId="13707" xr:uid="{DC5CB3E4-3876-4AC4-8DA0-997F235D6EB9}"/>
    <cellStyle name="Normal 5 2 3 2 3 5 3" xfId="6453" xr:uid="{00000000-0005-0000-0000-00006D180000}"/>
    <cellStyle name="Normal 5 2 3 2 3 5 3 2" xfId="15779" xr:uid="{BDFFDC54-8668-46C6-9B83-FCBB3D60F5E0}"/>
    <cellStyle name="Normal 5 2 3 2 3 5 4" xfId="11562" xr:uid="{65EEDE45-162F-4C2A-8071-23578535F7DB}"/>
    <cellStyle name="Normal 5 2 3 2 3 6" xfId="2583" xr:uid="{00000000-0005-0000-0000-00006E180000}"/>
    <cellStyle name="Normal 5 2 3 2 3 6 2" xfId="6866" xr:uid="{00000000-0005-0000-0000-00006F180000}"/>
    <cellStyle name="Normal 5 2 3 2 3 6 2 2" xfId="16192" xr:uid="{3C91DFE6-258F-4B7B-83F1-CA1385A294A7}"/>
    <cellStyle name="Normal 5 2 3 2 3 6 3" xfId="11975" xr:uid="{FA2F1D48-B258-48CE-9EC5-D31163A0DE1B}"/>
    <cellStyle name="Normal 5 2 3 2 3 7" xfId="4801" xr:uid="{00000000-0005-0000-0000-000070180000}"/>
    <cellStyle name="Normal 5 2 3 2 3 7 2" xfId="14127" xr:uid="{C1184FF9-3C57-4EAC-A5F2-6E9B6B50E9F4}"/>
    <cellStyle name="Normal 5 2 3 2 3 8" xfId="9037" xr:uid="{EED46D7F-EFCD-4AC1-931D-AB06B694E7BE}"/>
    <cellStyle name="Normal 5 2 3 2 3 8 2" xfId="18361" xr:uid="{997BE10C-5B3A-4BE1-B5DE-44E65AEC8211}"/>
    <cellStyle name="Normal 5 2 3 2 3 9" xfId="9910" xr:uid="{45231B69-7420-4B3C-8C84-9FF4D421982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EE034A79-F3E3-4222-AC0D-561EB2447D62}"/>
    <cellStyle name="Normal 5 2 3 2 4 2 3" xfId="12465" xr:uid="{024D4844-3FA8-4C9C-BAC7-9E124AF246EC}"/>
    <cellStyle name="Normal 5 2 3 2 4 3" xfId="5211" xr:uid="{00000000-0005-0000-0000-000074180000}"/>
    <cellStyle name="Normal 5 2 3 2 4 3 2" xfId="14537" xr:uid="{374D348F-6E87-4A0D-9E2D-DDD5517C5DE4}"/>
    <cellStyle name="Normal 5 2 3 2 4 4" xfId="9255" xr:uid="{C5A161BB-6C4F-4A9D-BBA7-7500B0B26A70}"/>
    <cellStyle name="Normal 5 2 3 2 4 4 2" xfId="18570" xr:uid="{13979275-968F-4C7B-9EDF-DF63A74120B6}"/>
    <cellStyle name="Normal 5 2 3 2 4 5" xfId="10320" xr:uid="{4B34D08F-BC67-427C-B4CB-A5FC76AC5052}"/>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4EF88397-B555-4E14-8551-692FF384C1AC}"/>
    <cellStyle name="Normal 5 2 3 2 5 2 3" xfId="12878" xr:uid="{A503BDF5-2C66-4D5D-867C-2F10FD951169}"/>
    <cellStyle name="Normal 5 2 3 2 5 3" xfId="5624" xr:uid="{00000000-0005-0000-0000-000078180000}"/>
    <cellStyle name="Normal 5 2 3 2 5 3 2" xfId="14950" xr:uid="{AA369C2D-652F-48E7-91E2-636837865180}"/>
    <cellStyle name="Normal 5 2 3 2 5 4" xfId="10733" xr:uid="{CD85444A-5363-4DBA-80AC-89FF7F04E038}"/>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CB26561F-C789-4151-B8FA-5E1345B66775}"/>
    <cellStyle name="Normal 5 2 3 2 6 2 3" xfId="13291" xr:uid="{66287E5B-4A54-4A8C-A39B-02F35FBD5506}"/>
    <cellStyle name="Normal 5 2 3 2 6 3" xfId="6037" xr:uid="{00000000-0005-0000-0000-00007C180000}"/>
    <cellStyle name="Normal 5 2 3 2 6 3 2" xfId="15363" xr:uid="{54948EEA-319C-4590-84C9-C4CFDAFAE059}"/>
    <cellStyle name="Normal 5 2 3 2 6 4" xfId="11146" xr:uid="{523438FD-3951-447B-A18D-8E7D17C2CE0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450436FF-3F0D-4643-B2F7-3660E75CDBAC}"/>
    <cellStyle name="Normal 5 2 3 2 7 2 3" xfId="13704" xr:uid="{C11AD751-9509-4809-980B-A53BAA21D802}"/>
    <cellStyle name="Normal 5 2 3 2 7 3" xfId="6450" xr:uid="{00000000-0005-0000-0000-000080180000}"/>
    <cellStyle name="Normal 5 2 3 2 7 3 2" xfId="15776" xr:uid="{F19BE0B4-5CC4-440C-B9FA-DE045908EF8B}"/>
    <cellStyle name="Normal 5 2 3 2 7 4" xfId="11559" xr:uid="{592EA3F5-4A1C-48EF-84C4-8956B4566A12}"/>
    <cellStyle name="Normal 5 2 3 2 8" xfId="2580" xr:uid="{00000000-0005-0000-0000-000081180000}"/>
    <cellStyle name="Normal 5 2 3 2 8 2" xfId="6863" xr:uid="{00000000-0005-0000-0000-000082180000}"/>
    <cellStyle name="Normal 5 2 3 2 8 2 2" xfId="16189" xr:uid="{6FE0D170-228A-465D-8FC8-A678F9165E93}"/>
    <cellStyle name="Normal 5 2 3 2 8 3" xfId="11972" xr:uid="{B3EB388D-ED07-4540-AD54-7CD1A675DEE8}"/>
    <cellStyle name="Normal 5 2 3 2 9" xfId="4798" xr:uid="{00000000-0005-0000-0000-000083180000}"/>
    <cellStyle name="Normal 5 2 3 2 9 2" xfId="14124" xr:uid="{44C922B2-F25D-4225-B084-C3952A81D816}"/>
    <cellStyle name="Normal 5 2 3 3" xfId="429" xr:uid="{00000000-0005-0000-0000-000084180000}"/>
    <cellStyle name="Normal 5 2 3 3 10" xfId="9911" xr:uid="{90977A0E-9D1A-464E-A138-9A90C242D523}"/>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2E4BE8EF-31D9-4C4B-B862-E362CCD4CD52}"/>
    <cellStyle name="Normal 5 2 3 3 2 2 2 3" xfId="12470" xr:uid="{7C05ED83-F615-45BD-A7EB-710D9E7E0D54}"/>
    <cellStyle name="Normal 5 2 3 3 2 2 3" xfId="5216" xr:uid="{00000000-0005-0000-0000-000089180000}"/>
    <cellStyle name="Normal 5 2 3 3 2 2 3 2" xfId="14542" xr:uid="{070F084F-6830-4AA4-A9DD-BFC9ED37EB53}"/>
    <cellStyle name="Normal 5 2 3 3 2 2 4" xfId="9511" xr:uid="{75EF02F8-0397-4B30-A858-343ADCA7C08D}"/>
    <cellStyle name="Normal 5 2 3 3 2 2 4 2" xfId="18826" xr:uid="{7F1043B8-2A27-4712-9E7C-D577ADAFD3DA}"/>
    <cellStyle name="Normal 5 2 3 3 2 2 5" xfId="10325" xr:uid="{236C1DA5-B43F-4EE1-8B7F-107053F4BE7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541EE8DB-CAEF-422A-A14A-040862955516}"/>
    <cellStyle name="Normal 5 2 3 3 2 3 2 3" xfId="12883" xr:uid="{B2AAB013-5858-4993-ABF0-7B3B5F10A4C1}"/>
    <cellStyle name="Normal 5 2 3 3 2 3 3" xfId="5629" xr:uid="{00000000-0005-0000-0000-00008D180000}"/>
    <cellStyle name="Normal 5 2 3 3 2 3 3 2" xfId="14955" xr:uid="{74AAA273-87CF-4682-9FA6-D71C43DA00AF}"/>
    <cellStyle name="Normal 5 2 3 3 2 3 4" xfId="10738" xr:uid="{DEF5DCD1-82CE-420D-B0DF-BC5B6DAFB521}"/>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7C1E8730-BDB1-487B-A699-C8519A0E6157}"/>
    <cellStyle name="Normal 5 2 3 3 2 4 2 3" xfId="13296" xr:uid="{0F62EB0A-3F5E-4BAA-9D51-3EEBD1221742}"/>
    <cellStyle name="Normal 5 2 3 3 2 4 3" xfId="6042" xr:uid="{00000000-0005-0000-0000-000091180000}"/>
    <cellStyle name="Normal 5 2 3 3 2 4 3 2" xfId="15368" xr:uid="{2D4086D2-1990-4A20-B8AE-B039F0D20BB1}"/>
    <cellStyle name="Normal 5 2 3 3 2 4 4" xfId="11151" xr:uid="{B0B217FC-F976-4835-8E13-85BB5F0C871D}"/>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58E27D8F-91E0-4A39-A647-2429B44A204C}"/>
    <cellStyle name="Normal 5 2 3 3 2 5 2 3" xfId="13709" xr:uid="{54EADEB3-07E6-4A78-B49F-CC47089FC70A}"/>
    <cellStyle name="Normal 5 2 3 3 2 5 3" xfId="6455" xr:uid="{00000000-0005-0000-0000-000095180000}"/>
    <cellStyle name="Normal 5 2 3 3 2 5 3 2" xfId="15781" xr:uid="{BD9F2AD9-ECC6-4B3B-9912-363F69634C3F}"/>
    <cellStyle name="Normal 5 2 3 3 2 5 4" xfId="11564" xr:uid="{8F057ADC-2DC8-48EA-BF48-AF2FBDF6444D}"/>
    <cellStyle name="Normal 5 2 3 3 2 6" xfId="2585" xr:uid="{00000000-0005-0000-0000-000096180000}"/>
    <cellStyle name="Normal 5 2 3 3 2 6 2" xfId="6868" xr:uid="{00000000-0005-0000-0000-000097180000}"/>
    <cellStyle name="Normal 5 2 3 3 2 6 2 2" xfId="16194" xr:uid="{C5DB5FDE-16A4-409A-B5F1-EA5128938778}"/>
    <cellStyle name="Normal 5 2 3 3 2 6 3" xfId="11977" xr:uid="{C38EAED0-ADCF-4042-9F1B-F37B7B70E112}"/>
    <cellStyle name="Normal 5 2 3 3 2 7" xfId="4803" xr:uid="{00000000-0005-0000-0000-000098180000}"/>
    <cellStyle name="Normal 5 2 3 3 2 7 2" xfId="14129" xr:uid="{E77512EA-5430-4082-AF9C-41397FBC8A8E}"/>
    <cellStyle name="Normal 5 2 3 3 2 8" xfId="9086" xr:uid="{442E5F61-F00C-4774-822F-4985AB3E1CB7}"/>
    <cellStyle name="Normal 5 2 3 3 2 8 2" xfId="18410" xr:uid="{3F32AF4E-5446-468E-A809-861D653B29A3}"/>
    <cellStyle name="Normal 5 2 3 3 2 9" xfId="9912" xr:uid="{DF0E6E71-3418-4509-9E42-5669385F4753}"/>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4E4EEBA2-A5D1-4112-A4C3-CA989191B261}"/>
    <cellStyle name="Normal 5 2 3 3 3 2 3" xfId="12469" xr:uid="{E37724C9-52CF-43CA-B85E-28D439E0DA41}"/>
    <cellStyle name="Normal 5 2 3 3 3 3" xfId="5215" xr:uid="{00000000-0005-0000-0000-00009C180000}"/>
    <cellStyle name="Normal 5 2 3 3 3 3 2" xfId="14541" xr:uid="{461678D2-AD0B-46E3-967A-043AD71912F3}"/>
    <cellStyle name="Normal 5 2 3 3 3 4" xfId="9304" xr:uid="{2C783A77-F32A-4E64-807E-062B95DB0310}"/>
    <cellStyle name="Normal 5 2 3 3 3 4 2" xfId="18619" xr:uid="{984A7E0C-FED2-42FC-95AE-7E04B90BE029}"/>
    <cellStyle name="Normal 5 2 3 3 3 5" xfId="10324" xr:uid="{2E5114F0-85F4-4622-9E3C-B269BF782A52}"/>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2B742AED-93FD-45B1-80D1-E67AE7476E65}"/>
    <cellStyle name="Normal 5 2 3 3 4 2 3" xfId="12882" xr:uid="{A6B9C624-5AB2-40C6-AA52-50C54E62263F}"/>
    <cellStyle name="Normal 5 2 3 3 4 3" xfId="5628" xr:uid="{00000000-0005-0000-0000-0000A0180000}"/>
    <cellStyle name="Normal 5 2 3 3 4 3 2" xfId="14954" xr:uid="{3C291444-2144-4EA3-84C6-4D24A6431ACD}"/>
    <cellStyle name="Normal 5 2 3 3 4 4" xfId="10737" xr:uid="{000040BD-8401-45D7-AD1D-E9977E748D4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C7F83631-DCA0-4F3C-8718-1AC69853FD16}"/>
    <cellStyle name="Normal 5 2 3 3 5 2 3" xfId="13295" xr:uid="{21074820-CB15-43D7-A2F3-009B6805057B}"/>
    <cellStyle name="Normal 5 2 3 3 5 3" xfId="6041" xr:uid="{00000000-0005-0000-0000-0000A4180000}"/>
    <cellStyle name="Normal 5 2 3 3 5 3 2" xfId="15367" xr:uid="{E484C6A3-1704-4EFB-978B-07E14DB7E668}"/>
    <cellStyle name="Normal 5 2 3 3 5 4" xfId="11150" xr:uid="{2FCFD438-C231-4130-97D9-A83C4CACFE23}"/>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DD1C66F9-294B-4948-A392-746298C8D47D}"/>
    <cellStyle name="Normal 5 2 3 3 6 2 3" xfId="13708" xr:uid="{8A975165-81D9-49A3-8C90-36E95E5938A6}"/>
    <cellStyle name="Normal 5 2 3 3 6 3" xfId="6454" xr:uid="{00000000-0005-0000-0000-0000A8180000}"/>
    <cellStyle name="Normal 5 2 3 3 6 3 2" xfId="15780" xr:uid="{B64A1068-DABF-47E4-9448-6A55D7A5C722}"/>
    <cellStyle name="Normal 5 2 3 3 6 4" xfId="11563" xr:uid="{B1692658-AB8F-4AB1-A30F-244C89601491}"/>
    <cellStyle name="Normal 5 2 3 3 7" xfId="2584" xr:uid="{00000000-0005-0000-0000-0000A9180000}"/>
    <cellStyle name="Normal 5 2 3 3 7 2" xfId="6867" xr:uid="{00000000-0005-0000-0000-0000AA180000}"/>
    <cellStyle name="Normal 5 2 3 3 7 2 2" xfId="16193" xr:uid="{1810C571-DD17-4F85-A879-497444A8A77F}"/>
    <cellStyle name="Normal 5 2 3 3 7 3" xfId="11976" xr:uid="{62C880FC-6D16-488B-AB63-1FF739990B10}"/>
    <cellStyle name="Normal 5 2 3 3 8" xfId="4802" xr:uid="{00000000-0005-0000-0000-0000AB180000}"/>
    <cellStyle name="Normal 5 2 3 3 8 2" xfId="14128" xr:uid="{95E3B5AC-D00B-4324-8874-884E3A1E7066}"/>
    <cellStyle name="Normal 5 2 3 3 9" xfId="8879" xr:uid="{F521005C-E3E0-4B64-9C0A-0C510FB9AAB2}"/>
    <cellStyle name="Normal 5 2 3 3 9 2" xfId="18203" xr:uid="{42C2F656-9F2F-4407-8F2B-BB368304F0BB}"/>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58F74850-BF74-4C8A-A84C-4E622A57E3D2}"/>
    <cellStyle name="Normal 5 2 3 4 2 2 3" xfId="12471" xr:uid="{3C084722-8FB6-4C0E-BA02-76503E6F7F1D}"/>
    <cellStyle name="Normal 5 2 3 4 2 3" xfId="5217" xr:uid="{00000000-0005-0000-0000-0000B0180000}"/>
    <cellStyle name="Normal 5 2 3 4 2 3 2" xfId="14543" xr:uid="{AF21B857-7A07-4D3F-82A1-02351074C3C7}"/>
    <cellStyle name="Normal 5 2 3 4 2 4" xfId="9408" xr:uid="{3B6F9C6F-3D7C-45F8-99FE-451C0F8CED36}"/>
    <cellStyle name="Normal 5 2 3 4 2 4 2" xfId="18723" xr:uid="{AE013D58-E155-4BB1-9386-8CEE687E6E19}"/>
    <cellStyle name="Normal 5 2 3 4 2 5" xfId="10326" xr:uid="{13B75155-F65E-4D6D-87E6-DD960D28326D}"/>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3577BAC3-189B-4EB5-8562-35C9CD04B148}"/>
    <cellStyle name="Normal 5 2 3 4 3 2 3" xfId="12884" xr:uid="{5209856D-DE69-4182-BA26-112038199113}"/>
    <cellStyle name="Normal 5 2 3 4 3 3" xfId="5630" xr:uid="{00000000-0005-0000-0000-0000B4180000}"/>
    <cellStyle name="Normal 5 2 3 4 3 3 2" xfId="14956" xr:uid="{83E7C93A-4C2B-498C-A9C1-628102EDAA31}"/>
    <cellStyle name="Normal 5 2 3 4 3 4" xfId="10739" xr:uid="{8395DAF8-4D10-477B-B341-F2E3CB56393F}"/>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CF4B6EDB-550F-45BD-BAFC-56EF6894BCEA}"/>
    <cellStyle name="Normal 5 2 3 4 4 2 3" xfId="13297" xr:uid="{E5BBC79F-4D69-4895-91F7-12F029F9E22C}"/>
    <cellStyle name="Normal 5 2 3 4 4 3" xfId="6043" xr:uid="{00000000-0005-0000-0000-0000B8180000}"/>
    <cellStyle name="Normal 5 2 3 4 4 3 2" xfId="15369" xr:uid="{9A2113DA-745E-47EE-BA40-96BA9FA3D92D}"/>
    <cellStyle name="Normal 5 2 3 4 4 4" xfId="11152" xr:uid="{298363DF-8794-4A19-B9AE-B29E99FA14E5}"/>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7B96C72C-55B1-4FC3-87DD-78A2B9B0979A}"/>
    <cellStyle name="Normal 5 2 3 4 5 2 3" xfId="13710" xr:uid="{9B17B2C3-9C99-405B-A990-F69026D035EB}"/>
    <cellStyle name="Normal 5 2 3 4 5 3" xfId="6456" xr:uid="{00000000-0005-0000-0000-0000BC180000}"/>
    <cellStyle name="Normal 5 2 3 4 5 3 2" xfId="15782" xr:uid="{8A580EEE-B939-4037-8154-0BC8FBEFCD00}"/>
    <cellStyle name="Normal 5 2 3 4 5 4" xfId="11565" xr:uid="{9117AC4D-AB26-4051-9797-774690810D39}"/>
    <cellStyle name="Normal 5 2 3 4 6" xfId="2586" xr:uid="{00000000-0005-0000-0000-0000BD180000}"/>
    <cellStyle name="Normal 5 2 3 4 6 2" xfId="6869" xr:uid="{00000000-0005-0000-0000-0000BE180000}"/>
    <cellStyle name="Normal 5 2 3 4 6 2 2" xfId="16195" xr:uid="{7C5F6F0C-F3CD-435B-9BD5-3558E241AF40}"/>
    <cellStyle name="Normal 5 2 3 4 6 3" xfId="11978" xr:uid="{A5635ABD-C78B-4B2E-BEA2-B48DA50DE61A}"/>
    <cellStyle name="Normal 5 2 3 4 7" xfId="4804" xr:uid="{00000000-0005-0000-0000-0000BF180000}"/>
    <cellStyle name="Normal 5 2 3 4 7 2" xfId="14130" xr:uid="{AAF1857C-1204-4E51-9F70-EC2AFB35161B}"/>
    <cellStyle name="Normal 5 2 3 4 8" xfId="8983" xr:uid="{07388FCC-03DE-4CE8-89CB-9C92F8174E24}"/>
    <cellStyle name="Normal 5 2 3 4 8 2" xfId="18307" xr:uid="{90B1281C-331E-40F0-A91B-28BF3EE2357D}"/>
    <cellStyle name="Normal 5 2 3 4 9" xfId="9913" xr:uid="{BDC27DEB-410F-4233-9007-A86A4A8514C8}"/>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85798642-D06E-4E00-A4B3-B9D0C88DC9B7}"/>
    <cellStyle name="Normal 5 2 3 5 2 3" xfId="12464" xr:uid="{106EF4EA-5FE9-486B-9D32-AA8994AA0928}"/>
    <cellStyle name="Normal 5 2 3 5 3" xfId="5210" xr:uid="{00000000-0005-0000-0000-0000C3180000}"/>
    <cellStyle name="Normal 5 2 3 5 3 2" xfId="14536" xr:uid="{3428B800-CCB9-40FF-AF0C-5F9CC7EF7263}"/>
    <cellStyle name="Normal 5 2 3 5 4" xfId="9200" xr:uid="{13DE827A-4007-427A-9869-ADBBE6B70993}"/>
    <cellStyle name="Normal 5 2 3 5 4 2" xfId="18516" xr:uid="{AAD44D47-CE60-4410-B500-86EF46CACCFD}"/>
    <cellStyle name="Normal 5 2 3 5 5" xfId="10319" xr:uid="{2B86B4A5-D0D0-4F41-B2EF-416BD3E0FB7D}"/>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7624CBA3-A3F7-423B-83FA-809807E2AD3D}"/>
    <cellStyle name="Normal 5 2 3 6 2 3" xfId="12877" xr:uid="{341BDAD0-D2D3-4526-99A6-2FE3E8427BCA}"/>
    <cellStyle name="Normal 5 2 3 6 3" xfId="5623" xr:uid="{00000000-0005-0000-0000-0000C7180000}"/>
    <cellStyle name="Normal 5 2 3 6 3 2" xfId="14949" xr:uid="{5808F4E9-F7EB-48CD-920F-50242CF75991}"/>
    <cellStyle name="Normal 5 2 3 6 4" xfId="10732" xr:uid="{233C6ACD-CB83-4F1A-B01C-884C225EAA98}"/>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3186CF18-1F2C-4933-B2D4-55E499377836}"/>
    <cellStyle name="Normal 5 2 3 7 2 3" xfId="13290" xr:uid="{48BFF828-3D38-4849-A78B-F00843D03F59}"/>
    <cellStyle name="Normal 5 2 3 7 3" xfId="6036" xr:uid="{00000000-0005-0000-0000-0000CB180000}"/>
    <cellStyle name="Normal 5 2 3 7 3 2" xfId="15362" xr:uid="{1735B6E2-62C2-4310-837B-80B30038F16E}"/>
    <cellStyle name="Normal 5 2 3 7 4" xfId="11145" xr:uid="{5174206C-5AAC-416E-AE2A-9DD18B35900E}"/>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AAD7F27A-BCC2-4612-A96B-0EE26659761B}"/>
    <cellStyle name="Normal 5 2 3 8 2 3" xfId="13703" xr:uid="{B9731E43-2E51-431E-ADB2-37CBCE15C44D}"/>
    <cellStyle name="Normal 5 2 3 8 3" xfId="6449" xr:uid="{00000000-0005-0000-0000-0000CF180000}"/>
    <cellStyle name="Normal 5 2 3 8 3 2" xfId="15775" xr:uid="{3E3CE543-6038-40F0-BA50-5A436A124199}"/>
    <cellStyle name="Normal 5 2 3 8 4" xfId="11558" xr:uid="{D07F3DEF-A93E-4D9B-8EBA-F5EDDFC6B57F}"/>
    <cellStyle name="Normal 5 2 3 9" xfId="2579" xr:uid="{00000000-0005-0000-0000-0000D0180000}"/>
    <cellStyle name="Normal 5 2 3 9 2" xfId="6862" xr:uid="{00000000-0005-0000-0000-0000D1180000}"/>
    <cellStyle name="Normal 5 2 3 9 2 2" xfId="16188" xr:uid="{BB7B67CF-B743-496A-8E2C-8E62D6CAD869}"/>
    <cellStyle name="Normal 5 2 3 9 3" xfId="11971" xr:uid="{6FFA4063-9CF7-475A-9B22-C1074FC34B1B}"/>
    <cellStyle name="Normal 5 2 4" xfId="432" xr:uid="{00000000-0005-0000-0000-0000D2180000}"/>
    <cellStyle name="Normal 5 2 4 10" xfId="8827" xr:uid="{1EC4F605-F0BA-487E-A3C0-2CBAE7C22D8A}"/>
    <cellStyle name="Normal 5 2 4 10 2" xfId="18151" xr:uid="{C5CD583C-DD8C-4D03-8C7C-825D520203B4}"/>
    <cellStyle name="Normal 5 2 4 11" xfId="9914" xr:uid="{64FA8AC9-9C28-4E18-851E-80A73459800F}"/>
    <cellStyle name="Normal 5 2 4 2" xfId="433" xr:uid="{00000000-0005-0000-0000-0000D3180000}"/>
    <cellStyle name="Normal 5 2 4 2 10" xfId="9915" xr:uid="{F85B49B2-B8E6-4405-81B5-98C7AB91C564}"/>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B83A05D0-09AC-4C12-935D-31B824524EEA}"/>
    <cellStyle name="Normal 5 2 4 2 2 2 2 3" xfId="12474" xr:uid="{1118FE27-1A66-44BB-B71C-D77DAB59A022}"/>
    <cellStyle name="Normal 5 2 4 2 2 2 3" xfId="5220" xr:uid="{00000000-0005-0000-0000-0000D8180000}"/>
    <cellStyle name="Normal 5 2 4 2 2 2 3 2" xfId="14546" xr:uid="{AA6E9CDD-ED6F-4920-A604-4038C9687F9C}"/>
    <cellStyle name="Normal 5 2 4 2 2 2 4" xfId="9562" xr:uid="{5E243FB4-F3B1-4B34-B377-1444454AD19E}"/>
    <cellStyle name="Normal 5 2 4 2 2 2 4 2" xfId="18877" xr:uid="{193E5F6A-EB3C-40C1-A2F8-E7C72F6A271D}"/>
    <cellStyle name="Normal 5 2 4 2 2 2 5" xfId="10329" xr:uid="{A6D8F892-AE6C-40EB-82AF-3F08230C8D63}"/>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6F807376-CCC9-49D5-BEB2-C0E885C40F4F}"/>
    <cellStyle name="Normal 5 2 4 2 2 3 2 3" xfId="12887" xr:uid="{C1DCAE7E-A79C-4043-9DB9-023530A466C7}"/>
    <cellStyle name="Normal 5 2 4 2 2 3 3" xfId="5633" xr:uid="{00000000-0005-0000-0000-0000DC180000}"/>
    <cellStyle name="Normal 5 2 4 2 2 3 3 2" xfId="14959" xr:uid="{2E523C70-B561-459F-8734-09C60F0AC188}"/>
    <cellStyle name="Normal 5 2 4 2 2 3 4" xfId="10742" xr:uid="{FA865D10-9666-4870-8D46-14F0F54978C2}"/>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5B59D269-36DC-4B6F-95C0-005310B36F0E}"/>
    <cellStyle name="Normal 5 2 4 2 2 4 2 3" xfId="13300" xr:uid="{CECE9B9C-3590-4E3D-9B03-DAA13D158CC2}"/>
    <cellStyle name="Normal 5 2 4 2 2 4 3" xfId="6046" xr:uid="{00000000-0005-0000-0000-0000E0180000}"/>
    <cellStyle name="Normal 5 2 4 2 2 4 3 2" xfId="15372" xr:uid="{3196AB4B-8D6E-47D3-A110-AE167A2793BD}"/>
    <cellStyle name="Normal 5 2 4 2 2 4 4" xfId="11155" xr:uid="{83609EBE-57C4-45AE-B0D3-45419B17608E}"/>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41D4CE12-157A-40F8-BCBD-A291AE8B4FDC}"/>
    <cellStyle name="Normal 5 2 4 2 2 5 2 3" xfId="13713" xr:uid="{7E27DA58-BA5B-4297-8AD5-E335831D2508}"/>
    <cellStyle name="Normal 5 2 4 2 2 5 3" xfId="6459" xr:uid="{00000000-0005-0000-0000-0000E4180000}"/>
    <cellStyle name="Normal 5 2 4 2 2 5 3 2" xfId="15785" xr:uid="{0C560129-D982-43C7-970E-CCE1DD256AD6}"/>
    <cellStyle name="Normal 5 2 4 2 2 5 4" xfId="11568" xr:uid="{7DE66B39-F103-491E-A20D-0507F6435182}"/>
    <cellStyle name="Normal 5 2 4 2 2 6" xfId="2589" xr:uid="{00000000-0005-0000-0000-0000E5180000}"/>
    <cellStyle name="Normal 5 2 4 2 2 6 2" xfId="6872" xr:uid="{00000000-0005-0000-0000-0000E6180000}"/>
    <cellStyle name="Normal 5 2 4 2 2 6 2 2" xfId="16198" xr:uid="{E996BD70-C73A-4074-A063-B760A82A8B5A}"/>
    <cellStyle name="Normal 5 2 4 2 2 6 3" xfId="11981" xr:uid="{2D880761-AE77-40BD-B67E-C4A95B7B1E49}"/>
    <cellStyle name="Normal 5 2 4 2 2 7" xfId="4807" xr:uid="{00000000-0005-0000-0000-0000E7180000}"/>
    <cellStyle name="Normal 5 2 4 2 2 7 2" xfId="14133" xr:uid="{A6B135C1-E7A5-4C82-ACDC-761FF5380849}"/>
    <cellStyle name="Normal 5 2 4 2 2 8" xfId="9137" xr:uid="{C80E4B27-40CA-4953-ABB8-99E2C575F775}"/>
    <cellStyle name="Normal 5 2 4 2 2 8 2" xfId="18461" xr:uid="{66158160-7051-4477-9B3E-0C1A79BE1E38}"/>
    <cellStyle name="Normal 5 2 4 2 2 9" xfId="9916" xr:uid="{46DF77C3-B975-468B-9E07-3D642D89704B}"/>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7BDFCB6B-9C26-4A33-8903-24BA38A35203}"/>
    <cellStyle name="Normal 5 2 4 2 3 2 3" xfId="12473" xr:uid="{B3F2CF51-4E98-4D16-8AD0-FBDF57EA19AB}"/>
    <cellStyle name="Normal 5 2 4 2 3 3" xfId="5219" xr:uid="{00000000-0005-0000-0000-0000EB180000}"/>
    <cellStyle name="Normal 5 2 4 2 3 3 2" xfId="14545" xr:uid="{F0C654FF-DF47-4E56-A15A-25328A9F44A0}"/>
    <cellStyle name="Normal 5 2 4 2 3 4" xfId="9355" xr:uid="{9D38A6AA-2F63-4275-9FB8-F86A15F6A4D3}"/>
    <cellStyle name="Normal 5 2 4 2 3 4 2" xfId="18670" xr:uid="{E5A16A41-DCD0-41FB-9556-9779307EEAE5}"/>
    <cellStyle name="Normal 5 2 4 2 3 5" xfId="10328" xr:uid="{AB0ACF46-8EFA-47A9-A6F0-B1B8F53A178E}"/>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0683D018-AC14-4BCA-956B-F8A6C3C824AD}"/>
    <cellStyle name="Normal 5 2 4 2 4 2 3" xfId="12886" xr:uid="{4AE94C61-AC98-4A66-926E-269DFAF145FC}"/>
    <cellStyle name="Normal 5 2 4 2 4 3" xfId="5632" xr:uid="{00000000-0005-0000-0000-0000EF180000}"/>
    <cellStyle name="Normal 5 2 4 2 4 3 2" xfId="14958" xr:uid="{03E82108-E008-4DD7-AE71-8B4FBA8567A3}"/>
    <cellStyle name="Normal 5 2 4 2 4 4" xfId="10741" xr:uid="{BBD06EE0-EC2D-437E-AF3A-B524943D49F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302BFBBE-7ECF-4C18-9F15-01A78B92540A}"/>
    <cellStyle name="Normal 5 2 4 2 5 2 3" xfId="13299" xr:uid="{16C086AD-098D-445B-BCC8-FD546E136F1F}"/>
    <cellStyle name="Normal 5 2 4 2 5 3" xfId="6045" xr:uid="{00000000-0005-0000-0000-0000F3180000}"/>
    <cellStyle name="Normal 5 2 4 2 5 3 2" xfId="15371" xr:uid="{7887C130-4375-4044-87F0-8A8EE4040658}"/>
    <cellStyle name="Normal 5 2 4 2 5 4" xfId="11154" xr:uid="{44BF2263-E17A-40A6-8B1E-86A433279AF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306372D3-A9D1-4A97-AAA2-48AC74F91703}"/>
    <cellStyle name="Normal 5 2 4 2 6 2 3" xfId="13712" xr:uid="{266FA51E-CE79-4455-9881-D32E1E638943}"/>
    <cellStyle name="Normal 5 2 4 2 6 3" xfId="6458" xr:uid="{00000000-0005-0000-0000-0000F7180000}"/>
    <cellStyle name="Normal 5 2 4 2 6 3 2" xfId="15784" xr:uid="{FA8BBBC3-2C5C-4F16-BEEF-BA203538C372}"/>
    <cellStyle name="Normal 5 2 4 2 6 4" xfId="11567" xr:uid="{02D2E2FF-44D6-4EFA-A3C4-129E7A8FB9DE}"/>
    <cellStyle name="Normal 5 2 4 2 7" xfId="2588" xr:uid="{00000000-0005-0000-0000-0000F8180000}"/>
    <cellStyle name="Normal 5 2 4 2 7 2" xfId="6871" xr:uid="{00000000-0005-0000-0000-0000F9180000}"/>
    <cellStyle name="Normal 5 2 4 2 7 2 2" xfId="16197" xr:uid="{60538890-6684-44BE-9100-2B19D922A408}"/>
    <cellStyle name="Normal 5 2 4 2 7 3" xfId="11980" xr:uid="{734BADF0-5270-4397-88FD-D0DDD2DB6DC8}"/>
    <cellStyle name="Normal 5 2 4 2 8" xfId="4806" xr:uid="{00000000-0005-0000-0000-0000FA180000}"/>
    <cellStyle name="Normal 5 2 4 2 8 2" xfId="14132" xr:uid="{B147AD5D-EFE4-446A-B113-5173895B3325}"/>
    <cellStyle name="Normal 5 2 4 2 9" xfId="8930" xr:uid="{66B84ABA-CAF3-4BBE-9026-E7A47CB6006F}"/>
    <cellStyle name="Normal 5 2 4 2 9 2" xfId="18254" xr:uid="{4DA267E9-0FF3-467D-B64D-716461153C27}"/>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8987ADFF-FA85-4DB5-854D-6FCBE2222876}"/>
    <cellStyle name="Normal 5 2 4 3 2 2 3" xfId="12475" xr:uid="{0E31C480-FC1D-4935-8D1C-0406A0D587F5}"/>
    <cellStyle name="Normal 5 2 4 3 2 3" xfId="5221" xr:uid="{00000000-0005-0000-0000-0000FF180000}"/>
    <cellStyle name="Normal 5 2 4 3 2 3 2" xfId="14547" xr:uid="{2BA9369A-5279-4F7B-85A2-63ED95707F78}"/>
    <cellStyle name="Normal 5 2 4 3 2 4" xfId="9459" xr:uid="{ED2A936E-5624-4B26-A175-3FCE68E1BF5A}"/>
    <cellStyle name="Normal 5 2 4 3 2 4 2" xfId="18774" xr:uid="{16E991F7-2317-4081-B878-CC3DA345466F}"/>
    <cellStyle name="Normal 5 2 4 3 2 5" xfId="10330" xr:uid="{B6E51E2E-69BD-40FA-9B44-03BA61F3FF4B}"/>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685A3687-17A1-42D8-8C49-9A28F50D56DD}"/>
    <cellStyle name="Normal 5 2 4 3 3 2 3" xfId="12888" xr:uid="{A08A78D8-CEC7-4993-824D-24AAE8BCC299}"/>
    <cellStyle name="Normal 5 2 4 3 3 3" xfId="5634" xr:uid="{00000000-0005-0000-0000-000003190000}"/>
    <cellStyle name="Normal 5 2 4 3 3 3 2" xfId="14960" xr:uid="{7241170C-CC03-4EA1-B5F1-6020427B76BE}"/>
    <cellStyle name="Normal 5 2 4 3 3 4" xfId="10743" xr:uid="{5305E377-24DC-4D0B-9E1A-EA1E743B7BA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7D1C3C27-B19B-4500-A2B4-D659F5EED007}"/>
    <cellStyle name="Normal 5 2 4 3 4 2 3" xfId="13301" xr:uid="{DCFFE265-E38F-4A77-8C37-9489F5E25B7B}"/>
    <cellStyle name="Normal 5 2 4 3 4 3" xfId="6047" xr:uid="{00000000-0005-0000-0000-000007190000}"/>
    <cellStyle name="Normal 5 2 4 3 4 3 2" xfId="15373" xr:uid="{B51FC916-A666-45C2-9168-5111F152ABE1}"/>
    <cellStyle name="Normal 5 2 4 3 4 4" xfId="11156" xr:uid="{0A966AEA-5C0C-42C0-BEA9-1FC2EAEF25A2}"/>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AC38B8D5-9A74-413B-803C-AC21B376003D}"/>
    <cellStyle name="Normal 5 2 4 3 5 2 3" xfId="13714" xr:uid="{30A199D7-A688-4CD2-83A5-43A959C3B634}"/>
    <cellStyle name="Normal 5 2 4 3 5 3" xfId="6460" xr:uid="{00000000-0005-0000-0000-00000B190000}"/>
    <cellStyle name="Normal 5 2 4 3 5 3 2" xfId="15786" xr:uid="{4B914D24-ADB7-40ED-BB90-D0941AEF4D71}"/>
    <cellStyle name="Normal 5 2 4 3 5 4" xfId="11569" xr:uid="{DC73C519-BB00-49C3-BF4B-2007A4D99911}"/>
    <cellStyle name="Normal 5 2 4 3 6" xfId="2590" xr:uid="{00000000-0005-0000-0000-00000C190000}"/>
    <cellStyle name="Normal 5 2 4 3 6 2" xfId="6873" xr:uid="{00000000-0005-0000-0000-00000D190000}"/>
    <cellStyle name="Normal 5 2 4 3 6 2 2" xfId="16199" xr:uid="{921DEF2D-DA01-45E1-812D-CF036C1571D0}"/>
    <cellStyle name="Normal 5 2 4 3 6 3" xfId="11982" xr:uid="{A9EE0AF7-6FD1-4DE3-8C33-19363D2178DF}"/>
    <cellStyle name="Normal 5 2 4 3 7" xfId="4808" xr:uid="{00000000-0005-0000-0000-00000E190000}"/>
    <cellStyle name="Normal 5 2 4 3 7 2" xfId="14134" xr:uid="{CCE77C4E-ABEB-4E2F-BEF7-7EDDF014CFF8}"/>
    <cellStyle name="Normal 5 2 4 3 8" xfId="9034" xr:uid="{82D3DE5B-E868-4CF9-BA07-6E197DA4FAA5}"/>
    <cellStyle name="Normal 5 2 4 3 8 2" xfId="18358" xr:uid="{6F3E0166-1681-4599-BC18-EC5E6ECC5D19}"/>
    <cellStyle name="Normal 5 2 4 3 9" xfId="9917" xr:uid="{B093DD78-E75E-4F1C-A0C6-FEE09D2FE3E5}"/>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5EDE6C7C-C411-4478-AC4E-094B6F94A3B7}"/>
    <cellStyle name="Normal 5 2 4 4 2 3" xfId="12472" xr:uid="{CF033A73-23A1-4DEE-91A0-69E7FD9F7AF3}"/>
    <cellStyle name="Normal 5 2 4 4 3" xfId="5218" xr:uid="{00000000-0005-0000-0000-000012190000}"/>
    <cellStyle name="Normal 5 2 4 4 3 2" xfId="14544" xr:uid="{04679EEB-2AC3-4E99-B969-BD95807A01C1}"/>
    <cellStyle name="Normal 5 2 4 4 4" xfId="9252" xr:uid="{1D1A8EC4-7286-46A1-B40C-E987F273E760}"/>
    <cellStyle name="Normal 5 2 4 4 4 2" xfId="18567" xr:uid="{BBC437A1-2A96-4B8A-B152-CFA6418BA7AE}"/>
    <cellStyle name="Normal 5 2 4 4 5" xfId="10327" xr:uid="{7AA42195-A1B8-448E-B5D7-62BC84A71BEC}"/>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517BF622-DE55-449D-B480-C4617D8DF49F}"/>
    <cellStyle name="Normal 5 2 4 5 2 3" xfId="12885" xr:uid="{46B4EABE-94A2-430A-89D2-97A8EE8B9177}"/>
    <cellStyle name="Normal 5 2 4 5 3" xfId="5631" xr:uid="{00000000-0005-0000-0000-000016190000}"/>
    <cellStyle name="Normal 5 2 4 5 3 2" xfId="14957" xr:uid="{BEFF7863-6698-4D55-B053-12CB49F95951}"/>
    <cellStyle name="Normal 5 2 4 5 4" xfId="10740" xr:uid="{55DABEDF-F3A4-4BBD-B4FB-0351E6488CA5}"/>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9F51A2B4-90D0-4559-8554-A7219B22BFE7}"/>
    <cellStyle name="Normal 5 2 4 6 2 3" xfId="13298" xr:uid="{9B20EBDC-E78E-4138-B5FF-598D69947A08}"/>
    <cellStyle name="Normal 5 2 4 6 3" xfId="6044" xr:uid="{00000000-0005-0000-0000-00001A190000}"/>
    <cellStyle name="Normal 5 2 4 6 3 2" xfId="15370" xr:uid="{8B6A2DE1-C026-49D5-8BCF-A411E4D6F5A9}"/>
    <cellStyle name="Normal 5 2 4 6 4" xfId="11153" xr:uid="{8132F7EE-BEEE-4B75-A066-BA242EA8F9FE}"/>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E267F14C-23B0-4E3E-9C62-B1B3A8F44E37}"/>
    <cellStyle name="Normal 5 2 4 7 2 3" xfId="13711" xr:uid="{25BD7064-1151-4D97-952E-CCAABB6056EF}"/>
    <cellStyle name="Normal 5 2 4 7 3" xfId="6457" xr:uid="{00000000-0005-0000-0000-00001E190000}"/>
    <cellStyle name="Normal 5 2 4 7 3 2" xfId="15783" xr:uid="{3A7C9897-2413-4E72-A522-CC125623F521}"/>
    <cellStyle name="Normal 5 2 4 7 4" xfId="11566" xr:uid="{822347A6-C666-4EB6-BBDC-31D5CB0F1106}"/>
    <cellStyle name="Normal 5 2 4 8" xfId="2587" xr:uid="{00000000-0005-0000-0000-00001F190000}"/>
    <cellStyle name="Normal 5 2 4 8 2" xfId="6870" xr:uid="{00000000-0005-0000-0000-000020190000}"/>
    <cellStyle name="Normal 5 2 4 8 2 2" xfId="16196" xr:uid="{0CE08278-36B8-4124-88F3-DC70236A3EBE}"/>
    <cellStyle name="Normal 5 2 4 8 3" xfId="11979" xr:uid="{F09A944A-2CD5-4CBC-85AC-F38E284C9BFE}"/>
    <cellStyle name="Normal 5 2 4 9" xfId="4805" xr:uid="{00000000-0005-0000-0000-000021190000}"/>
    <cellStyle name="Normal 5 2 4 9 2" xfId="14131" xr:uid="{67F965C1-147F-4106-A664-4633E39C61AB}"/>
    <cellStyle name="Normal 5 2 5" xfId="436" xr:uid="{00000000-0005-0000-0000-000022190000}"/>
    <cellStyle name="Normal 5 2 5 10" xfId="9918" xr:uid="{A2158F96-B365-4490-AC9F-71A2F8779C8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D8905E49-673D-466B-97C1-B1F0567C4C91}"/>
    <cellStyle name="Normal 5 2 5 2 2 2 3" xfId="12477" xr:uid="{DA3D0A1F-008F-453D-9FBB-554508B2C5BA}"/>
    <cellStyle name="Normal 5 2 5 2 2 3" xfId="5223" xr:uid="{00000000-0005-0000-0000-000027190000}"/>
    <cellStyle name="Normal 5 2 5 2 2 3 2" xfId="14549" xr:uid="{21A36F13-090A-4F9B-88B3-81131F45949A}"/>
    <cellStyle name="Normal 5 2 5 2 2 4" xfId="9479" xr:uid="{0DDFFFD4-5D62-4038-B6D4-9E9BD7CBA380}"/>
    <cellStyle name="Normal 5 2 5 2 2 4 2" xfId="18794" xr:uid="{23F0DB7E-5E11-4F4B-AF6F-72358BC13CD6}"/>
    <cellStyle name="Normal 5 2 5 2 2 5" xfId="10332" xr:uid="{07368C08-0999-46BA-87D3-D02FC247DB96}"/>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3270BFAE-E653-414E-9EEB-05ED3CA96D98}"/>
    <cellStyle name="Normal 5 2 5 2 3 2 3" xfId="12890" xr:uid="{1B84A431-5F26-4CA5-902B-82136B3C45F9}"/>
    <cellStyle name="Normal 5 2 5 2 3 3" xfId="5636" xr:uid="{00000000-0005-0000-0000-00002B190000}"/>
    <cellStyle name="Normal 5 2 5 2 3 3 2" xfId="14962" xr:uid="{9E8C0956-D692-4C69-9105-663DD10D953D}"/>
    <cellStyle name="Normal 5 2 5 2 3 4" xfId="10745" xr:uid="{916EAA2D-26C0-4695-8957-6D55528320B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7756750D-52F1-48BF-838E-8A3D7EA7D907}"/>
    <cellStyle name="Normal 5 2 5 2 4 2 3" xfId="13303" xr:uid="{DF198AC7-D87C-493D-B867-1A517C464056}"/>
    <cellStyle name="Normal 5 2 5 2 4 3" xfId="6049" xr:uid="{00000000-0005-0000-0000-00002F190000}"/>
    <cellStyle name="Normal 5 2 5 2 4 3 2" xfId="15375" xr:uid="{C2265AF9-703C-4455-98DF-0AFEDAD351CE}"/>
    <cellStyle name="Normal 5 2 5 2 4 4" xfId="11158" xr:uid="{40680D7C-C45E-46C5-B354-45ABE6B25F8F}"/>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3A9AF859-B150-4867-8CB4-31562240F10D}"/>
    <cellStyle name="Normal 5 2 5 2 5 2 3" xfId="13716" xr:uid="{AB3E73C5-1A61-432F-AD05-ED66E102571A}"/>
    <cellStyle name="Normal 5 2 5 2 5 3" xfId="6462" xr:uid="{00000000-0005-0000-0000-000033190000}"/>
    <cellStyle name="Normal 5 2 5 2 5 3 2" xfId="15788" xr:uid="{B3D00DEE-BBF8-40C5-B715-44316AC9C914}"/>
    <cellStyle name="Normal 5 2 5 2 5 4" xfId="11571" xr:uid="{B49407C6-438D-406F-9182-CF32E1D85CDF}"/>
    <cellStyle name="Normal 5 2 5 2 6" xfId="2592" xr:uid="{00000000-0005-0000-0000-000034190000}"/>
    <cellStyle name="Normal 5 2 5 2 6 2" xfId="6875" xr:uid="{00000000-0005-0000-0000-000035190000}"/>
    <cellStyle name="Normal 5 2 5 2 6 2 2" xfId="16201" xr:uid="{343CFAEE-64D6-4010-8C32-B221C398E62F}"/>
    <cellStyle name="Normal 5 2 5 2 6 3" xfId="11984" xr:uid="{A5FD6E8D-4BA8-4ACD-AFDA-0E379678FCB5}"/>
    <cellStyle name="Normal 5 2 5 2 7" xfId="4810" xr:uid="{00000000-0005-0000-0000-000036190000}"/>
    <cellStyle name="Normal 5 2 5 2 7 2" xfId="14136" xr:uid="{9CF1BD78-5508-4797-8485-2CB5DB09DA4F}"/>
    <cellStyle name="Normal 5 2 5 2 8" xfId="9054" xr:uid="{844F6476-DDB9-4C38-A2B2-83AB0DCF1773}"/>
    <cellStyle name="Normal 5 2 5 2 8 2" xfId="18378" xr:uid="{60126909-F985-4C51-A1BF-D8E711426423}"/>
    <cellStyle name="Normal 5 2 5 2 9" xfId="9919" xr:uid="{07BF8DB7-EBC3-4E7F-8315-713344E8CF7F}"/>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093A8517-9CC8-4704-ACB6-F744D94176E9}"/>
    <cellStyle name="Normal 5 2 5 3 2 3" xfId="12476" xr:uid="{9968FB20-A144-4917-A205-776776C6D93E}"/>
    <cellStyle name="Normal 5 2 5 3 3" xfId="5222" xr:uid="{00000000-0005-0000-0000-00003A190000}"/>
    <cellStyle name="Normal 5 2 5 3 3 2" xfId="14548" xr:uid="{630885B9-0961-4FBB-B816-DFDD98F81E80}"/>
    <cellStyle name="Normal 5 2 5 3 4" xfId="9272" xr:uid="{8865498C-CC61-4C5F-A1F4-57A1D301E1CE}"/>
    <cellStyle name="Normal 5 2 5 3 4 2" xfId="18587" xr:uid="{46F950F9-A8CE-40F9-9A7D-D0E3C819FC8E}"/>
    <cellStyle name="Normal 5 2 5 3 5" xfId="10331" xr:uid="{FEA60755-B0A3-4274-B506-CA010C41E07F}"/>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1FC8474C-35DB-4374-AF36-F246BB45F5DF}"/>
    <cellStyle name="Normal 5 2 5 4 2 3" xfId="12889" xr:uid="{D68299D5-6F0E-4CAE-A3D4-804CCA24D76D}"/>
    <cellStyle name="Normal 5 2 5 4 3" xfId="5635" xr:uid="{00000000-0005-0000-0000-00003E190000}"/>
    <cellStyle name="Normal 5 2 5 4 3 2" xfId="14961" xr:uid="{A69923DE-3A7A-4652-B2CD-DF8166BA35A8}"/>
    <cellStyle name="Normal 5 2 5 4 4" xfId="10744" xr:uid="{CA52B3FA-56D9-46FF-A38D-1765807477EC}"/>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0982A588-8390-4718-894E-A616273092A8}"/>
    <cellStyle name="Normal 5 2 5 5 2 3" xfId="13302" xr:uid="{E8A064A9-5C2A-4C96-A919-F83248FDFCB7}"/>
    <cellStyle name="Normal 5 2 5 5 3" xfId="6048" xr:uid="{00000000-0005-0000-0000-000042190000}"/>
    <cellStyle name="Normal 5 2 5 5 3 2" xfId="15374" xr:uid="{0C24CC7D-7639-4BB9-9CA3-923B708E5E02}"/>
    <cellStyle name="Normal 5 2 5 5 4" xfId="11157" xr:uid="{FA980990-FA1F-4AD4-BB8E-0EDF54C060C1}"/>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43D8D445-DD7B-44AB-B7F6-05BFB760536E}"/>
    <cellStyle name="Normal 5 2 5 6 2 3" xfId="13715" xr:uid="{4EB78A9F-B17C-4B51-89AA-237F79761790}"/>
    <cellStyle name="Normal 5 2 5 6 3" xfId="6461" xr:uid="{00000000-0005-0000-0000-000046190000}"/>
    <cellStyle name="Normal 5 2 5 6 3 2" xfId="15787" xr:uid="{CEE1920F-1160-4E36-9ED4-F6681A80742F}"/>
    <cellStyle name="Normal 5 2 5 6 4" xfId="11570" xr:uid="{ED2DC40E-05B4-4627-906F-433EED8EE53E}"/>
    <cellStyle name="Normal 5 2 5 7" xfId="2591" xr:uid="{00000000-0005-0000-0000-000047190000}"/>
    <cellStyle name="Normal 5 2 5 7 2" xfId="6874" xr:uid="{00000000-0005-0000-0000-000048190000}"/>
    <cellStyle name="Normal 5 2 5 7 2 2" xfId="16200" xr:uid="{0294EBF3-719A-4F22-9CC8-0D036C6D5C70}"/>
    <cellStyle name="Normal 5 2 5 7 3" xfId="11983" xr:uid="{8F4AAB5F-55DA-4A27-AAFA-F05B7330A6F5}"/>
    <cellStyle name="Normal 5 2 5 8" xfId="4809" xr:uid="{00000000-0005-0000-0000-000049190000}"/>
    <cellStyle name="Normal 5 2 5 8 2" xfId="14135" xr:uid="{108B763E-59A1-4BB5-9C4E-318E07C09978}"/>
    <cellStyle name="Normal 5 2 5 9" xfId="8847" xr:uid="{504334B5-BB84-4906-81A5-68746D711AC3}"/>
    <cellStyle name="Normal 5 2 5 9 2" xfId="18171" xr:uid="{FD00FA8C-F5EB-4E1D-B717-A2DEB6E098AB}"/>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33C525F3-F4C7-4F04-A955-39C18A7A87BD}"/>
    <cellStyle name="Normal 5 2 6 2 2 3" xfId="12478" xr:uid="{6C199476-EE76-4745-B474-96031523A93C}"/>
    <cellStyle name="Normal 5 2 6 2 3" xfId="5224" xr:uid="{00000000-0005-0000-0000-00004E190000}"/>
    <cellStyle name="Normal 5 2 6 2 3 2" xfId="14550" xr:uid="{52DC94BE-17E4-4693-AC32-69BFC615446F}"/>
    <cellStyle name="Normal 5 2 6 2 4" xfId="9388" xr:uid="{38BE55A5-085B-499D-8766-DF826B77D03C}"/>
    <cellStyle name="Normal 5 2 6 2 4 2" xfId="18703" xr:uid="{7707F4BB-4079-4909-A4B1-91F7F081C6F4}"/>
    <cellStyle name="Normal 5 2 6 2 5" xfId="10333" xr:uid="{21FEB5A4-4FD7-402D-B4E2-4AF9CBA9363A}"/>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65C39C48-66A2-4010-B81E-6551EF5F35F2}"/>
    <cellStyle name="Normal 5 2 6 3 2 3" xfId="12891" xr:uid="{5E399202-DF8D-4FD5-A8FF-E8E0866823B7}"/>
    <cellStyle name="Normal 5 2 6 3 3" xfId="5637" xr:uid="{00000000-0005-0000-0000-000052190000}"/>
    <cellStyle name="Normal 5 2 6 3 3 2" xfId="14963" xr:uid="{EA732E84-B9F6-459A-95F2-BD4846BE253B}"/>
    <cellStyle name="Normal 5 2 6 3 4" xfId="10746" xr:uid="{045B7FA1-7BF3-4E7A-AD58-3A3EC7A83808}"/>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B19A859B-6078-4F63-BE29-B67AF777FB93}"/>
    <cellStyle name="Normal 5 2 6 4 2 3" xfId="13304" xr:uid="{F4B41FDF-40FB-48E6-9D52-80C454D7E7F8}"/>
    <cellStyle name="Normal 5 2 6 4 3" xfId="6050" xr:uid="{00000000-0005-0000-0000-000056190000}"/>
    <cellStyle name="Normal 5 2 6 4 3 2" xfId="15376" xr:uid="{12BFF9ED-A695-4414-93E5-005EEB426F77}"/>
    <cellStyle name="Normal 5 2 6 4 4" xfId="11159" xr:uid="{F7BB514F-B2EF-432A-9D8F-D5D4F0484293}"/>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A18F76E2-CFAD-4D21-8556-3703F95C0767}"/>
    <cellStyle name="Normal 5 2 6 5 2 3" xfId="13717" xr:uid="{A32982FA-349D-4208-BFAE-3715D1DCD176}"/>
    <cellStyle name="Normal 5 2 6 5 3" xfId="6463" xr:uid="{00000000-0005-0000-0000-00005A190000}"/>
    <cellStyle name="Normal 5 2 6 5 3 2" xfId="15789" xr:uid="{C1E36C3F-D9D0-4718-A994-0AB707D1A065}"/>
    <cellStyle name="Normal 5 2 6 5 4" xfId="11572" xr:uid="{F2D0B953-595A-4288-8DB4-92B5F4DA0AB9}"/>
    <cellStyle name="Normal 5 2 6 6" xfId="2593" xr:uid="{00000000-0005-0000-0000-00005B190000}"/>
    <cellStyle name="Normal 5 2 6 6 2" xfId="6876" xr:uid="{00000000-0005-0000-0000-00005C190000}"/>
    <cellStyle name="Normal 5 2 6 6 2 2" xfId="16202" xr:uid="{AB44465B-322F-4039-B3CA-6B20689232E4}"/>
    <cellStyle name="Normal 5 2 6 6 3" xfId="11985" xr:uid="{EB6BE941-8D9B-4389-BA64-6DE82192DE53}"/>
    <cellStyle name="Normal 5 2 6 7" xfId="4811" xr:uid="{00000000-0005-0000-0000-00005D190000}"/>
    <cellStyle name="Normal 5 2 6 7 2" xfId="14137" xr:uid="{90CD6E0D-D084-41F4-9388-71B0D63A265F}"/>
    <cellStyle name="Normal 5 2 6 8" xfId="8963" xr:uid="{01BDB756-0B70-4C0D-AC32-9959EE0C8F11}"/>
    <cellStyle name="Normal 5 2 6 8 2" xfId="18287" xr:uid="{7D67F8EC-C688-472F-962C-0EE96D73D1FE}"/>
    <cellStyle name="Normal 5 2 6 9" xfId="9920" xr:uid="{DC5EA578-75F1-45D6-9F75-B6A6A87CDA05}"/>
    <cellStyle name="Normal 5 2 7" xfId="881" xr:uid="{00000000-0005-0000-0000-00005E190000}"/>
    <cellStyle name="Normal 5 2 7 2" xfId="3116" xr:uid="{00000000-0005-0000-0000-00005F190000}"/>
    <cellStyle name="Normal 5 2 7 2 2" xfId="7338" xr:uid="{00000000-0005-0000-0000-000060190000}"/>
    <cellStyle name="Normal 5 2 7 2 2 2" xfId="16664" xr:uid="{2C1B5797-4E96-4662-8BF7-BAA05F504C44}"/>
    <cellStyle name="Normal 5 2 7 2 3" xfId="12447" xr:uid="{62576FE1-2F04-4EAD-BAC9-57AA6ED5C64D}"/>
    <cellStyle name="Normal 5 2 7 3" xfId="5193" xr:uid="{00000000-0005-0000-0000-000061190000}"/>
    <cellStyle name="Normal 5 2 7 3 2" xfId="14519" xr:uid="{B07A82FB-863A-41C5-9BB4-AFCBF0F764A0}"/>
    <cellStyle name="Normal 5 2 7 4" xfId="9166" xr:uid="{903BB692-5043-4803-B109-F7C532EB2A09}"/>
    <cellStyle name="Normal 5 2 7 4 2" xfId="18484" xr:uid="{C82E15F9-CA4E-4742-BDDA-E5D1A3DA1740}"/>
    <cellStyle name="Normal 5 2 7 5" xfId="10302" xr:uid="{F2B97F2D-6170-46DA-861C-611CD9FF61AA}"/>
    <cellStyle name="Normal 5 2 8" xfId="1299" xr:uid="{00000000-0005-0000-0000-000062190000}"/>
    <cellStyle name="Normal 5 2 8 2" xfId="3529" xr:uid="{00000000-0005-0000-0000-000063190000}"/>
    <cellStyle name="Normal 5 2 8 2 2" xfId="7751" xr:uid="{00000000-0005-0000-0000-000064190000}"/>
    <cellStyle name="Normal 5 2 8 2 2 2" xfId="17077" xr:uid="{13694BF5-AB57-42F8-AEF1-200316AC72B0}"/>
    <cellStyle name="Normal 5 2 8 2 3" xfId="12860" xr:uid="{B08050DF-D320-4BAF-BA65-3D019A9B33F1}"/>
    <cellStyle name="Normal 5 2 8 3" xfId="5606" xr:uid="{00000000-0005-0000-0000-000065190000}"/>
    <cellStyle name="Normal 5 2 8 3 2" xfId="14932" xr:uid="{0AA9576F-C1D2-4604-B7B0-C0D9D6C8110F}"/>
    <cellStyle name="Normal 5 2 8 4" xfId="10715" xr:uid="{B068F05D-57E3-4F9B-ACF4-1FB3FA2A37E8}"/>
    <cellStyle name="Normal 5 2 9" xfId="1712" xr:uid="{00000000-0005-0000-0000-000066190000}"/>
    <cellStyle name="Normal 5 2 9 2" xfId="3942" xr:uid="{00000000-0005-0000-0000-000067190000}"/>
    <cellStyle name="Normal 5 2 9 2 2" xfId="8164" xr:uid="{00000000-0005-0000-0000-000068190000}"/>
    <cellStyle name="Normal 5 2 9 2 2 2" xfId="17490" xr:uid="{4C1CDA3D-1DAB-4DC5-B746-592C7CEA9B92}"/>
    <cellStyle name="Normal 5 2 9 2 3" xfId="13273" xr:uid="{C7A17434-893E-4B64-A036-088ECBE57611}"/>
    <cellStyle name="Normal 5 2 9 3" xfId="6019" xr:uid="{00000000-0005-0000-0000-000069190000}"/>
    <cellStyle name="Normal 5 2 9 3 2" xfId="15345" xr:uid="{37D93EE9-331B-4D68-B0E6-F9880F6E89AD}"/>
    <cellStyle name="Normal 5 2 9 4" xfId="11128" xr:uid="{06E41940-4775-418E-ABE0-81FB8EF5ACC7}"/>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B274F415-6F49-463B-B6A3-D84031F7C86A}"/>
    <cellStyle name="Normal 5 3 10 2 3" xfId="13718" xr:uid="{F36C83B7-4BAA-4D1E-8B92-5AFD9BA960EA}"/>
    <cellStyle name="Normal 5 3 10 3" xfId="6464" xr:uid="{00000000-0005-0000-0000-00006E190000}"/>
    <cellStyle name="Normal 5 3 10 3 2" xfId="15790" xr:uid="{0D1CD1A8-B8B6-4A56-985D-8D56682ACF47}"/>
    <cellStyle name="Normal 5 3 10 4" xfId="11573" xr:uid="{C88AFCEA-497B-40C1-9915-EECC87278436}"/>
    <cellStyle name="Normal 5 3 11" xfId="2594" xr:uid="{00000000-0005-0000-0000-00006F190000}"/>
    <cellStyle name="Normal 5 3 11 2" xfId="6877" xr:uid="{00000000-0005-0000-0000-000070190000}"/>
    <cellStyle name="Normal 5 3 11 2 2" xfId="16203" xr:uid="{86B02557-B50E-41EB-B90D-E555F62D5BE4}"/>
    <cellStyle name="Normal 5 3 11 3" xfId="11986" xr:uid="{28292C12-F8A3-4AF9-A9F8-CB7D7321A5E1}"/>
    <cellStyle name="Normal 5 3 12" xfId="4812" xr:uid="{00000000-0005-0000-0000-000071190000}"/>
    <cellStyle name="Normal 5 3 12 2" xfId="14138" xr:uid="{A345733D-6E22-4B22-B5D7-36878ED0D0C1}"/>
    <cellStyle name="Normal 5 3 13" xfId="8750" xr:uid="{36957AEF-D081-4A23-AEE3-073A5901863C}"/>
    <cellStyle name="Normal 5 3 13 2" xfId="18074" xr:uid="{C1FF884D-074F-4F73-9302-9069352D2D3C}"/>
    <cellStyle name="Normal 5 3 14" xfId="9921" xr:uid="{26ADA5D3-0720-41CC-AB4B-790E10E3893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12C56ABA-ACBD-49A7-ADAD-0D7103D7DDAC}"/>
    <cellStyle name="Normal 5 3 3 11" xfId="8782" xr:uid="{4219AD28-469A-4693-BD0B-B0536AC433E5}"/>
    <cellStyle name="Normal 5 3 3 11 2" xfId="18106" xr:uid="{DC5FF322-D54E-486B-AED8-D825CD808163}"/>
    <cellStyle name="Normal 5 3 3 12" xfId="9922" xr:uid="{77F169ED-F98B-4159-A25C-7AF1A90A2FD9}"/>
    <cellStyle name="Normal 5 3 3 2" xfId="442" xr:uid="{00000000-0005-0000-0000-000076190000}"/>
    <cellStyle name="Normal 5 3 3 2 10" xfId="8832" xr:uid="{03323DDB-E4E1-4078-8BBE-EA3DD4471E1B}"/>
    <cellStyle name="Normal 5 3 3 2 10 2" xfId="18156" xr:uid="{FC5A5416-EE94-4F71-97FD-B0DB76AE9C83}"/>
    <cellStyle name="Normal 5 3 3 2 11" xfId="9923" xr:uid="{E651CDCD-EC1F-425B-AE8E-3D76235AFBC9}"/>
    <cellStyle name="Normal 5 3 3 2 2" xfId="443" xr:uid="{00000000-0005-0000-0000-000077190000}"/>
    <cellStyle name="Normal 5 3 3 2 2 10" xfId="9924" xr:uid="{719EF291-FA51-4A64-A9E2-6ED8B5A15B9A}"/>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9A8AD689-81E6-47ED-901C-EB4AAF976779}"/>
    <cellStyle name="Normal 5 3 3 2 2 2 2 2 3" xfId="12483" xr:uid="{BC64627F-0D06-454C-8602-E02781DC690C}"/>
    <cellStyle name="Normal 5 3 3 2 2 2 2 3" xfId="5229" xr:uid="{00000000-0005-0000-0000-00007C190000}"/>
    <cellStyle name="Normal 5 3 3 2 2 2 2 3 2" xfId="14555" xr:uid="{6C0393D8-18CC-48C1-9B3B-4AA0368155E2}"/>
    <cellStyle name="Normal 5 3 3 2 2 2 2 4" xfId="9567" xr:uid="{C2519486-6BC5-47D1-879F-EC6040BC9E9D}"/>
    <cellStyle name="Normal 5 3 3 2 2 2 2 4 2" xfId="18882" xr:uid="{9A8B24B1-9E71-4A4D-BC2B-CEF7DF9DAD8F}"/>
    <cellStyle name="Normal 5 3 3 2 2 2 2 5" xfId="10338" xr:uid="{1208E967-2BBA-4AC5-B68A-748C1C782D34}"/>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03886FF7-AE00-41FD-9B2F-051FE0A23B51}"/>
    <cellStyle name="Normal 5 3 3 2 2 2 3 2 3" xfId="12896" xr:uid="{7F6C87A5-E107-4D2A-B9DE-015C57AD13F6}"/>
    <cellStyle name="Normal 5 3 3 2 2 2 3 3" xfId="5642" xr:uid="{00000000-0005-0000-0000-000080190000}"/>
    <cellStyle name="Normal 5 3 3 2 2 2 3 3 2" xfId="14968" xr:uid="{2DADD78E-16ED-4F4D-B1FE-55DBA02EAA59}"/>
    <cellStyle name="Normal 5 3 3 2 2 2 3 4" xfId="10751" xr:uid="{7075FFAF-5FEE-4A96-88DB-990BB51FEA5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117F69FA-0522-4F62-9930-5DE0EEA42F0B}"/>
    <cellStyle name="Normal 5 3 3 2 2 2 4 2 3" xfId="13309" xr:uid="{AABE80FF-9D0B-43E3-B3B9-F6CF8A80B6A3}"/>
    <cellStyle name="Normal 5 3 3 2 2 2 4 3" xfId="6055" xr:uid="{00000000-0005-0000-0000-000084190000}"/>
    <cellStyle name="Normal 5 3 3 2 2 2 4 3 2" xfId="15381" xr:uid="{203C2B9B-929C-4882-93E2-51262EDE83D4}"/>
    <cellStyle name="Normal 5 3 3 2 2 2 4 4" xfId="11164" xr:uid="{94566CE7-D2C1-4D8B-91ED-099EC6321F44}"/>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545990A3-C9D5-420B-9E08-61170BEAE51F}"/>
    <cellStyle name="Normal 5 3 3 2 2 2 5 2 3" xfId="13722" xr:uid="{B30708F7-64BF-4549-9331-48272D6309BB}"/>
    <cellStyle name="Normal 5 3 3 2 2 2 5 3" xfId="6468" xr:uid="{00000000-0005-0000-0000-000088190000}"/>
    <cellStyle name="Normal 5 3 3 2 2 2 5 3 2" xfId="15794" xr:uid="{2E92E703-0D4B-4C29-946D-20234962D169}"/>
    <cellStyle name="Normal 5 3 3 2 2 2 5 4" xfId="11577" xr:uid="{CEEFDF49-F8DC-4EC6-B21D-4D4DA940886A}"/>
    <cellStyle name="Normal 5 3 3 2 2 2 6" xfId="2598" xr:uid="{00000000-0005-0000-0000-000089190000}"/>
    <cellStyle name="Normal 5 3 3 2 2 2 6 2" xfId="6881" xr:uid="{00000000-0005-0000-0000-00008A190000}"/>
    <cellStyle name="Normal 5 3 3 2 2 2 6 2 2" xfId="16207" xr:uid="{77994FA1-D323-465C-96C3-0E29F2F00FC0}"/>
    <cellStyle name="Normal 5 3 3 2 2 2 6 3" xfId="11990" xr:uid="{B8443B56-6376-4B75-8FE4-0BB4F9B3BDEA}"/>
    <cellStyle name="Normal 5 3 3 2 2 2 7" xfId="4816" xr:uid="{00000000-0005-0000-0000-00008B190000}"/>
    <cellStyle name="Normal 5 3 3 2 2 2 7 2" xfId="14142" xr:uid="{3E92AB2C-CA53-4B14-BECC-0526742BB8A7}"/>
    <cellStyle name="Normal 5 3 3 2 2 2 8" xfId="9142" xr:uid="{81CF9711-3A0B-4712-8E8F-033C974AA9E3}"/>
    <cellStyle name="Normal 5 3 3 2 2 2 8 2" xfId="18466" xr:uid="{C6B52E86-A98B-4932-84BC-FADBD4EC880E}"/>
    <cellStyle name="Normal 5 3 3 2 2 2 9" xfId="9925" xr:uid="{084A0198-5E84-4A77-96A8-8F7E273450DF}"/>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680D316D-0620-45FE-BD2E-78D332946614}"/>
    <cellStyle name="Normal 5 3 3 2 2 3 2 3" xfId="12482" xr:uid="{1971AF61-3FA9-488B-85D0-FB63A486BDF7}"/>
    <cellStyle name="Normal 5 3 3 2 2 3 3" xfId="5228" xr:uid="{00000000-0005-0000-0000-00008F190000}"/>
    <cellStyle name="Normal 5 3 3 2 2 3 3 2" xfId="14554" xr:uid="{27D91D4D-F04E-4CB9-9630-67F4C1B8385C}"/>
    <cellStyle name="Normal 5 3 3 2 2 3 4" xfId="9360" xr:uid="{07447062-3C9B-4A41-BE9D-50DE495FF588}"/>
    <cellStyle name="Normal 5 3 3 2 2 3 4 2" xfId="18675" xr:uid="{92B2E293-D6C2-4809-A4B5-185DF04EFCCE}"/>
    <cellStyle name="Normal 5 3 3 2 2 3 5" xfId="10337" xr:uid="{DC9EC939-861D-48F2-B23B-56AAC6B6376F}"/>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5EC741DF-AE04-414C-8E4C-21015041F8F8}"/>
    <cellStyle name="Normal 5 3 3 2 2 4 2 3" xfId="12895" xr:uid="{05E7173C-4E47-421A-B746-04F8F315A1DD}"/>
    <cellStyle name="Normal 5 3 3 2 2 4 3" xfId="5641" xr:uid="{00000000-0005-0000-0000-000093190000}"/>
    <cellStyle name="Normal 5 3 3 2 2 4 3 2" xfId="14967" xr:uid="{14DDD288-A8A8-409A-B86D-E8D4A5465DA1}"/>
    <cellStyle name="Normal 5 3 3 2 2 4 4" xfId="10750" xr:uid="{DC209A36-CD04-4D1C-97EC-51E673C9D49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3724EC07-6CC3-44DA-803B-0AA2C2411957}"/>
    <cellStyle name="Normal 5 3 3 2 2 5 2 3" xfId="13308" xr:uid="{733FB7A9-1153-46DE-8AC6-ED602854AED3}"/>
    <cellStyle name="Normal 5 3 3 2 2 5 3" xfId="6054" xr:uid="{00000000-0005-0000-0000-000097190000}"/>
    <cellStyle name="Normal 5 3 3 2 2 5 3 2" xfId="15380" xr:uid="{08D75485-EE40-41F9-A00B-7CAE95549A82}"/>
    <cellStyle name="Normal 5 3 3 2 2 5 4" xfId="11163" xr:uid="{F2202503-3689-4E17-9C1F-D8143AA6A801}"/>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CCAD8C62-DE28-4C71-8BCE-52B2BE49B7C2}"/>
    <cellStyle name="Normal 5 3 3 2 2 6 2 3" xfId="13721" xr:uid="{BE4D59FA-F894-4F18-A3F2-624A7B23B1BE}"/>
    <cellStyle name="Normal 5 3 3 2 2 6 3" xfId="6467" xr:uid="{00000000-0005-0000-0000-00009B190000}"/>
    <cellStyle name="Normal 5 3 3 2 2 6 3 2" xfId="15793" xr:uid="{E39C2CE3-5990-4D7E-80F2-552E50EAC760}"/>
    <cellStyle name="Normal 5 3 3 2 2 6 4" xfId="11576" xr:uid="{8D03F506-4A04-4F3B-8F67-F5CDBBBDDDFE}"/>
    <cellStyle name="Normal 5 3 3 2 2 7" xfId="2597" xr:uid="{00000000-0005-0000-0000-00009C190000}"/>
    <cellStyle name="Normal 5 3 3 2 2 7 2" xfId="6880" xr:uid="{00000000-0005-0000-0000-00009D190000}"/>
    <cellStyle name="Normal 5 3 3 2 2 7 2 2" xfId="16206" xr:uid="{C3BBB5C2-A664-497A-94EC-4881121A151C}"/>
    <cellStyle name="Normal 5 3 3 2 2 7 3" xfId="11989" xr:uid="{46EFA17C-8022-414D-BA54-6BDEFD96B87A}"/>
    <cellStyle name="Normal 5 3 3 2 2 8" xfId="4815" xr:uid="{00000000-0005-0000-0000-00009E190000}"/>
    <cellStyle name="Normal 5 3 3 2 2 8 2" xfId="14141" xr:uid="{AC8CA262-75E3-4EEC-9C48-F48D4C872F82}"/>
    <cellStyle name="Normal 5 3 3 2 2 9" xfId="8935" xr:uid="{94B8766B-0DD5-4CC7-9403-D37FC711344B}"/>
    <cellStyle name="Normal 5 3 3 2 2 9 2" xfId="18259" xr:uid="{BE695D95-4539-46C7-BD03-4F0DBFE5B00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E0E1CE41-1A31-498C-8971-3599B8D970E0}"/>
    <cellStyle name="Normal 5 3 3 2 3 2 2 3" xfId="12484" xr:uid="{235706FE-D4DE-46CF-AEB2-68B7667512A8}"/>
    <cellStyle name="Normal 5 3 3 2 3 2 3" xfId="5230" xr:uid="{00000000-0005-0000-0000-0000A3190000}"/>
    <cellStyle name="Normal 5 3 3 2 3 2 3 2" xfId="14556" xr:uid="{72E561B1-8834-4622-ADA7-10EEED6C4087}"/>
    <cellStyle name="Normal 5 3 3 2 3 2 4" xfId="9464" xr:uid="{6A182EEF-0879-47AD-839A-17D560B4AF3D}"/>
    <cellStyle name="Normal 5 3 3 2 3 2 4 2" xfId="18779" xr:uid="{8E038A93-F212-44B9-B931-7E01281216CD}"/>
    <cellStyle name="Normal 5 3 3 2 3 2 5" xfId="10339" xr:uid="{21C77CFB-DAB7-4EB4-A15B-8BEB90C07797}"/>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4301CE97-703F-4CDE-8F9B-CE807EC31836}"/>
    <cellStyle name="Normal 5 3 3 2 3 3 2 3" xfId="12897" xr:uid="{BE1BEF79-D3DC-4C69-90D6-3AEFE7B68E60}"/>
    <cellStyle name="Normal 5 3 3 2 3 3 3" xfId="5643" xr:uid="{00000000-0005-0000-0000-0000A7190000}"/>
    <cellStyle name="Normal 5 3 3 2 3 3 3 2" xfId="14969" xr:uid="{96D73C32-ED9A-4408-8E18-305E1740C85E}"/>
    <cellStyle name="Normal 5 3 3 2 3 3 4" xfId="10752" xr:uid="{607CA5CE-C6E2-42C8-AA29-F138F64BFE5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60E50D6B-ECAB-49A4-9322-E8ABE21E12B5}"/>
    <cellStyle name="Normal 5 3 3 2 3 4 2 3" xfId="13310" xr:uid="{2AE9A2F6-D852-4CB5-A9C5-7E4DD30658EF}"/>
    <cellStyle name="Normal 5 3 3 2 3 4 3" xfId="6056" xr:uid="{00000000-0005-0000-0000-0000AB190000}"/>
    <cellStyle name="Normal 5 3 3 2 3 4 3 2" xfId="15382" xr:uid="{D3D8824B-3021-4F59-A8CB-BE53ECDA3CA3}"/>
    <cellStyle name="Normal 5 3 3 2 3 4 4" xfId="11165" xr:uid="{0CCEE3E5-13B1-4FF3-B9FA-C80F4EE7979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284CB6D4-BD23-46AA-829A-131DF6F1F28B}"/>
    <cellStyle name="Normal 5 3 3 2 3 5 2 3" xfId="13723" xr:uid="{D8617039-6995-48D7-AF95-EC507F291FD1}"/>
    <cellStyle name="Normal 5 3 3 2 3 5 3" xfId="6469" xr:uid="{00000000-0005-0000-0000-0000AF190000}"/>
    <cellStyle name="Normal 5 3 3 2 3 5 3 2" xfId="15795" xr:uid="{A4DD1AA5-B6F4-4780-B758-C84EAC02EF7F}"/>
    <cellStyle name="Normal 5 3 3 2 3 5 4" xfId="11578" xr:uid="{250279C2-1C79-4B47-9306-4366AEC368CD}"/>
    <cellStyle name="Normal 5 3 3 2 3 6" xfId="2599" xr:uid="{00000000-0005-0000-0000-0000B0190000}"/>
    <cellStyle name="Normal 5 3 3 2 3 6 2" xfId="6882" xr:uid="{00000000-0005-0000-0000-0000B1190000}"/>
    <cellStyle name="Normal 5 3 3 2 3 6 2 2" xfId="16208" xr:uid="{C6BB8D36-9B32-45F9-A116-348E15ECB1E3}"/>
    <cellStyle name="Normal 5 3 3 2 3 6 3" xfId="11991" xr:uid="{412B36A7-7F39-4194-8CE1-0F50DD32CF70}"/>
    <cellStyle name="Normal 5 3 3 2 3 7" xfId="4817" xr:uid="{00000000-0005-0000-0000-0000B2190000}"/>
    <cellStyle name="Normal 5 3 3 2 3 7 2" xfId="14143" xr:uid="{DE2729AF-E59F-4263-895C-3601EA2A39AE}"/>
    <cellStyle name="Normal 5 3 3 2 3 8" xfId="9039" xr:uid="{84D80CE6-A0CA-4841-8673-26EA7EC6806D}"/>
    <cellStyle name="Normal 5 3 3 2 3 8 2" xfId="18363" xr:uid="{92BB9E70-5FEE-47A3-B047-7F3F4D9BA77B}"/>
    <cellStyle name="Normal 5 3 3 2 3 9" xfId="9926" xr:uid="{7838991E-FE53-4F33-A5CA-1C799CD27F68}"/>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AE3E1391-37CA-4D5D-A7A4-68A7DB3FC1D2}"/>
    <cellStyle name="Normal 5 3 3 2 4 2 3" xfId="12481" xr:uid="{DC14FD5E-CA83-4841-A1F0-BDB3BF580C39}"/>
    <cellStyle name="Normal 5 3 3 2 4 3" xfId="5227" xr:uid="{00000000-0005-0000-0000-0000B6190000}"/>
    <cellStyle name="Normal 5 3 3 2 4 3 2" xfId="14553" xr:uid="{6A689882-4378-4F33-90CA-A1C583E443AC}"/>
    <cellStyle name="Normal 5 3 3 2 4 4" xfId="9257" xr:uid="{E6656214-6E5B-491F-B1E3-227CB6568726}"/>
    <cellStyle name="Normal 5 3 3 2 4 4 2" xfId="18572" xr:uid="{5A5B4305-A9DD-4D6A-A755-210E33A81E76}"/>
    <cellStyle name="Normal 5 3 3 2 4 5" xfId="10336" xr:uid="{B116EBDE-87E5-4E85-82E1-46BB3A2C05E0}"/>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E4B813C8-FEEF-4C8F-A8F8-8FEC2B5622ED}"/>
    <cellStyle name="Normal 5 3 3 2 5 2 3" xfId="12894" xr:uid="{46E8CA65-B854-4CA2-B809-D48E078DF159}"/>
    <cellStyle name="Normal 5 3 3 2 5 3" xfId="5640" xr:uid="{00000000-0005-0000-0000-0000BA190000}"/>
    <cellStyle name="Normal 5 3 3 2 5 3 2" xfId="14966" xr:uid="{D98F4B98-3856-4282-9BAA-C6C8B7F7D063}"/>
    <cellStyle name="Normal 5 3 3 2 5 4" xfId="10749" xr:uid="{F04B835F-633E-4D17-BDC4-FD61D1716ED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100C6F60-5FCE-4201-8D04-4E50DE86247E}"/>
    <cellStyle name="Normal 5 3 3 2 6 2 3" xfId="13307" xr:uid="{1E3E4FC3-64F2-4944-A40E-03E37D5BEC39}"/>
    <cellStyle name="Normal 5 3 3 2 6 3" xfId="6053" xr:uid="{00000000-0005-0000-0000-0000BE190000}"/>
    <cellStyle name="Normal 5 3 3 2 6 3 2" xfId="15379" xr:uid="{9389BF43-CC0B-43DF-A26F-2BD7FBCEFF67}"/>
    <cellStyle name="Normal 5 3 3 2 6 4" xfId="11162" xr:uid="{FF722B2A-E3B3-422F-91D5-C141B7C2BFE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1F842B55-0C46-4BBC-9C22-02C34E2FB77A}"/>
    <cellStyle name="Normal 5 3 3 2 7 2 3" xfId="13720" xr:uid="{C7488CFB-B899-4E59-A592-1A43DDD63A90}"/>
    <cellStyle name="Normal 5 3 3 2 7 3" xfId="6466" xr:uid="{00000000-0005-0000-0000-0000C2190000}"/>
    <cellStyle name="Normal 5 3 3 2 7 3 2" xfId="15792" xr:uid="{79F29BE8-F8E8-40EA-AF05-5FE29A7C2C8D}"/>
    <cellStyle name="Normal 5 3 3 2 7 4" xfId="11575" xr:uid="{6FC4EE6B-E017-406A-B830-192AF1B1E293}"/>
    <cellStyle name="Normal 5 3 3 2 8" xfId="2596" xr:uid="{00000000-0005-0000-0000-0000C3190000}"/>
    <cellStyle name="Normal 5 3 3 2 8 2" xfId="6879" xr:uid="{00000000-0005-0000-0000-0000C4190000}"/>
    <cellStyle name="Normal 5 3 3 2 8 2 2" xfId="16205" xr:uid="{95D72E3F-ADB8-48E3-AC92-01510C2D4B88}"/>
    <cellStyle name="Normal 5 3 3 2 8 3" xfId="11988" xr:uid="{B16E81B0-4661-4F82-A9E4-2EBDC1824185}"/>
    <cellStyle name="Normal 5 3 3 2 9" xfId="4814" xr:uid="{00000000-0005-0000-0000-0000C5190000}"/>
    <cellStyle name="Normal 5 3 3 2 9 2" xfId="14140" xr:uid="{0BEED134-636A-485D-AEAF-87AAEB710593}"/>
    <cellStyle name="Normal 5 3 3 3" xfId="446" xr:uid="{00000000-0005-0000-0000-0000C6190000}"/>
    <cellStyle name="Normal 5 3 3 3 10" xfId="9927" xr:uid="{DEE448C0-352B-4EE4-81BE-588C4F7E1A5E}"/>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6AE4FB2E-529A-423E-9BBE-540BF4A83F7F}"/>
    <cellStyle name="Normal 5 3 3 3 2 2 2 3" xfId="12486" xr:uid="{C84F4F65-B5D3-456C-BEF7-7D055E94D22D}"/>
    <cellStyle name="Normal 5 3 3 3 2 2 3" xfId="5232" xr:uid="{00000000-0005-0000-0000-0000CB190000}"/>
    <cellStyle name="Normal 5 3 3 3 2 2 3 2" xfId="14558" xr:uid="{C95C3DA2-415A-4A33-953D-183620A7C2A0}"/>
    <cellStyle name="Normal 5 3 3 3 2 2 4" xfId="9517" xr:uid="{EA62A3B1-8ED5-4A6F-ACE0-B924BC16AA9E}"/>
    <cellStyle name="Normal 5 3 3 3 2 2 4 2" xfId="18832" xr:uid="{99144D67-06B3-4B2D-9D94-DD0D4619BD92}"/>
    <cellStyle name="Normal 5 3 3 3 2 2 5" xfId="10341" xr:uid="{F3A7BA48-010E-41BB-B615-E177F07B2DCC}"/>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CBB9ECCB-2814-4B66-A0D8-6CBE72805940}"/>
    <cellStyle name="Normal 5 3 3 3 2 3 2 3" xfId="12899" xr:uid="{0D2684F4-5A72-4180-879C-FC737976FCFB}"/>
    <cellStyle name="Normal 5 3 3 3 2 3 3" xfId="5645" xr:uid="{00000000-0005-0000-0000-0000CF190000}"/>
    <cellStyle name="Normal 5 3 3 3 2 3 3 2" xfId="14971" xr:uid="{0E68CA29-EC54-4A75-8D68-7F4F428CAEC8}"/>
    <cellStyle name="Normal 5 3 3 3 2 3 4" xfId="10754" xr:uid="{10667485-4D30-4578-B95D-6A96EE55AF0B}"/>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E73E5258-03ED-4E39-B030-5B8826DFDCC7}"/>
    <cellStyle name="Normal 5 3 3 3 2 4 2 3" xfId="13312" xr:uid="{E92350D2-B16C-49A4-B3D7-A0B39D678301}"/>
    <cellStyle name="Normal 5 3 3 3 2 4 3" xfId="6058" xr:uid="{00000000-0005-0000-0000-0000D3190000}"/>
    <cellStyle name="Normal 5 3 3 3 2 4 3 2" xfId="15384" xr:uid="{36368945-F82E-4B00-B20F-CBFD793A7D49}"/>
    <cellStyle name="Normal 5 3 3 3 2 4 4" xfId="11167" xr:uid="{5A48F7BD-0387-4305-B1F3-D0924F8A8E4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643888F3-7454-4A25-9162-A7D28E6DFE50}"/>
    <cellStyle name="Normal 5 3 3 3 2 5 2 3" xfId="13725" xr:uid="{C932EBAF-E667-4093-9E6D-EAD790F03D4B}"/>
    <cellStyle name="Normal 5 3 3 3 2 5 3" xfId="6471" xr:uid="{00000000-0005-0000-0000-0000D7190000}"/>
    <cellStyle name="Normal 5 3 3 3 2 5 3 2" xfId="15797" xr:uid="{0C6AFFF7-C593-4358-A895-A11954944EDF}"/>
    <cellStyle name="Normal 5 3 3 3 2 5 4" xfId="11580" xr:uid="{D719DF21-59EF-46E0-9F81-FCACA6C4D32E}"/>
    <cellStyle name="Normal 5 3 3 3 2 6" xfId="2601" xr:uid="{00000000-0005-0000-0000-0000D8190000}"/>
    <cellStyle name="Normal 5 3 3 3 2 6 2" xfId="6884" xr:uid="{00000000-0005-0000-0000-0000D9190000}"/>
    <cellStyle name="Normal 5 3 3 3 2 6 2 2" xfId="16210" xr:uid="{7437C1CE-6245-4607-8C5F-FB9B1C11A357}"/>
    <cellStyle name="Normal 5 3 3 3 2 6 3" xfId="11993" xr:uid="{2AC95951-DE6D-42DC-B5B3-FC8683FE806A}"/>
    <cellStyle name="Normal 5 3 3 3 2 7" xfId="4819" xr:uid="{00000000-0005-0000-0000-0000DA190000}"/>
    <cellStyle name="Normal 5 3 3 3 2 7 2" xfId="14145" xr:uid="{722E529B-CB30-4866-BA5F-92DD8F4DA3B3}"/>
    <cellStyle name="Normal 5 3 3 3 2 8" xfId="9092" xr:uid="{A018BC5E-3880-4BA4-8CFB-322C89A13B5F}"/>
    <cellStyle name="Normal 5 3 3 3 2 8 2" xfId="18416" xr:uid="{563B9D8E-302E-4967-B664-7B769DA6A475}"/>
    <cellStyle name="Normal 5 3 3 3 2 9" xfId="9928" xr:uid="{E0485258-406F-480A-99B0-39A2699ED9F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987FFCE8-67C8-4F41-BF3A-F57D61A03046}"/>
    <cellStyle name="Normal 5 3 3 3 3 2 3" xfId="12485" xr:uid="{2AAE1995-0538-4C59-9B53-00CE5A7C983F}"/>
    <cellStyle name="Normal 5 3 3 3 3 3" xfId="5231" xr:uid="{00000000-0005-0000-0000-0000DE190000}"/>
    <cellStyle name="Normal 5 3 3 3 3 3 2" xfId="14557" xr:uid="{601069D2-A9D3-4140-80B3-B431C016E43F}"/>
    <cellStyle name="Normal 5 3 3 3 3 4" xfId="9310" xr:uid="{D169C31A-17C5-4934-97DF-D90479FD2654}"/>
    <cellStyle name="Normal 5 3 3 3 3 4 2" xfId="18625" xr:uid="{F61E0310-F068-47CF-B6B9-6B0DB2EB36F5}"/>
    <cellStyle name="Normal 5 3 3 3 3 5" xfId="10340" xr:uid="{4B6955A3-7CD6-430E-A59B-732058BC21F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C95F3B94-E7C0-49E8-BD3C-E39144B327F1}"/>
    <cellStyle name="Normal 5 3 3 3 4 2 3" xfId="12898" xr:uid="{44DEFB81-E3E7-4016-9A5B-C63565F0D7A2}"/>
    <cellStyle name="Normal 5 3 3 3 4 3" xfId="5644" xr:uid="{00000000-0005-0000-0000-0000E2190000}"/>
    <cellStyle name="Normal 5 3 3 3 4 3 2" xfId="14970" xr:uid="{C8615492-A51D-4F1D-BEBA-FB65FC0CE09D}"/>
    <cellStyle name="Normal 5 3 3 3 4 4" xfId="10753" xr:uid="{B3EA65BF-89E3-4608-AE72-D0538840D4DA}"/>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E9EA0467-AC5A-4C59-BBDD-935B160C486E}"/>
    <cellStyle name="Normal 5 3 3 3 5 2 3" xfId="13311" xr:uid="{9F6696A4-19F1-44E2-9E74-0F7C71157F7E}"/>
    <cellStyle name="Normal 5 3 3 3 5 3" xfId="6057" xr:uid="{00000000-0005-0000-0000-0000E6190000}"/>
    <cellStyle name="Normal 5 3 3 3 5 3 2" xfId="15383" xr:uid="{4E949ED6-58B4-4C61-8D37-B79939FD77F6}"/>
    <cellStyle name="Normal 5 3 3 3 5 4" xfId="11166" xr:uid="{433B1BF5-4858-4CBA-A389-795044FEEAF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C0351699-5A69-4BAE-8F9C-0722A2C59D54}"/>
    <cellStyle name="Normal 5 3 3 3 6 2 3" xfId="13724" xr:uid="{B96DE487-9EDE-462D-A7E5-F5A5401336A8}"/>
    <cellStyle name="Normal 5 3 3 3 6 3" xfId="6470" xr:uid="{00000000-0005-0000-0000-0000EA190000}"/>
    <cellStyle name="Normal 5 3 3 3 6 3 2" xfId="15796" xr:uid="{2608F4D1-03F8-4506-A90D-A348E4C1481A}"/>
    <cellStyle name="Normal 5 3 3 3 6 4" xfId="11579" xr:uid="{C1AFAB58-C7F2-41FE-B787-F0292A7EFA68}"/>
    <cellStyle name="Normal 5 3 3 3 7" xfId="2600" xr:uid="{00000000-0005-0000-0000-0000EB190000}"/>
    <cellStyle name="Normal 5 3 3 3 7 2" xfId="6883" xr:uid="{00000000-0005-0000-0000-0000EC190000}"/>
    <cellStyle name="Normal 5 3 3 3 7 2 2" xfId="16209" xr:uid="{78C245AC-19C6-44C3-A06A-6F0DACD36608}"/>
    <cellStyle name="Normal 5 3 3 3 7 3" xfId="11992" xr:uid="{9F39DF3F-BB10-43D0-8BAB-9EEE75D39DB4}"/>
    <cellStyle name="Normal 5 3 3 3 8" xfId="4818" xr:uid="{00000000-0005-0000-0000-0000ED190000}"/>
    <cellStyle name="Normal 5 3 3 3 8 2" xfId="14144" xr:uid="{BEF2C050-DF74-4399-96A0-FC7CEDEB1C97}"/>
    <cellStyle name="Normal 5 3 3 3 9" xfId="8885" xr:uid="{BFA59703-C126-4DE9-A819-9190501D5C5B}"/>
    <cellStyle name="Normal 5 3 3 3 9 2" xfId="18209" xr:uid="{89DB1181-4255-4765-93EF-09526CB12B2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FA29D46C-6457-4AA2-90F6-E6AE4469F64D}"/>
    <cellStyle name="Normal 5 3 3 4 2 2 3" xfId="12487" xr:uid="{6373C904-8EEA-4C30-A44E-3B2A0F16B84B}"/>
    <cellStyle name="Normal 5 3 3 4 2 3" xfId="5233" xr:uid="{00000000-0005-0000-0000-0000F2190000}"/>
    <cellStyle name="Normal 5 3 3 4 2 3 2" xfId="14559" xr:uid="{E8557965-1080-48E7-8F6E-AE580859D614}"/>
    <cellStyle name="Normal 5 3 3 4 2 4" xfId="9414" xr:uid="{BD781A4C-FDA7-4D11-87F3-3D38EC19B37A}"/>
    <cellStyle name="Normal 5 3 3 4 2 4 2" xfId="18729" xr:uid="{25CDC65E-66A0-47E7-B82C-97775540D266}"/>
    <cellStyle name="Normal 5 3 3 4 2 5" xfId="10342" xr:uid="{E65552E8-3BC3-439D-AFC8-AAB0D39DD975}"/>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759B8699-6209-4F9E-BD0A-70841F041C84}"/>
    <cellStyle name="Normal 5 3 3 4 3 2 3" xfId="12900" xr:uid="{87AD3D64-AE46-4BC6-9934-02DA9B0317AB}"/>
    <cellStyle name="Normal 5 3 3 4 3 3" xfId="5646" xr:uid="{00000000-0005-0000-0000-0000F6190000}"/>
    <cellStyle name="Normal 5 3 3 4 3 3 2" xfId="14972" xr:uid="{B20830ED-97D4-4853-9F94-AFA72FBF0DBB}"/>
    <cellStyle name="Normal 5 3 3 4 3 4" xfId="10755" xr:uid="{38E57718-DAE9-41ED-92EF-6EAF0E469B4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9F6EEAB0-0BE0-44F5-9172-7505E3FD4301}"/>
    <cellStyle name="Normal 5 3 3 4 4 2 3" xfId="13313" xr:uid="{15EA187D-3F30-4403-9CBB-248FE6653865}"/>
    <cellStyle name="Normal 5 3 3 4 4 3" xfId="6059" xr:uid="{00000000-0005-0000-0000-0000FA190000}"/>
    <cellStyle name="Normal 5 3 3 4 4 3 2" xfId="15385" xr:uid="{BFFED0E8-499B-4A43-A07A-DA5A11232A6F}"/>
    <cellStyle name="Normal 5 3 3 4 4 4" xfId="11168" xr:uid="{427BF5AF-881E-4D3B-9460-6D60071B0749}"/>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F0C95232-200C-47F6-ACA3-FF133826B9A3}"/>
    <cellStyle name="Normal 5 3 3 4 5 2 3" xfId="13726" xr:uid="{84C9E2DE-851E-4CF3-A718-75029D04C9B7}"/>
    <cellStyle name="Normal 5 3 3 4 5 3" xfId="6472" xr:uid="{00000000-0005-0000-0000-0000FE190000}"/>
    <cellStyle name="Normal 5 3 3 4 5 3 2" xfId="15798" xr:uid="{528D8CF2-52C6-4722-BECF-21B4DD6AFB2A}"/>
    <cellStyle name="Normal 5 3 3 4 5 4" xfId="11581" xr:uid="{7BB1D0CF-21FC-4C67-82E6-F524089FAE4A}"/>
    <cellStyle name="Normal 5 3 3 4 6" xfId="2602" xr:uid="{00000000-0005-0000-0000-0000FF190000}"/>
    <cellStyle name="Normal 5 3 3 4 6 2" xfId="6885" xr:uid="{00000000-0005-0000-0000-0000001A0000}"/>
    <cellStyle name="Normal 5 3 3 4 6 2 2" xfId="16211" xr:uid="{856AB84A-0383-4CC9-B81C-EF807789CCA7}"/>
    <cellStyle name="Normal 5 3 3 4 6 3" xfId="11994" xr:uid="{E66D3DA4-E3FA-486B-AEC1-4489B5C1ABB7}"/>
    <cellStyle name="Normal 5 3 3 4 7" xfId="4820" xr:uid="{00000000-0005-0000-0000-0000011A0000}"/>
    <cellStyle name="Normal 5 3 3 4 7 2" xfId="14146" xr:uid="{F06FA4FB-A318-4B36-BD56-5B688B18B2D0}"/>
    <cellStyle name="Normal 5 3 3 4 8" xfId="8989" xr:uid="{20FA1483-98E6-46C4-B00B-4EAF7957981D}"/>
    <cellStyle name="Normal 5 3 3 4 8 2" xfId="18313" xr:uid="{ABAB1D1C-12A2-46BB-916A-8A2B981D6EA5}"/>
    <cellStyle name="Normal 5 3 3 4 9" xfId="9929" xr:uid="{B000C2EA-7411-4C71-B8D4-88E1F26B046F}"/>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593D2485-11D2-44F2-A619-56F2452EC24A}"/>
    <cellStyle name="Normal 5 3 3 5 2 3" xfId="12480" xr:uid="{50A712F0-53A0-4D42-9758-B07B6D0F18A3}"/>
    <cellStyle name="Normal 5 3 3 5 3" xfId="5226" xr:uid="{00000000-0005-0000-0000-0000051A0000}"/>
    <cellStyle name="Normal 5 3 3 5 3 2" xfId="14552" xr:uid="{1D5D1BCF-8AB8-41E6-9948-EA793F79EA31}"/>
    <cellStyle name="Normal 5 3 3 5 4" xfId="9206" xr:uid="{CA749CBB-EAB5-483B-862D-D7B95A23D45C}"/>
    <cellStyle name="Normal 5 3 3 5 4 2" xfId="18522" xr:uid="{A0251BA4-A676-4F6C-A577-7949866AF6AF}"/>
    <cellStyle name="Normal 5 3 3 5 5" xfId="10335" xr:uid="{76E76C4C-BA85-4785-8C2D-DA7687B4694F}"/>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25D0B869-A59C-4C9A-A72A-DE33CB0598CB}"/>
    <cellStyle name="Normal 5 3 3 6 2 3" xfId="12893" xr:uid="{A8142A1A-40E8-4542-93A3-4AB7CF33634C}"/>
    <cellStyle name="Normal 5 3 3 6 3" xfId="5639" xr:uid="{00000000-0005-0000-0000-0000091A0000}"/>
    <cellStyle name="Normal 5 3 3 6 3 2" xfId="14965" xr:uid="{DCF0388B-A48A-45D5-A7E6-A606B43A1738}"/>
    <cellStyle name="Normal 5 3 3 6 4" xfId="10748" xr:uid="{DAF6F9A2-4B34-445C-905C-243E3B953FAE}"/>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4841EE88-EFE0-4B4D-B6A9-322084ECE734}"/>
    <cellStyle name="Normal 5 3 3 7 2 3" xfId="13306" xr:uid="{703DF44E-E350-4E72-AA3E-E86968CC3FEC}"/>
    <cellStyle name="Normal 5 3 3 7 3" xfId="6052" xr:uid="{00000000-0005-0000-0000-00000D1A0000}"/>
    <cellStyle name="Normal 5 3 3 7 3 2" xfId="15378" xr:uid="{E8B607DC-02BE-4B32-A364-E286DC11513E}"/>
    <cellStyle name="Normal 5 3 3 7 4" xfId="11161" xr:uid="{6264F2DD-5018-4B90-B3C7-FD5A0314B193}"/>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5F9AA245-C0F0-4375-A74C-2979AC1FFBD8}"/>
    <cellStyle name="Normal 5 3 3 8 2 3" xfId="13719" xr:uid="{77A54D3F-1A4F-443F-BA18-65A35D592609}"/>
    <cellStyle name="Normal 5 3 3 8 3" xfId="6465" xr:uid="{00000000-0005-0000-0000-0000111A0000}"/>
    <cellStyle name="Normal 5 3 3 8 3 2" xfId="15791" xr:uid="{EFCD85FC-FEC4-4C2D-A9EB-D7321A9F2B12}"/>
    <cellStyle name="Normal 5 3 3 8 4" xfId="11574" xr:uid="{99DBB82D-8427-4581-9DAB-9543BA64629C}"/>
    <cellStyle name="Normal 5 3 3 9" xfId="2595" xr:uid="{00000000-0005-0000-0000-0000121A0000}"/>
    <cellStyle name="Normal 5 3 3 9 2" xfId="6878" xr:uid="{00000000-0005-0000-0000-0000131A0000}"/>
    <cellStyle name="Normal 5 3 3 9 2 2" xfId="16204" xr:uid="{02BE251E-B8B8-406D-84B2-B77A8F275466}"/>
    <cellStyle name="Normal 5 3 3 9 3" xfId="11987" xr:uid="{E8DB7DDD-B5AD-403B-8C9C-A4ED78C3BDF1}"/>
    <cellStyle name="Normal 5 3 4" xfId="449" xr:uid="{00000000-0005-0000-0000-0000141A0000}"/>
    <cellStyle name="Normal 5 3 4 10" xfId="8831" xr:uid="{39AD872D-FBC2-4C4A-B537-79F8014E4247}"/>
    <cellStyle name="Normal 5 3 4 10 2" xfId="18155" xr:uid="{8FD23328-BA35-40E6-97E2-52E5A4FDE49F}"/>
    <cellStyle name="Normal 5 3 4 11" xfId="9930" xr:uid="{79751E8E-97A7-4EA3-88B6-E4FAFD9E5B64}"/>
    <cellStyle name="Normal 5 3 4 2" xfId="450" xr:uid="{00000000-0005-0000-0000-0000151A0000}"/>
    <cellStyle name="Normal 5 3 4 2 10" xfId="9931" xr:uid="{4602BC33-A0F9-4493-B9B7-92F3A25529F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6D3C7784-01DC-4CDE-8116-EA1EDE7EA229}"/>
    <cellStyle name="Normal 5 3 4 2 2 2 2 3" xfId="12490" xr:uid="{5217DC42-1101-4E83-8C6A-572D462375D7}"/>
    <cellStyle name="Normal 5 3 4 2 2 2 3" xfId="5236" xr:uid="{00000000-0005-0000-0000-00001A1A0000}"/>
    <cellStyle name="Normal 5 3 4 2 2 2 3 2" xfId="14562" xr:uid="{363204F5-A67A-407A-8DF2-F8C717D98261}"/>
    <cellStyle name="Normal 5 3 4 2 2 2 4" xfId="9566" xr:uid="{D483C248-9680-462F-989C-42C712CD6EB7}"/>
    <cellStyle name="Normal 5 3 4 2 2 2 4 2" xfId="18881" xr:uid="{88E3BC8B-3B84-481D-B1F0-605CA136FE4C}"/>
    <cellStyle name="Normal 5 3 4 2 2 2 5" xfId="10345" xr:uid="{4C099D15-D275-4408-A5B4-190E1FC5375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C4EEDE58-F70C-4E17-ADC4-E8A9F64134C1}"/>
    <cellStyle name="Normal 5 3 4 2 2 3 2 3" xfId="12903" xr:uid="{8C9DA694-444F-4ED6-B1D9-188D9EC89AE6}"/>
    <cellStyle name="Normal 5 3 4 2 2 3 3" xfId="5649" xr:uid="{00000000-0005-0000-0000-00001E1A0000}"/>
    <cellStyle name="Normal 5 3 4 2 2 3 3 2" xfId="14975" xr:uid="{14B3383E-E469-4870-9EE0-0AE603BF74B5}"/>
    <cellStyle name="Normal 5 3 4 2 2 3 4" xfId="10758" xr:uid="{8DC3C112-AC00-441A-85A4-C5ADD172AA1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3F8643F9-2FE9-4659-93C9-BE53DC634265}"/>
    <cellStyle name="Normal 5 3 4 2 2 4 2 3" xfId="13316" xr:uid="{5B55CF66-293A-42EA-B917-6207963444CD}"/>
    <cellStyle name="Normal 5 3 4 2 2 4 3" xfId="6062" xr:uid="{00000000-0005-0000-0000-0000221A0000}"/>
    <cellStyle name="Normal 5 3 4 2 2 4 3 2" xfId="15388" xr:uid="{2D9DC9AB-354D-4045-A2A6-009C54C8F457}"/>
    <cellStyle name="Normal 5 3 4 2 2 4 4" xfId="11171" xr:uid="{F2A08528-B24F-4E17-BE87-0733EB485321}"/>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870C4FF2-59C7-4D73-9DB2-5D728E33AD52}"/>
    <cellStyle name="Normal 5 3 4 2 2 5 2 3" xfId="13729" xr:uid="{5DE9AF67-6E3A-410A-A0F2-BFB071CF86DC}"/>
    <cellStyle name="Normal 5 3 4 2 2 5 3" xfId="6475" xr:uid="{00000000-0005-0000-0000-0000261A0000}"/>
    <cellStyle name="Normal 5 3 4 2 2 5 3 2" xfId="15801" xr:uid="{0DC6ECB1-4EA4-4B29-822F-F78CB515958A}"/>
    <cellStyle name="Normal 5 3 4 2 2 5 4" xfId="11584" xr:uid="{E4A3AABA-A233-4A29-B00A-94B7A835299D}"/>
    <cellStyle name="Normal 5 3 4 2 2 6" xfId="2605" xr:uid="{00000000-0005-0000-0000-0000271A0000}"/>
    <cellStyle name="Normal 5 3 4 2 2 6 2" xfId="6888" xr:uid="{00000000-0005-0000-0000-0000281A0000}"/>
    <cellStyle name="Normal 5 3 4 2 2 6 2 2" xfId="16214" xr:uid="{F373C57A-247C-45E8-A643-1A0AD04B347F}"/>
    <cellStyle name="Normal 5 3 4 2 2 6 3" xfId="11997" xr:uid="{F0E2E336-A96C-4E64-9D5A-7B4802221527}"/>
    <cellStyle name="Normal 5 3 4 2 2 7" xfId="4823" xr:uid="{00000000-0005-0000-0000-0000291A0000}"/>
    <cellStyle name="Normal 5 3 4 2 2 7 2" xfId="14149" xr:uid="{8241F47A-48ED-41FA-9B90-F9BC46D318D0}"/>
    <cellStyle name="Normal 5 3 4 2 2 8" xfId="9141" xr:uid="{6B63A6D0-0E60-498B-8E53-451D5144533A}"/>
    <cellStyle name="Normal 5 3 4 2 2 8 2" xfId="18465" xr:uid="{24311580-8F05-4A9C-9D60-DC1109CFE5A8}"/>
    <cellStyle name="Normal 5 3 4 2 2 9" xfId="9932" xr:uid="{1532DD15-99C5-4877-B3B5-A526C5EC3FB2}"/>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D6DD7D90-9C43-417F-8B7B-1FEF3D1F3A57}"/>
    <cellStyle name="Normal 5 3 4 2 3 2 3" xfId="12489" xr:uid="{EB5B0CE8-A2FE-4DAF-ABBA-4AB72591755A}"/>
    <cellStyle name="Normal 5 3 4 2 3 3" xfId="5235" xr:uid="{00000000-0005-0000-0000-00002D1A0000}"/>
    <cellStyle name="Normal 5 3 4 2 3 3 2" xfId="14561" xr:uid="{DD168BAE-526B-499D-A4A3-71FB5E11D305}"/>
    <cellStyle name="Normal 5 3 4 2 3 4" xfId="9359" xr:uid="{FAC41203-2BC4-411F-9296-10781BA4F1AB}"/>
    <cellStyle name="Normal 5 3 4 2 3 4 2" xfId="18674" xr:uid="{5DCC8F27-E87D-40C8-A547-BDFF2991DB68}"/>
    <cellStyle name="Normal 5 3 4 2 3 5" xfId="10344" xr:uid="{06DEDD51-4D7D-4484-BA57-58671204EA19}"/>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F7351D47-5A9D-4C78-9035-7315E9BB4835}"/>
    <cellStyle name="Normal 5 3 4 2 4 2 3" xfId="12902" xr:uid="{8955408D-837F-4005-9A27-A4410D6D1A77}"/>
    <cellStyle name="Normal 5 3 4 2 4 3" xfId="5648" xr:uid="{00000000-0005-0000-0000-0000311A0000}"/>
    <cellStyle name="Normal 5 3 4 2 4 3 2" xfId="14974" xr:uid="{5A461403-B848-49C6-A7D7-997AF169BFFA}"/>
    <cellStyle name="Normal 5 3 4 2 4 4" xfId="10757" xr:uid="{34167072-BB62-4A7E-A765-799091C8BA7C}"/>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654F2C9E-14FD-498D-A173-E54BA27491C2}"/>
    <cellStyle name="Normal 5 3 4 2 5 2 3" xfId="13315" xr:uid="{4A204816-54C4-49C7-BD6B-14977F4AC39A}"/>
    <cellStyle name="Normal 5 3 4 2 5 3" xfId="6061" xr:uid="{00000000-0005-0000-0000-0000351A0000}"/>
    <cellStyle name="Normal 5 3 4 2 5 3 2" xfId="15387" xr:uid="{9AE7DCDC-4519-4831-919F-D11DCB2D1076}"/>
    <cellStyle name="Normal 5 3 4 2 5 4" xfId="11170" xr:uid="{98E4D7F6-9381-41F8-96B4-B970F835A01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DEB9B98E-AA62-4B7D-93C5-0B3FA44DD0CB}"/>
    <cellStyle name="Normal 5 3 4 2 6 2 3" xfId="13728" xr:uid="{099F9635-4F4A-4BB7-A23B-02EAD7835480}"/>
    <cellStyle name="Normal 5 3 4 2 6 3" xfId="6474" xr:uid="{00000000-0005-0000-0000-0000391A0000}"/>
    <cellStyle name="Normal 5 3 4 2 6 3 2" xfId="15800" xr:uid="{57535204-EEA7-48F1-B832-3DC56A8636B5}"/>
    <cellStyle name="Normal 5 3 4 2 6 4" xfId="11583" xr:uid="{886D60D4-6526-44FD-A399-C544F2E6FD4E}"/>
    <cellStyle name="Normal 5 3 4 2 7" xfId="2604" xr:uid="{00000000-0005-0000-0000-00003A1A0000}"/>
    <cellStyle name="Normal 5 3 4 2 7 2" xfId="6887" xr:uid="{00000000-0005-0000-0000-00003B1A0000}"/>
    <cellStyle name="Normal 5 3 4 2 7 2 2" xfId="16213" xr:uid="{C6661E86-C4AE-4417-94A8-F7BB297D8A68}"/>
    <cellStyle name="Normal 5 3 4 2 7 3" xfId="11996" xr:uid="{4CE644A2-BCC3-403E-89F8-1F75B62658E8}"/>
    <cellStyle name="Normal 5 3 4 2 8" xfId="4822" xr:uid="{00000000-0005-0000-0000-00003C1A0000}"/>
    <cellStyle name="Normal 5 3 4 2 8 2" xfId="14148" xr:uid="{E7E4F819-F4B4-4F98-A587-94BD36ACDD0B}"/>
    <cellStyle name="Normal 5 3 4 2 9" xfId="8934" xr:uid="{D16D0DF9-4576-4200-8972-8AAD50545E0D}"/>
    <cellStyle name="Normal 5 3 4 2 9 2" xfId="18258" xr:uid="{3B820AFB-A60D-4561-B1A2-C5E22060EA16}"/>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9BAC0E70-238A-427A-9548-DC6421AF6742}"/>
    <cellStyle name="Normal 5 3 4 3 2 2 3" xfId="12491" xr:uid="{0ABE1683-02B6-4B36-971B-D6AF0E6E11DB}"/>
    <cellStyle name="Normal 5 3 4 3 2 3" xfId="5237" xr:uid="{00000000-0005-0000-0000-0000411A0000}"/>
    <cellStyle name="Normal 5 3 4 3 2 3 2" xfId="14563" xr:uid="{5CBC636B-6074-4B4C-9BEB-35018429CECC}"/>
    <cellStyle name="Normal 5 3 4 3 2 4" xfId="9463" xr:uid="{1CC38E89-013B-404F-9F3E-11BABC37F656}"/>
    <cellStyle name="Normal 5 3 4 3 2 4 2" xfId="18778" xr:uid="{5B482384-C5B5-46C2-857E-CDFA60A7ACEC}"/>
    <cellStyle name="Normal 5 3 4 3 2 5" xfId="10346" xr:uid="{28A09312-6295-4093-A52F-C8AFEEBFF8A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8221AA58-82A7-4731-B9E5-E2699B4CFBE7}"/>
    <cellStyle name="Normal 5 3 4 3 3 2 3" xfId="12904" xr:uid="{00FC4144-543B-4AE3-996A-396770D1441A}"/>
    <cellStyle name="Normal 5 3 4 3 3 3" xfId="5650" xr:uid="{00000000-0005-0000-0000-0000451A0000}"/>
    <cellStyle name="Normal 5 3 4 3 3 3 2" xfId="14976" xr:uid="{DB424F36-2193-4948-B861-AA3BB3925EFA}"/>
    <cellStyle name="Normal 5 3 4 3 3 4" xfId="10759" xr:uid="{241E7E12-664A-4556-B0D8-53D644916A52}"/>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B4CFF4C5-6349-43BC-9B12-58B929249979}"/>
    <cellStyle name="Normal 5 3 4 3 4 2 3" xfId="13317" xr:uid="{51B84437-3436-4043-863F-59879550B7CB}"/>
    <cellStyle name="Normal 5 3 4 3 4 3" xfId="6063" xr:uid="{00000000-0005-0000-0000-0000491A0000}"/>
    <cellStyle name="Normal 5 3 4 3 4 3 2" xfId="15389" xr:uid="{1BA5D9EC-EDAB-4B8A-8231-1488253CBECC}"/>
    <cellStyle name="Normal 5 3 4 3 4 4" xfId="11172" xr:uid="{3254FB0A-7A37-4145-A3B2-36E9C461B935}"/>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815275BE-6624-40A1-9382-79A5E8161B77}"/>
    <cellStyle name="Normal 5 3 4 3 5 2 3" xfId="13730" xr:uid="{494C96D7-013A-480F-8489-8AC7A9E4E5EC}"/>
    <cellStyle name="Normal 5 3 4 3 5 3" xfId="6476" xr:uid="{00000000-0005-0000-0000-00004D1A0000}"/>
    <cellStyle name="Normal 5 3 4 3 5 3 2" xfId="15802" xr:uid="{11F3118B-A47E-44FB-979E-483629E551DC}"/>
    <cellStyle name="Normal 5 3 4 3 5 4" xfId="11585" xr:uid="{FAEA9D3F-E5F5-4F72-A7B7-FAE7844737F3}"/>
    <cellStyle name="Normal 5 3 4 3 6" xfId="2606" xr:uid="{00000000-0005-0000-0000-00004E1A0000}"/>
    <cellStyle name="Normal 5 3 4 3 6 2" xfId="6889" xr:uid="{00000000-0005-0000-0000-00004F1A0000}"/>
    <cellStyle name="Normal 5 3 4 3 6 2 2" xfId="16215" xr:uid="{22861EBD-1383-4877-B8C7-30C197392607}"/>
    <cellStyle name="Normal 5 3 4 3 6 3" xfId="11998" xr:uid="{3ED271E6-627B-423F-A05B-A9B6822C8817}"/>
    <cellStyle name="Normal 5 3 4 3 7" xfId="4824" xr:uid="{00000000-0005-0000-0000-0000501A0000}"/>
    <cellStyle name="Normal 5 3 4 3 7 2" xfId="14150" xr:uid="{C977EAC6-04E4-4189-BC52-A37FD0FC137A}"/>
    <cellStyle name="Normal 5 3 4 3 8" xfId="9038" xr:uid="{15024032-E3C2-4FDD-B674-481D39A836C5}"/>
    <cellStyle name="Normal 5 3 4 3 8 2" xfId="18362" xr:uid="{358930DE-FC52-494D-92C4-5B00BC329F69}"/>
    <cellStyle name="Normal 5 3 4 3 9" xfId="9933" xr:uid="{F475D773-3B46-4807-846A-EDBA8D7D303D}"/>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607F5829-D183-4827-AB35-CEB7DE6A7CD3}"/>
    <cellStyle name="Normal 5 3 4 4 2 3" xfId="12488" xr:uid="{1C2947DC-C312-4E98-8090-AA60E8088A2A}"/>
    <cellStyle name="Normal 5 3 4 4 3" xfId="5234" xr:uid="{00000000-0005-0000-0000-0000541A0000}"/>
    <cellStyle name="Normal 5 3 4 4 3 2" xfId="14560" xr:uid="{1308ED0C-12A0-43ED-9615-35F1750E621F}"/>
    <cellStyle name="Normal 5 3 4 4 4" xfId="9256" xr:uid="{69A14F57-2B46-4294-8CA5-E21858516C25}"/>
    <cellStyle name="Normal 5 3 4 4 4 2" xfId="18571" xr:uid="{07EF34C3-F298-4E05-9714-CB724502E4F0}"/>
    <cellStyle name="Normal 5 3 4 4 5" xfId="10343" xr:uid="{C22C4E03-4EF2-4D54-9FA4-2D967862DFAF}"/>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1C2BA58B-D9F9-4FDE-92AC-A747FFBFE76C}"/>
    <cellStyle name="Normal 5 3 4 5 2 3" xfId="12901" xr:uid="{E298C15A-8247-48AD-9C3B-534DD898C039}"/>
    <cellStyle name="Normal 5 3 4 5 3" xfId="5647" xr:uid="{00000000-0005-0000-0000-0000581A0000}"/>
    <cellStyle name="Normal 5 3 4 5 3 2" xfId="14973" xr:uid="{47DCB686-B1E8-4EFF-B379-6913920AEAE7}"/>
    <cellStyle name="Normal 5 3 4 5 4" xfId="10756" xr:uid="{66A515D1-75BE-4374-A73B-5F7491AC0286}"/>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BED78856-38CA-48FA-BC5A-4422BA4C3665}"/>
    <cellStyle name="Normal 5 3 4 6 2 3" xfId="13314" xr:uid="{25E4C932-C8CD-4D66-9AA2-F4F03D022BDE}"/>
    <cellStyle name="Normal 5 3 4 6 3" xfId="6060" xr:uid="{00000000-0005-0000-0000-00005C1A0000}"/>
    <cellStyle name="Normal 5 3 4 6 3 2" xfId="15386" xr:uid="{3964AF6E-8575-4C5F-9969-7FE6614AF6C3}"/>
    <cellStyle name="Normal 5 3 4 6 4" xfId="11169" xr:uid="{5129E6DF-6554-4C3F-9AC6-3E539A5B6D98}"/>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F625DCFD-3514-4684-A527-4D64E8CA4013}"/>
    <cellStyle name="Normal 5 3 4 7 2 3" xfId="13727" xr:uid="{10875A10-A48A-4A99-B878-CE140A47FB00}"/>
    <cellStyle name="Normal 5 3 4 7 3" xfId="6473" xr:uid="{00000000-0005-0000-0000-0000601A0000}"/>
    <cellStyle name="Normal 5 3 4 7 3 2" xfId="15799" xr:uid="{7AD74CCE-AB43-4005-85B2-0A3720980493}"/>
    <cellStyle name="Normal 5 3 4 7 4" xfId="11582" xr:uid="{1BAD8B37-48BD-4E2D-9C48-E9C383F91A7A}"/>
    <cellStyle name="Normal 5 3 4 8" xfId="2603" xr:uid="{00000000-0005-0000-0000-0000611A0000}"/>
    <cellStyle name="Normal 5 3 4 8 2" xfId="6886" xr:uid="{00000000-0005-0000-0000-0000621A0000}"/>
    <cellStyle name="Normal 5 3 4 8 2 2" xfId="16212" xr:uid="{A24298BD-AF91-408D-9DF7-678C9FA3A599}"/>
    <cellStyle name="Normal 5 3 4 8 3" xfId="11995" xr:uid="{EE236A5A-B5CC-40BF-B9DC-E81CDB9A71E2}"/>
    <cellStyle name="Normal 5 3 4 9" xfId="4821" xr:uid="{00000000-0005-0000-0000-0000631A0000}"/>
    <cellStyle name="Normal 5 3 4 9 2" xfId="14147" xr:uid="{846E98B6-4B1D-41D3-AA64-41D5270F1F23}"/>
    <cellStyle name="Normal 5 3 5" xfId="453" xr:uid="{00000000-0005-0000-0000-0000641A0000}"/>
    <cellStyle name="Normal 5 3 5 10" xfId="9934" xr:uid="{276EDE2C-1A20-434E-B3E5-55379675D7B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4D81F904-77A2-44C0-ABB7-4333074749C6}"/>
    <cellStyle name="Normal 5 3 5 2 2 2 3" xfId="12493" xr:uid="{FA47AB6A-E33B-4BE2-AA1A-E37B14FAB3F3}"/>
    <cellStyle name="Normal 5 3 5 2 2 3" xfId="5239" xr:uid="{00000000-0005-0000-0000-0000691A0000}"/>
    <cellStyle name="Normal 5 3 5 2 2 3 2" xfId="14565" xr:uid="{E612D987-9207-4058-8231-F0423F956809}"/>
    <cellStyle name="Normal 5 3 5 2 2 4" xfId="9485" xr:uid="{E88A0512-4544-44F7-B02F-696DEB177F8E}"/>
    <cellStyle name="Normal 5 3 5 2 2 4 2" xfId="18800" xr:uid="{BC55F014-7570-4E25-8FC3-2D0308615A42}"/>
    <cellStyle name="Normal 5 3 5 2 2 5" xfId="10348" xr:uid="{2C5333DA-DDDA-4CA5-B756-9F041031EBD3}"/>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1EA78288-BEE8-4391-BC3F-CCB62E03F461}"/>
    <cellStyle name="Normal 5 3 5 2 3 2 3" xfId="12906" xr:uid="{9F32D650-9465-4E3C-B7D8-937787639EE7}"/>
    <cellStyle name="Normal 5 3 5 2 3 3" xfId="5652" xr:uid="{00000000-0005-0000-0000-00006D1A0000}"/>
    <cellStyle name="Normal 5 3 5 2 3 3 2" xfId="14978" xr:uid="{F8BED16C-9816-4566-A1C4-1F3379197719}"/>
    <cellStyle name="Normal 5 3 5 2 3 4" xfId="10761" xr:uid="{70E3AAEE-8376-4F9D-9164-DE34BFF8677A}"/>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FBC2EA11-E211-4014-BED7-3899D97D29F0}"/>
    <cellStyle name="Normal 5 3 5 2 4 2 3" xfId="13319" xr:uid="{38ABB585-2B90-437D-A9AE-455ED501C941}"/>
    <cellStyle name="Normal 5 3 5 2 4 3" xfId="6065" xr:uid="{00000000-0005-0000-0000-0000711A0000}"/>
    <cellStyle name="Normal 5 3 5 2 4 3 2" xfId="15391" xr:uid="{3DBA6734-32B5-4E46-9F32-48C586F20564}"/>
    <cellStyle name="Normal 5 3 5 2 4 4" xfId="11174" xr:uid="{02FD8A10-CBD3-4ACF-B468-08E6BAE902C9}"/>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51EFB82A-0C90-4D02-BC05-0BE374E88539}"/>
    <cellStyle name="Normal 5 3 5 2 5 2 3" xfId="13732" xr:uid="{720C2E7B-573D-468F-85FD-C910E8A82761}"/>
    <cellStyle name="Normal 5 3 5 2 5 3" xfId="6478" xr:uid="{00000000-0005-0000-0000-0000751A0000}"/>
    <cellStyle name="Normal 5 3 5 2 5 3 2" xfId="15804" xr:uid="{1C7886E4-4BD3-41B3-A52F-40307047FD0C}"/>
    <cellStyle name="Normal 5 3 5 2 5 4" xfId="11587" xr:uid="{99E67E9A-FF06-4893-A7BF-C528C2F90A7B}"/>
    <cellStyle name="Normal 5 3 5 2 6" xfId="2608" xr:uid="{00000000-0005-0000-0000-0000761A0000}"/>
    <cellStyle name="Normal 5 3 5 2 6 2" xfId="6891" xr:uid="{00000000-0005-0000-0000-0000771A0000}"/>
    <cellStyle name="Normal 5 3 5 2 6 2 2" xfId="16217" xr:uid="{B4DCCE1C-0791-49AC-8590-C083EB953D58}"/>
    <cellStyle name="Normal 5 3 5 2 6 3" xfId="12000" xr:uid="{A32EBADA-7FAF-466A-840C-67BF0F438499}"/>
    <cellStyle name="Normal 5 3 5 2 7" xfId="4826" xr:uid="{00000000-0005-0000-0000-0000781A0000}"/>
    <cellStyle name="Normal 5 3 5 2 7 2" xfId="14152" xr:uid="{0FCF08D3-B0BA-4C54-B0DA-D9A3FF59ABA6}"/>
    <cellStyle name="Normal 5 3 5 2 8" xfId="9060" xr:uid="{D76124DC-5753-46E4-97E7-1D76E6E20EEE}"/>
    <cellStyle name="Normal 5 3 5 2 8 2" xfId="18384" xr:uid="{3F0F753C-5145-4D5D-B8E2-6A832FED93F9}"/>
    <cellStyle name="Normal 5 3 5 2 9" xfId="9935" xr:uid="{34BF970C-C291-49E3-B7F6-1B484B9823A1}"/>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2546D768-F257-4197-ADC9-19098587CDA1}"/>
    <cellStyle name="Normal 5 3 5 3 2 3" xfId="12492" xr:uid="{5FA75F20-A6E6-43CA-8B78-4C2CBC39ED91}"/>
    <cellStyle name="Normal 5 3 5 3 3" xfId="5238" xr:uid="{00000000-0005-0000-0000-00007C1A0000}"/>
    <cellStyle name="Normal 5 3 5 3 3 2" xfId="14564" xr:uid="{74919E40-5C75-433B-B0C6-51FC554CD909}"/>
    <cellStyle name="Normal 5 3 5 3 4" xfId="9278" xr:uid="{6197750A-97CA-41EF-A67C-63E25EE58E9E}"/>
    <cellStyle name="Normal 5 3 5 3 4 2" xfId="18593" xr:uid="{12557EE1-1BF3-4495-9279-97B18B6BD1F8}"/>
    <cellStyle name="Normal 5 3 5 3 5" xfId="10347" xr:uid="{B6C1B8F7-44BB-478E-9BCF-BF2CEA619F50}"/>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0EFC605D-15CE-44E1-8054-01F1FB6FD29C}"/>
    <cellStyle name="Normal 5 3 5 4 2 3" xfId="12905" xr:uid="{D2BC3570-A4FA-41A1-A1F5-9DDECBE9EBDE}"/>
    <cellStyle name="Normal 5 3 5 4 3" xfId="5651" xr:uid="{00000000-0005-0000-0000-0000801A0000}"/>
    <cellStyle name="Normal 5 3 5 4 3 2" xfId="14977" xr:uid="{CC287924-CAFF-4405-99FC-440829E6E1BF}"/>
    <cellStyle name="Normal 5 3 5 4 4" xfId="10760" xr:uid="{AFE52E6C-211A-4445-8DFC-5AA270731C30}"/>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964DDDCB-8235-4D29-9B39-34285E6D9003}"/>
    <cellStyle name="Normal 5 3 5 5 2 3" xfId="13318" xr:uid="{C1F8ED76-E6C1-4856-9E26-265A1A733150}"/>
    <cellStyle name="Normal 5 3 5 5 3" xfId="6064" xr:uid="{00000000-0005-0000-0000-0000841A0000}"/>
    <cellStyle name="Normal 5 3 5 5 3 2" xfId="15390" xr:uid="{E8A55D03-1ABD-47C8-B2D3-113647B0278D}"/>
    <cellStyle name="Normal 5 3 5 5 4" xfId="11173" xr:uid="{C485160A-04DF-43DD-A8D5-E8FEBBB3A449}"/>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DCF78553-C11B-4A96-8F4D-FE242DD6B809}"/>
    <cellStyle name="Normal 5 3 5 6 2 3" xfId="13731" xr:uid="{57E90195-07DC-4BAF-8C3D-A347768E12D5}"/>
    <cellStyle name="Normal 5 3 5 6 3" xfId="6477" xr:uid="{00000000-0005-0000-0000-0000881A0000}"/>
    <cellStyle name="Normal 5 3 5 6 3 2" xfId="15803" xr:uid="{04CED898-B505-4B2C-825E-380E2832B19E}"/>
    <cellStyle name="Normal 5 3 5 6 4" xfId="11586" xr:uid="{CC864819-DC61-459A-B2B9-094E5001F779}"/>
    <cellStyle name="Normal 5 3 5 7" xfId="2607" xr:uid="{00000000-0005-0000-0000-0000891A0000}"/>
    <cellStyle name="Normal 5 3 5 7 2" xfId="6890" xr:uid="{00000000-0005-0000-0000-00008A1A0000}"/>
    <cellStyle name="Normal 5 3 5 7 2 2" xfId="16216" xr:uid="{598C7B2F-2968-4684-BFA5-C3D0D0781E12}"/>
    <cellStyle name="Normal 5 3 5 7 3" xfId="11999" xr:uid="{D5BF9121-1788-41A5-99DC-82F125A80B8B}"/>
    <cellStyle name="Normal 5 3 5 8" xfId="4825" xr:uid="{00000000-0005-0000-0000-00008B1A0000}"/>
    <cellStyle name="Normal 5 3 5 8 2" xfId="14151" xr:uid="{79E8FC9A-1CE4-4C98-BCC0-9B2428695465}"/>
    <cellStyle name="Normal 5 3 5 9" xfId="8853" xr:uid="{049FA2CE-003F-47C1-A264-645323886F35}"/>
    <cellStyle name="Normal 5 3 5 9 2" xfId="18177" xr:uid="{2D257DF4-823C-4F46-9E1A-A0343526E8F8}"/>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119AD2E9-697C-46DC-A823-F83B5237DD14}"/>
    <cellStyle name="Normal 5 3 6 2 2 3" xfId="12494" xr:uid="{AFD8C003-A8FD-4776-82A1-4B75E4250C55}"/>
    <cellStyle name="Normal 5 3 6 2 3" xfId="5240" xr:uid="{00000000-0005-0000-0000-0000901A0000}"/>
    <cellStyle name="Normal 5 3 6 2 3 2" xfId="14566" xr:uid="{3873457E-15A1-499D-BAA2-7B5544A9095D}"/>
    <cellStyle name="Normal 5 3 6 2 4" xfId="9394" xr:uid="{040FDD8C-10C9-4583-9A6E-8F76047ECA0C}"/>
    <cellStyle name="Normal 5 3 6 2 4 2" xfId="18709" xr:uid="{08FD930C-9203-436D-82CF-82943DC2B1D4}"/>
    <cellStyle name="Normal 5 3 6 2 5" xfId="10349" xr:uid="{847EB4A1-BCD1-4A76-B57C-C2CC70D8DB98}"/>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155233B4-1929-46C5-B46F-77CCA434A929}"/>
    <cellStyle name="Normal 5 3 6 3 2 3" xfId="12907" xr:uid="{E8FA496C-A50E-4735-A5B5-E1E1596EF6EE}"/>
    <cellStyle name="Normal 5 3 6 3 3" xfId="5653" xr:uid="{00000000-0005-0000-0000-0000941A0000}"/>
    <cellStyle name="Normal 5 3 6 3 3 2" xfId="14979" xr:uid="{887EB790-66BD-4E52-9987-78C4F8438A16}"/>
    <cellStyle name="Normal 5 3 6 3 4" xfId="10762" xr:uid="{8E0088D2-B40A-4676-B118-1811198A5F36}"/>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9DF945FF-FDE0-44D3-B705-CE4B655DEA10}"/>
    <cellStyle name="Normal 5 3 6 4 2 3" xfId="13320" xr:uid="{208250F3-5792-43AE-8A59-EC34C8771182}"/>
    <cellStyle name="Normal 5 3 6 4 3" xfId="6066" xr:uid="{00000000-0005-0000-0000-0000981A0000}"/>
    <cellStyle name="Normal 5 3 6 4 3 2" xfId="15392" xr:uid="{3A929315-D981-4D0D-81BF-C27D5F6CE94E}"/>
    <cellStyle name="Normal 5 3 6 4 4" xfId="11175" xr:uid="{DA9C8CD2-DA29-4CA4-9B48-A681A061B024}"/>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E57190C1-C599-41F3-8328-2E85E104DD4E}"/>
    <cellStyle name="Normal 5 3 6 5 2 3" xfId="13733" xr:uid="{0B0B8D8C-C3EA-4764-84E9-4A134FAC93CE}"/>
    <cellStyle name="Normal 5 3 6 5 3" xfId="6479" xr:uid="{00000000-0005-0000-0000-00009C1A0000}"/>
    <cellStyle name="Normal 5 3 6 5 3 2" xfId="15805" xr:uid="{9B333358-04B4-4C65-A230-AB7E0C2B3C74}"/>
    <cellStyle name="Normal 5 3 6 5 4" xfId="11588" xr:uid="{A11E26A6-0546-449C-A38E-AEA0C3AF6461}"/>
    <cellStyle name="Normal 5 3 6 6" xfId="2609" xr:uid="{00000000-0005-0000-0000-00009D1A0000}"/>
    <cellStyle name="Normal 5 3 6 6 2" xfId="6892" xr:uid="{00000000-0005-0000-0000-00009E1A0000}"/>
    <cellStyle name="Normal 5 3 6 6 2 2" xfId="16218" xr:uid="{8724C18C-2310-45E4-A991-5BBFEC1DCC8C}"/>
    <cellStyle name="Normal 5 3 6 6 3" xfId="12001" xr:uid="{505DE73B-8201-46A7-876F-1F57E96DB1C2}"/>
    <cellStyle name="Normal 5 3 6 7" xfId="4827" xr:uid="{00000000-0005-0000-0000-00009F1A0000}"/>
    <cellStyle name="Normal 5 3 6 7 2" xfId="14153" xr:uid="{16821098-E77D-462B-8DD0-50802EEB07BD}"/>
    <cellStyle name="Normal 5 3 6 8" xfId="8969" xr:uid="{FA7ABEAF-BFEA-4D3E-A53B-E23F3117BFD8}"/>
    <cellStyle name="Normal 5 3 6 8 2" xfId="18293" xr:uid="{39A89052-0D43-4180-A8C8-F060707D8FA4}"/>
    <cellStyle name="Normal 5 3 6 9" xfId="9936" xr:uid="{399A8BE9-65F7-45E3-8C64-8FB9C98669E2}"/>
    <cellStyle name="Normal 5 3 7" xfId="913" xr:uid="{00000000-0005-0000-0000-0000A01A0000}"/>
    <cellStyle name="Normal 5 3 7 2" xfId="3148" xr:uid="{00000000-0005-0000-0000-0000A11A0000}"/>
    <cellStyle name="Normal 5 3 7 2 2" xfId="7370" xr:uid="{00000000-0005-0000-0000-0000A21A0000}"/>
    <cellStyle name="Normal 5 3 7 2 2 2" xfId="16696" xr:uid="{35D7B3DB-7811-4BCE-8C46-90EC8ED54D2D}"/>
    <cellStyle name="Normal 5 3 7 2 3" xfId="12479" xr:uid="{B53F4508-2E73-41F8-B693-771CD5BF9FC8}"/>
    <cellStyle name="Normal 5 3 7 3" xfId="5225" xr:uid="{00000000-0005-0000-0000-0000A31A0000}"/>
    <cellStyle name="Normal 5 3 7 3 2" xfId="14551" xr:uid="{869653C6-CFBD-48E6-8B0F-18BABB4F38DE}"/>
    <cellStyle name="Normal 5 3 7 4" xfId="9172" xr:uid="{5609ABAF-B913-41DD-9CCE-B28C6A880815}"/>
    <cellStyle name="Normal 5 3 7 4 2" xfId="18490" xr:uid="{A66D666E-AC88-4916-AF81-8FCECC98AA94}"/>
    <cellStyle name="Normal 5 3 7 5" xfId="10334" xr:uid="{C89FA1F3-09D1-43EA-9458-85624DCD00E1}"/>
    <cellStyle name="Normal 5 3 8" xfId="1331" xr:uid="{00000000-0005-0000-0000-0000A41A0000}"/>
    <cellStyle name="Normal 5 3 8 2" xfId="3561" xr:uid="{00000000-0005-0000-0000-0000A51A0000}"/>
    <cellStyle name="Normal 5 3 8 2 2" xfId="7783" xr:uid="{00000000-0005-0000-0000-0000A61A0000}"/>
    <cellStyle name="Normal 5 3 8 2 2 2" xfId="17109" xr:uid="{F386CAAA-C64A-47E3-8713-2A55A6F93541}"/>
    <cellStyle name="Normal 5 3 8 2 3" xfId="12892" xr:uid="{CADB68DE-3FCF-470E-B88A-66D0B4C232B2}"/>
    <cellStyle name="Normal 5 3 8 3" xfId="5638" xr:uid="{00000000-0005-0000-0000-0000A71A0000}"/>
    <cellStyle name="Normal 5 3 8 3 2" xfId="14964" xr:uid="{670AF815-E61D-4ABD-BFE1-2352D117B80B}"/>
    <cellStyle name="Normal 5 3 8 4" xfId="10747" xr:uid="{8D36557C-0F3E-4BD4-8431-53BA3882F806}"/>
    <cellStyle name="Normal 5 3 9" xfId="1744" xr:uid="{00000000-0005-0000-0000-0000A81A0000}"/>
    <cellStyle name="Normal 5 3 9 2" xfId="3974" xr:uid="{00000000-0005-0000-0000-0000A91A0000}"/>
    <cellStyle name="Normal 5 3 9 2 2" xfId="8196" xr:uid="{00000000-0005-0000-0000-0000AA1A0000}"/>
    <cellStyle name="Normal 5 3 9 2 2 2" xfId="17522" xr:uid="{B42D9495-6D9A-4061-A014-D71F92F5ABFD}"/>
    <cellStyle name="Normal 5 3 9 2 3" xfId="13305" xr:uid="{07A68461-F794-4C38-A101-893752719CAE}"/>
    <cellStyle name="Normal 5 3 9 3" xfId="6051" xr:uid="{00000000-0005-0000-0000-0000AB1A0000}"/>
    <cellStyle name="Normal 5 3 9 3 2" xfId="15377" xr:uid="{85B3C489-8970-4835-9631-BA1F1BB87F6D}"/>
    <cellStyle name="Normal 5 3 9 4" xfId="11160" xr:uid="{19F683F1-8A3D-4F02-B250-059359564C74}"/>
    <cellStyle name="Normal 5 4" xfId="456" xr:uid="{00000000-0005-0000-0000-0000AC1A0000}"/>
    <cellStyle name="Normal 5 4 10" xfId="4828" xr:uid="{00000000-0005-0000-0000-0000AD1A0000}"/>
    <cellStyle name="Normal 5 4 10 2" xfId="14154" xr:uid="{9347140C-E949-44E2-BBE3-27AA48494176}"/>
    <cellStyle name="Normal 5 4 11" xfId="8773" xr:uid="{50472F80-32FD-428C-B078-8DE338D6CA16}"/>
    <cellStyle name="Normal 5 4 11 2" xfId="18097" xr:uid="{87A0ED12-47A1-4846-919F-0FB057F7D240}"/>
    <cellStyle name="Normal 5 4 12" xfId="9937" xr:uid="{1A9BBAE3-29D8-4001-BF92-8FD0D6F105B1}"/>
    <cellStyle name="Normal 5 4 2" xfId="457" xr:uid="{00000000-0005-0000-0000-0000AE1A0000}"/>
    <cellStyle name="Normal 5 4 2 10" xfId="8833" xr:uid="{6EA55230-8E5B-4EF6-B83C-8DF4202F8C31}"/>
    <cellStyle name="Normal 5 4 2 10 2" xfId="18157" xr:uid="{0743437E-D7F0-401E-A398-3AA6FC8469E0}"/>
    <cellStyle name="Normal 5 4 2 11" xfId="9938" xr:uid="{48A51D3B-22C2-4361-AD49-659D0D2AC8F1}"/>
    <cellStyle name="Normal 5 4 2 2" xfId="458" xr:uid="{00000000-0005-0000-0000-0000AF1A0000}"/>
    <cellStyle name="Normal 5 4 2 2 10" xfId="9939" xr:uid="{6C30AA48-21F8-4B65-A432-4D829D03F476}"/>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100F1667-9B29-4D88-AFE2-C49E99C5A6FA}"/>
    <cellStyle name="Normal 5 4 2 2 2 2 2 3" xfId="12498" xr:uid="{F9D0D564-AAC9-42E5-BAE9-F496F22D6A5D}"/>
    <cellStyle name="Normal 5 4 2 2 2 2 3" xfId="5244" xr:uid="{00000000-0005-0000-0000-0000B41A0000}"/>
    <cellStyle name="Normal 5 4 2 2 2 2 3 2" xfId="14570" xr:uid="{E4FCD9C7-A07E-43BC-862B-3EE16F4F44E9}"/>
    <cellStyle name="Normal 5 4 2 2 2 2 4" xfId="9568" xr:uid="{C9922021-D284-4633-BD4E-F2DB1197482A}"/>
    <cellStyle name="Normal 5 4 2 2 2 2 4 2" xfId="18883" xr:uid="{484208AD-3C87-4E84-AC96-1588ACC61845}"/>
    <cellStyle name="Normal 5 4 2 2 2 2 5" xfId="10353" xr:uid="{56E95677-B801-45A1-BE62-82675FC1A587}"/>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85352BC9-31EB-4AA2-98D1-F09B217B82D0}"/>
    <cellStyle name="Normal 5 4 2 2 2 3 2 3" xfId="12911" xr:uid="{C0A944A7-A764-4063-BCEF-6397D7A4558A}"/>
    <cellStyle name="Normal 5 4 2 2 2 3 3" xfId="5657" xr:uid="{00000000-0005-0000-0000-0000B81A0000}"/>
    <cellStyle name="Normal 5 4 2 2 2 3 3 2" xfId="14983" xr:uid="{B9A8E53E-EFEB-42CA-9C16-8A6314A43B15}"/>
    <cellStyle name="Normal 5 4 2 2 2 3 4" xfId="10766" xr:uid="{6A57B3CE-34D8-4BCB-8E3B-FAB7522A53D2}"/>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C498D95B-DFB6-45BB-A55F-CFBADD5C3EF2}"/>
    <cellStyle name="Normal 5 4 2 2 2 4 2 3" xfId="13324" xr:uid="{4C5AF148-8EE7-486C-A5CD-5DEADE22DBA1}"/>
    <cellStyle name="Normal 5 4 2 2 2 4 3" xfId="6070" xr:uid="{00000000-0005-0000-0000-0000BC1A0000}"/>
    <cellStyle name="Normal 5 4 2 2 2 4 3 2" xfId="15396" xr:uid="{B936A905-00A3-46A8-AD50-CFC008F3CF09}"/>
    <cellStyle name="Normal 5 4 2 2 2 4 4" xfId="11179" xr:uid="{7C29F073-6D84-4069-96C1-397C0B72C94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DE8EAFFB-AC5F-415F-ABA5-11C976A47230}"/>
    <cellStyle name="Normal 5 4 2 2 2 5 2 3" xfId="13737" xr:uid="{8EFF7598-7C25-4066-8968-C0DE59B897EB}"/>
    <cellStyle name="Normal 5 4 2 2 2 5 3" xfId="6483" xr:uid="{00000000-0005-0000-0000-0000C01A0000}"/>
    <cellStyle name="Normal 5 4 2 2 2 5 3 2" xfId="15809" xr:uid="{EAB81922-D4CF-4957-AF7E-FFA894ACFFDB}"/>
    <cellStyle name="Normal 5 4 2 2 2 5 4" xfId="11592" xr:uid="{C305AF70-34CE-4ECC-8F65-A40E8EF98E43}"/>
    <cellStyle name="Normal 5 4 2 2 2 6" xfId="2613" xr:uid="{00000000-0005-0000-0000-0000C11A0000}"/>
    <cellStyle name="Normal 5 4 2 2 2 6 2" xfId="6896" xr:uid="{00000000-0005-0000-0000-0000C21A0000}"/>
    <cellStyle name="Normal 5 4 2 2 2 6 2 2" xfId="16222" xr:uid="{3A6E4435-3673-4CAB-9E5A-4CB16E5B1293}"/>
    <cellStyle name="Normal 5 4 2 2 2 6 3" xfId="12005" xr:uid="{D5503565-8BD1-46B5-9BCD-CB90CBB952C4}"/>
    <cellStyle name="Normal 5 4 2 2 2 7" xfId="4831" xr:uid="{00000000-0005-0000-0000-0000C31A0000}"/>
    <cellStyle name="Normal 5 4 2 2 2 7 2" xfId="14157" xr:uid="{9BC8BC52-5CBE-4B3E-A2B3-61CB3455C48A}"/>
    <cellStyle name="Normal 5 4 2 2 2 8" xfId="9143" xr:uid="{C8F15FA9-FDFE-4358-95A8-17B14299B14C}"/>
    <cellStyle name="Normal 5 4 2 2 2 8 2" xfId="18467" xr:uid="{9201C0F2-E1A0-4516-820B-1B23857902BA}"/>
    <cellStyle name="Normal 5 4 2 2 2 9" xfId="9940" xr:uid="{CD033CC1-3287-48D8-B05C-0C18BC50493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29728A0B-7BE7-46E5-98A8-00B4C0E70BEA}"/>
    <cellStyle name="Normal 5 4 2 2 3 2 3" xfId="12497" xr:uid="{33B3F39A-608A-4144-9D68-3C0303588B80}"/>
    <cellStyle name="Normal 5 4 2 2 3 3" xfId="5243" xr:uid="{00000000-0005-0000-0000-0000C71A0000}"/>
    <cellStyle name="Normal 5 4 2 2 3 3 2" xfId="14569" xr:uid="{72F7D949-3E22-4FA9-B053-DE22D09F9D88}"/>
    <cellStyle name="Normal 5 4 2 2 3 4" xfId="9361" xr:uid="{421F0FC8-8E8F-498F-BD31-B00CB58D5B43}"/>
    <cellStyle name="Normal 5 4 2 2 3 4 2" xfId="18676" xr:uid="{134E96CC-FDB4-4637-BAFC-489317469E17}"/>
    <cellStyle name="Normal 5 4 2 2 3 5" xfId="10352" xr:uid="{C61D6492-41C6-48AA-8EB3-DECE5FEEFAAC}"/>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4BDA59F5-837D-4A61-A32B-C55EE8362B99}"/>
    <cellStyle name="Normal 5 4 2 2 4 2 3" xfId="12910" xr:uid="{C3D3C40F-182C-4830-BF45-181168D65A8F}"/>
    <cellStyle name="Normal 5 4 2 2 4 3" xfId="5656" xr:uid="{00000000-0005-0000-0000-0000CB1A0000}"/>
    <cellStyle name="Normal 5 4 2 2 4 3 2" xfId="14982" xr:uid="{312E2001-AC45-452E-9ED2-AD752024BCAC}"/>
    <cellStyle name="Normal 5 4 2 2 4 4" xfId="10765" xr:uid="{B622FC88-36A6-43DF-A3C4-2DD6D11C9DB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48270AD5-7415-42F3-AF7E-D11AAC9CBAA7}"/>
    <cellStyle name="Normal 5 4 2 2 5 2 3" xfId="13323" xr:uid="{49C98D0F-A193-4D91-9AC0-C6DC6EB526AF}"/>
    <cellStyle name="Normal 5 4 2 2 5 3" xfId="6069" xr:uid="{00000000-0005-0000-0000-0000CF1A0000}"/>
    <cellStyle name="Normal 5 4 2 2 5 3 2" xfId="15395" xr:uid="{69FBA942-EE41-4223-9D83-7700EE82745F}"/>
    <cellStyle name="Normal 5 4 2 2 5 4" xfId="11178" xr:uid="{D2ED390E-7251-4190-A445-21034C67E74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BC31BE79-7349-4216-B2B4-13D34F23BB3B}"/>
    <cellStyle name="Normal 5 4 2 2 6 2 3" xfId="13736" xr:uid="{F190C36F-E8BE-4774-B296-E167FBF8A612}"/>
    <cellStyle name="Normal 5 4 2 2 6 3" xfId="6482" xr:uid="{00000000-0005-0000-0000-0000D31A0000}"/>
    <cellStyle name="Normal 5 4 2 2 6 3 2" xfId="15808" xr:uid="{39C1346F-4F74-423C-B6BA-3EDBE429DA7B}"/>
    <cellStyle name="Normal 5 4 2 2 6 4" xfId="11591" xr:uid="{29D3A6D0-FC79-4E21-A05B-70AF112F8AB7}"/>
    <cellStyle name="Normal 5 4 2 2 7" xfId="2612" xr:uid="{00000000-0005-0000-0000-0000D41A0000}"/>
    <cellStyle name="Normal 5 4 2 2 7 2" xfId="6895" xr:uid="{00000000-0005-0000-0000-0000D51A0000}"/>
    <cellStyle name="Normal 5 4 2 2 7 2 2" xfId="16221" xr:uid="{D677237A-4CEF-4488-B385-F36008D64982}"/>
    <cellStyle name="Normal 5 4 2 2 7 3" xfId="12004" xr:uid="{35C44652-11D2-42D0-B1FB-5DFAC404632F}"/>
    <cellStyle name="Normal 5 4 2 2 8" xfId="4830" xr:uid="{00000000-0005-0000-0000-0000D61A0000}"/>
    <cellStyle name="Normal 5 4 2 2 8 2" xfId="14156" xr:uid="{FF034A08-D255-43B6-BF5F-D3F6FBC55AF8}"/>
    <cellStyle name="Normal 5 4 2 2 9" xfId="8936" xr:uid="{31CF7A09-919D-40D2-B5FD-098CEA44D314}"/>
    <cellStyle name="Normal 5 4 2 2 9 2" xfId="18260" xr:uid="{EEF1135A-5134-48DE-AEB2-3BBE8BB53EFF}"/>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E08A0731-C3E6-462E-9D56-93CD53A41DBB}"/>
    <cellStyle name="Normal 5 4 2 3 2 2 3" xfId="12499" xr:uid="{EA82892F-3A6D-47D4-B8FD-89A687CF4DE8}"/>
    <cellStyle name="Normal 5 4 2 3 2 3" xfId="5245" xr:uid="{00000000-0005-0000-0000-0000DB1A0000}"/>
    <cellStyle name="Normal 5 4 2 3 2 3 2" xfId="14571" xr:uid="{B667CF0D-E753-4E47-ADAB-FF22D052116D}"/>
    <cellStyle name="Normal 5 4 2 3 2 4" xfId="9465" xr:uid="{B8459C73-266B-467B-A163-FFDFF015A460}"/>
    <cellStyle name="Normal 5 4 2 3 2 4 2" xfId="18780" xr:uid="{ED9D02C5-A328-4E7D-8D6A-40FE09E252A0}"/>
    <cellStyle name="Normal 5 4 2 3 2 5" xfId="10354" xr:uid="{2E13176F-E208-4C16-97B9-86BA35F4A287}"/>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83CD0A2C-089D-4D2B-908D-594C9C52FE86}"/>
    <cellStyle name="Normal 5 4 2 3 3 2 3" xfId="12912" xr:uid="{8D7E2646-E3CE-4496-9A7F-803996EA6B64}"/>
    <cellStyle name="Normal 5 4 2 3 3 3" xfId="5658" xr:uid="{00000000-0005-0000-0000-0000DF1A0000}"/>
    <cellStyle name="Normal 5 4 2 3 3 3 2" xfId="14984" xr:uid="{77E16988-BA13-4489-B39A-69ED8782DA0D}"/>
    <cellStyle name="Normal 5 4 2 3 3 4" xfId="10767" xr:uid="{B8E34FF6-19E3-4E1A-8499-5D46C52FCA7A}"/>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9916E662-A2B7-454B-A411-2AC748C232D1}"/>
    <cellStyle name="Normal 5 4 2 3 4 2 3" xfId="13325" xr:uid="{A47255CE-CE17-49EF-94FB-8B7CC00D54EC}"/>
    <cellStyle name="Normal 5 4 2 3 4 3" xfId="6071" xr:uid="{00000000-0005-0000-0000-0000E31A0000}"/>
    <cellStyle name="Normal 5 4 2 3 4 3 2" xfId="15397" xr:uid="{7AFD30B1-6339-4A13-8381-F588E7E51A39}"/>
    <cellStyle name="Normal 5 4 2 3 4 4" xfId="11180" xr:uid="{529E7971-B901-4898-A41D-A1EBAF99B7F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6B9E3E74-E387-452A-81FF-344445B418D7}"/>
    <cellStyle name="Normal 5 4 2 3 5 2 3" xfId="13738" xr:uid="{BCD26DF5-817D-4A93-9BB3-CF5CD169292D}"/>
    <cellStyle name="Normal 5 4 2 3 5 3" xfId="6484" xr:uid="{00000000-0005-0000-0000-0000E71A0000}"/>
    <cellStyle name="Normal 5 4 2 3 5 3 2" xfId="15810" xr:uid="{F01A4285-58C4-4FC7-883D-E3EE5B354669}"/>
    <cellStyle name="Normal 5 4 2 3 5 4" xfId="11593" xr:uid="{7879FD5E-BC2C-4DF5-97A6-1FA04816478F}"/>
    <cellStyle name="Normal 5 4 2 3 6" xfId="2614" xr:uid="{00000000-0005-0000-0000-0000E81A0000}"/>
    <cellStyle name="Normal 5 4 2 3 6 2" xfId="6897" xr:uid="{00000000-0005-0000-0000-0000E91A0000}"/>
    <cellStyle name="Normal 5 4 2 3 6 2 2" xfId="16223" xr:uid="{6C4B1356-3040-4415-9574-0C9C1DD78FF8}"/>
    <cellStyle name="Normal 5 4 2 3 6 3" xfId="12006" xr:uid="{4430701E-C3C3-4C53-85C1-0E24055F209F}"/>
    <cellStyle name="Normal 5 4 2 3 7" xfId="4832" xr:uid="{00000000-0005-0000-0000-0000EA1A0000}"/>
    <cellStyle name="Normal 5 4 2 3 7 2" xfId="14158" xr:uid="{44432EF4-848B-420D-8124-05B1CA8BEEDC}"/>
    <cellStyle name="Normal 5 4 2 3 8" xfId="9040" xr:uid="{D68CAB17-BB41-4D9B-AA76-76FE511392DC}"/>
    <cellStyle name="Normal 5 4 2 3 8 2" xfId="18364" xr:uid="{B183BBE0-5A61-4E04-BC05-5A4C1EE0010E}"/>
    <cellStyle name="Normal 5 4 2 3 9" xfId="9941" xr:uid="{513EA82C-2A4D-4935-A8C0-96B1383BF594}"/>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4B8B9F79-1474-4A27-9C94-7B2F843AC661}"/>
    <cellStyle name="Normal 5 4 2 4 2 3" xfId="12496" xr:uid="{68D267BC-1C72-4AED-BED7-A9ABA06BDCF3}"/>
    <cellStyle name="Normal 5 4 2 4 3" xfId="5242" xr:uid="{00000000-0005-0000-0000-0000EE1A0000}"/>
    <cellStyle name="Normal 5 4 2 4 3 2" xfId="14568" xr:uid="{DC477049-1108-4EC0-A052-C3675FB40FB5}"/>
    <cellStyle name="Normal 5 4 2 4 4" xfId="9258" xr:uid="{971C48A9-8200-405B-A9BE-B3AFD2CDDA76}"/>
    <cellStyle name="Normal 5 4 2 4 4 2" xfId="18573" xr:uid="{9DAA2D9A-B10B-43CC-989E-71CC5B751554}"/>
    <cellStyle name="Normal 5 4 2 4 5" xfId="10351" xr:uid="{79306BDF-4865-4407-8E0C-5EC6B81BDF00}"/>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E9A6690D-71A5-4448-AB30-BF132EAD9BD9}"/>
    <cellStyle name="Normal 5 4 2 5 2 3" xfId="12909" xr:uid="{EAD8C122-EF17-4F87-B095-ED9365DF629B}"/>
    <cellStyle name="Normal 5 4 2 5 3" xfId="5655" xr:uid="{00000000-0005-0000-0000-0000F21A0000}"/>
    <cellStyle name="Normal 5 4 2 5 3 2" xfId="14981" xr:uid="{49632ED9-8A48-419A-8E85-3155AEFAA98A}"/>
    <cellStyle name="Normal 5 4 2 5 4" xfId="10764" xr:uid="{6CDDCABD-419F-44A3-8043-29CFF0047E99}"/>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B5B21CF5-0A1B-4AE2-9BB2-BDD141DBB3E1}"/>
    <cellStyle name="Normal 5 4 2 6 2 3" xfId="13322" xr:uid="{0B7DF1B1-B2BE-4E96-A225-78A1F92888C6}"/>
    <cellStyle name="Normal 5 4 2 6 3" xfId="6068" xr:uid="{00000000-0005-0000-0000-0000F61A0000}"/>
    <cellStyle name="Normal 5 4 2 6 3 2" xfId="15394" xr:uid="{A17166C8-03E7-4AB2-B052-94C58F98F829}"/>
    <cellStyle name="Normal 5 4 2 6 4" xfId="11177" xr:uid="{5B64BC16-1448-4A75-A412-71921535F46D}"/>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84B17D07-463E-4CBD-AEF8-A00E6BF8075A}"/>
    <cellStyle name="Normal 5 4 2 7 2 3" xfId="13735" xr:uid="{017C758F-6ADA-4870-A898-1C38589FB9AC}"/>
    <cellStyle name="Normal 5 4 2 7 3" xfId="6481" xr:uid="{00000000-0005-0000-0000-0000FA1A0000}"/>
    <cellStyle name="Normal 5 4 2 7 3 2" xfId="15807" xr:uid="{A6D5B9B3-DD01-4BDF-BBF2-409E430C4FDF}"/>
    <cellStyle name="Normal 5 4 2 7 4" xfId="11590" xr:uid="{6A2B2B80-D886-4A62-B369-20C282F947B2}"/>
    <cellStyle name="Normal 5 4 2 8" xfId="2611" xr:uid="{00000000-0005-0000-0000-0000FB1A0000}"/>
    <cellStyle name="Normal 5 4 2 8 2" xfId="6894" xr:uid="{00000000-0005-0000-0000-0000FC1A0000}"/>
    <cellStyle name="Normal 5 4 2 8 2 2" xfId="16220" xr:uid="{A26DB500-BCD4-47FB-B6B7-AE28D0E523B5}"/>
    <cellStyle name="Normal 5 4 2 8 3" xfId="12003" xr:uid="{DA7DA0BF-A936-493A-A87C-7CF191916783}"/>
    <cellStyle name="Normal 5 4 2 9" xfId="4829" xr:uid="{00000000-0005-0000-0000-0000FD1A0000}"/>
    <cellStyle name="Normal 5 4 2 9 2" xfId="14155" xr:uid="{01277E35-917D-409E-B3AF-B5493FE36FD3}"/>
    <cellStyle name="Normal 5 4 3" xfId="461" xr:uid="{00000000-0005-0000-0000-0000FE1A0000}"/>
    <cellStyle name="Normal 5 4 3 10" xfId="9942" xr:uid="{7DDFF914-DBDC-42CF-B9F8-F1A4180B56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0F135721-C3F7-4118-81AD-88B671E44886}"/>
    <cellStyle name="Normal 5 4 3 2 2 2 3" xfId="12501" xr:uid="{C6CE7617-35F1-4B64-A481-71DC9D9EA00A}"/>
    <cellStyle name="Normal 5 4 3 2 2 3" xfId="5247" xr:uid="{00000000-0005-0000-0000-0000031B0000}"/>
    <cellStyle name="Normal 5 4 3 2 2 3 2" xfId="14573" xr:uid="{970F7EC5-93AE-4932-8030-20031AB72925}"/>
    <cellStyle name="Normal 5 4 3 2 2 4" xfId="9508" xr:uid="{1F9B5A8F-2A45-43C5-9422-E8BC84424A55}"/>
    <cellStyle name="Normal 5 4 3 2 2 4 2" xfId="18823" xr:uid="{785E2925-35C3-4686-B0E5-6C79F4719439}"/>
    <cellStyle name="Normal 5 4 3 2 2 5" xfId="10356" xr:uid="{B23C6321-93A6-4DB3-836B-8894C103AB96}"/>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94F7AC33-63DE-4403-92E4-F13C12B8ADC1}"/>
    <cellStyle name="Normal 5 4 3 2 3 2 3" xfId="12914" xr:uid="{1AC310AD-30CF-471E-8CFD-A909EC5FA279}"/>
    <cellStyle name="Normal 5 4 3 2 3 3" xfId="5660" xr:uid="{00000000-0005-0000-0000-0000071B0000}"/>
    <cellStyle name="Normal 5 4 3 2 3 3 2" xfId="14986" xr:uid="{448B8E71-2F21-4BD5-9779-33DC21BFA964}"/>
    <cellStyle name="Normal 5 4 3 2 3 4" xfId="10769" xr:uid="{79852D17-F928-496F-AD45-C957DFF667A7}"/>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4DBC0001-2584-4388-8573-6E7EAEA2A5EF}"/>
    <cellStyle name="Normal 5 4 3 2 4 2 3" xfId="13327" xr:uid="{8354AD0F-6684-4BCF-A33F-156B7F562CF5}"/>
    <cellStyle name="Normal 5 4 3 2 4 3" xfId="6073" xr:uid="{00000000-0005-0000-0000-00000B1B0000}"/>
    <cellStyle name="Normal 5 4 3 2 4 3 2" xfId="15399" xr:uid="{895C14A2-0236-4343-A7A7-8368E54F0F36}"/>
    <cellStyle name="Normal 5 4 3 2 4 4" xfId="11182" xr:uid="{79D7C0D2-76A3-4144-86ED-4F7A8E4A4B5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444312A5-D5CC-468A-8034-56D3C2F98C3F}"/>
    <cellStyle name="Normal 5 4 3 2 5 2 3" xfId="13740" xr:uid="{4994AEB1-4C1F-4B10-80C6-9DE433A78645}"/>
    <cellStyle name="Normal 5 4 3 2 5 3" xfId="6486" xr:uid="{00000000-0005-0000-0000-00000F1B0000}"/>
    <cellStyle name="Normal 5 4 3 2 5 3 2" xfId="15812" xr:uid="{7FAB17D4-1C15-418D-A87C-819D3B8081D7}"/>
    <cellStyle name="Normal 5 4 3 2 5 4" xfId="11595" xr:uid="{BC084C53-242D-4B22-9ECB-13D26B137971}"/>
    <cellStyle name="Normal 5 4 3 2 6" xfId="2616" xr:uid="{00000000-0005-0000-0000-0000101B0000}"/>
    <cellStyle name="Normal 5 4 3 2 6 2" xfId="6899" xr:uid="{00000000-0005-0000-0000-0000111B0000}"/>
    <cellStyle name="Normal 5 4 3 2 6 2 2" xfId="16225" xr:uid="{BE0D2B68-2A3F-41B8-A0C1-0FD1DAE85D1C}"/>
    <cellStyle name="Normal 5 4 3 2 6 3" xfId="12008" xr:uid="{9A833EB7-E084-4F47-87FC-B8571506CC53}"/>
    <cellStyle name="Normal 5 4 3 2 7" xfId="4834" xr:uid="{00000000-0005-0000-0000-0000121B0000}"/>
    <cellStyle name="Normal 5 4 3 2 7 2" xfId="14160" xr:uid="{16687CDE-3DD2-4014-ABB8-550645EFF222}"/>
    <cellStyle name="Normal 5 4 3 2 8" xfId="9083" xr:uid="{206384C8-6AD8-4D28-8F99-3033A80D68FC}"/>
    <cellStyle name="Normal 5 4 3 2 8 2" xfId="18407" xr:uid="{F74D4AED-7A67-4D38-9BB9-705DEF290308}"/>
    <cellStyle name="Normal 5 4 3 2 9" xfId="9943" xr:uid="{0CA124E2-C204-4C15-86D7-C67FBB0765DC}"/>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A78E3E15-E629-4DF4-A9D4-736EDDFA4947}"/>
    <cellStyle name="Normal 5 4 3 3 2 3" xfId="12500" xr:uid="{676802C8-4A52-4985-9177-6358E1015A80}"/>
    <cellStyle name="Normal 5 4 3 3 3" xfId="5246" xr:uid="{00000000-0005-0000-0000-0000161B0000}"/>
    <cellStyle name="Normal 5 4 3 3 3 2" xfId="14572" xr:uid="{19BF51A2-A817-40D5-87C7-B57ECA31DA7F}"/>
    <cellStyle name="Normal 5 4 3 3 4" xfId="9301" xr:uid="{CB02BBE7-2E3D-4C67-A62E-BA84DE882039}"/>
    <cellStyle name="Normal 5 4 3 3 4 2" xfId="18616" xr:uid="{E9B9A35D-030E-4909-9EAF-4B10F048FC99}"/>
    <cellStyle name="Normal 5 4 3 3 5" xfId="10355" xr:uid="{7CDB9ED4-D87B-463F-9821-9D2B29C38218}"/>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008E3C7A-094C-48AD-B026-039DCDCF0631}"/>
    <cellStyle name="Normal 5 4 3 4 2 3" xfId="12913" xr:uid="{9796EF9D-E6EC-4026-9C1E-1A07E13299BA}"/>
    <cellStyle name="Normal 5 4 3 4 3" xfId="5659" xr:uid="{00000000-0005-0000-0000-00001A1B0000}"/>
    <cellStyle name="Normal 5 4 3 4 3 2" xfId="14985" xr:uid="{C451A7FE-EA41-4BAF-8233-D5E25C342431}"/>
    <cellStyle name="Normal 5 4 3 4 4" xfId="10768" xr:uid="{63E2873E-CB50-4B58-872F-DB27F9911F68}"/>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57BF6E43-516B-43CE-8C09-B66186E87F87}"/>
    <cellStyle name="Normal 5 4 3 5 2 3" xfId="13326" xr:uid="{240B28D5-B1D0-4DA3-BF7B-A7F7670D7B5A}"/>
    <cellStyle name="Normal 5 4 3 5 3" xfId="6072" xr:uid="{00000000-0005-0000-0000-00001E1B0000}"/>
    <cellStyle name="Normal 5 4 3 5 3 2" xfId="15398" xr:uid="{A767827A-FB36-41C1-99F5-E42E86DAA583}"/>
    <cellStyle name="Normal 5 4 3 5 4" xfId="11181" xr:uid="{4F5F841F-A834-4116-BBDC-3858D70A6E57}"/>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93826B42-CE51-420F-9698-F0665D3DF437}"/>
    <cellStyle name="Normal 5 4 3 6 2 3" xfId="13739" xr:uid="{9BD7F6F8-51F3-43B6-A369-8C035281F555}"/>
    <cellStyle name="Normal 5 4 3 6 3" xfId="6485" xr:uid="{00000000-0005-0000-0000-0000221B0000}"/>
    <cellStyle name="Normal 5 4 3 6 3 2" xfId="15811" xr:uid="{A4BEBA71-AA03-46A4-B289-7A3F075EB8D6}"/>
    <cellStyle name="Normal 5 4 3 6 4" xfId="11594" xr:uid="{0D1C8219-1146-4117-8D2B-655DA881D044}"/>
    <cellStyle name="Normal 5 4 3 7" xfId="2615" xr:uid="{00000000-0005-0000-0000-0000231B0000}"/>
    <cellStyle name="Normal 5 4 3 7 2" xfId="6898" xr:uid="{00000000-0005-0000-0000-0000241B0000}"/>
    <cellStyle name="Normal 5 4 3 7 2 2" xfId="16224" xr:uid="{6AAE79FB-7145-4E40-9E63-2FA994969859}"/>
    <cellStyle name="Normal 5 4 3 7 3" xfId="12007" xr:uid="{AE162A86-656A-487C-AD36-43AFECBF52A0}"/>
    <cellStyle name="Normal 5 4 3 8" xfId="4833" xr:uid="{00000000-0005-0000-0000-0000251B0000}"/>
    <cellStyle name="Normal 5 4 3 8 2" xfId="14159" xr:uid="{74B3C73B-2E5B-469E-8127-8D310E4235BF}"/>
    <cellStyle name="Normal 5 4 3 9" xfId="8876" xr:uid="{D636A598-175F-46A4-8005-1A20EC6CCEC9}"/>
    <cellStyle name="Normal 5 4 3 9 2" xfId="18200" xr:uid="{A7529278-452D-42B6-9D01-7B33698B1186}"/>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8F5FB507-8C0F-4406-B97D-7FB3F4B61FAC}"/>
    <cellStyle name="Normal 5 4 4 2 2 3" xfId="12502" xr:uid="{0603A7DE-6C50-4339-8FF1-CDBEA2A56BA2}"/>
    <cellStyle name="Normal 5 4 4 2 3" xfId="5248" xr:uid="{00000000-0005-0000-0000-00002A1B0000}"/>
    <cellStyle name="Normal 5 4 4 2 3 2" xfId="14574" xr:uid="{A653E91B-9ADA-4385-BBD7-8319C95BF657}"/>
    <cellStyle name="Normal 5 4 4 2 4" xfId="9405" xr:uid="{F05DE0DC-A0AA-4CEB-9ABC-0D70F781B819}"/>
    <cellStyle name="Normal 5 4 4 2 4 2" xfId="18720" xr:uid="{3A99DCB0-4DA9-4B89-9530-3724A6ACDCCD}"/>
    <cellStyle name="Normal 5 4 4 2 5" xfId="10357" xr:uid="{972A36A1-A98D-49C0-9269-A2FC1E0368CA}"/>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61FDEA64-6B02-4A68-AD08-64A54E58185D}"/>
    <cellStyle name="Normal 5 4 4 3 2 3" xfId="12915" xr:uid="{7B37F087-70E5-4F5A-B4FA-E7B762A12BB9}"/>
    <cellStyle name="Normal 5 4 4 3 3" xfId="5661" xr:uid="{00000000-0005-0000-0000-00002E1B0000}"/>
    <cellStyle name="Normal 5 4 4 3 3 2" xfId="14987" xr:uid="{1551AEC3-B229-4B0B-AB33-F4D1CBDE335D}"/>
    <cellStyle name="Normal 5 4 4 3 4" xfId="10770" xr:uid="{4C68285C-C5E2-4461-AF13-20515BB4AB9E}"/>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6E4D01F0-CF41-474E-918F-FB19137FD375}"/>
    <cellStyle name="Normal 5 4 4 4 2 3" xfId="13328" xr:uid="{4D35FD5F-E170-4BF5-8C83-7883FD4868E8}"/>
    <cellStyle name="Normal 5 4 4 4 3" xfId="6074" xr:uid="{00000000-0005-0000-0000-0000321B0000}"/>
    <cellStyle name="Normal 5 4 4 4 3 2" xfId="15400" xr:uid="{23225710-A939-406C-A181-412DF5900C32}"/>
    <cellStyle name="Normal 5 4 4 4 4" xfId="11183" xr:uid="{0EFA8DE8-FC2B-488F-BED1-0E90D2992244}"/>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F47DAD37-B86F-4117-BEA9-A1097D507955}"/>
    <cellStyle name="Normal 5 4 4 5 2 3" xfId="13741" xr:uid="{0B52EA0C-F9BD-4FC8-9826-AE82A5C0825D}"/>
    <cellStyle name="Normal 5 4 4 5 3" xfId="6487" xr:uid="{00000000-0005-0000-0000-0000361B0000}"/>
    <cellStyle name="Normal 5 4 4 5 3 2" xfId="15813" xr:uid="{21EB1BB3-97F6-4091-88FA-B60217CAAD2E}"/>
    <cellStyle name="Normal 5 4 4 5 4" xfId="11596" xr:uid="{D657428C-52B0-41E1-AC65-35629B451388}"/>
    <cellStyle name="Normal 5 4 4 6" xfId="2617" xr:uid="{00000000-0005-0000-0000-0000371B0000}"/>
    <cellStyle name="Normal 5 4 4 6 2" xfId="6900" xr:uid="{00000000-0005-0000-0000-0000381B0000}"/>
    <cellStyle name="Normal 5 4 4 6 2 2" xfId="16226" xr:uid="{FE21691C-2AAD-4AC1-9CFC-26D1C1B668DF}"/>
    <cellStyle name="Normal 5 4 4 6 3" xfId="12009" xr:uid="{7564EA39-22C4-4576-B69D-E9FB02C6E917}"/>
    <cellStyle name="Normal 5 4 4 7" xfId="4835" xr:uid="{00000000-0005-0000-0000-0000391B0000}"/>
    <cellStyle name="Normal 5 4 4 7 2" xfId="14161" xr:uid="{263A7D24-8728-453E-97F9-FA0B95B1A65E}"/>
    <cellStyle name="Normal 5 4 4 8" xfId="8980" xr:uid="{B1DB48A4-94CB-4CC2-8D4B-8FD478363D48}"/>
    <cellStyle name="Normal 5 4 4 8 2" xfId="18304" xr:uid="{8339E7ED-C15D-4057-8384-A6E3A601B091}"/>
    <cellStyle name="Normal 5 4 4 9" xfId="9944" xr:uid="{6430B954-B2A4-473C-BE4A-B8F3B9AEE595}"/>
    <cellStyle name="Normal 5 4 5" xfId="930" xr:uid="{00000000-0005-0000-0000-00003A1B0000}"/>
    <cellStyle name="Normal 5 4 5 2" xfId="3164" xr:uid="{00000000-0005-0000-0000-00003B1B0000}"/>
    <cellStyle name="Normal 5 4 5 2 2" xfId="7386" xr:uid="{00000000-0005-0000-0000-00003C1B0000}"/>
    <cellStyle name="Normal 5 4 5 2 2 2" xfId="16712" xr:uid="{A6C698F7-8628-412B-98F5-734804F50086}"/>
    <cellStyle name="Normal 5 4 5 2 3" xfId="12495" xr:uid="{CDDEE276-267B-41A2-8647-6A04010B5E8C}"/>
    <cellStyle name="Normal 5 4 5 3" xfId="5241" xr:uid="{00000000-0005-0000-0000-00003D1B0000}"/>
    <cellStyle name="Normal 5 4 5 3 2" xfId="14567" xr:uid="{1B3EBC38-3EBE-42A7-8647-1D58BF1983FB}"/>
    <cellStyle name="Normal 5 4 5 4" xfId="9197" xr:uid="{44FF0EFB-444B-4C40-B695-8C256ADB5563}"/>
    <cellStyle name="Normal 5 4 5 4 2" xfId="18513" xr:uid="{F559B28A-D525-432A-9FFD-18629E66AA41}"/>
    <cellStyle name="Normal 5 4 5 5" xfId="10350" xr:uid="{14789D3A-A935-4C44-B0E2-5E0F205328D3}"/>
    <cellStyle name="Normal 5 4 6" xfId="1347" xr:uid="{00000000-0005-0000-0000-00003E1B0000}"/>
    <cellStyle name="Normal 5 4 6 2" xfId="3577" xr:uid="{00000000-0005-0000-0000-00003F1B0000}"/>
    <cellStyle name="Normal 5 4 6 2 2" xfId="7799" xr:uid="{00000000-0005-0000-0000-0000401B0000}"/>
    <cellStyle name="Normal 5 4 6 2 2 2" xfId="17125" xr:uid="{229E1488-4BD7-4800-A8D4-1DB9D1ED14CE}"/>
    <cellStyle name="Normal 5 4 6 2 3" xfId="12908" xr:uid="{0B04C410-A25F-4104-9151-0629632BC0C9}"/>
    <cellStyle name="Normal 5 4 6 3" xfId="5654" xr:uid="{00000000-0005-0000-0000-0000411B0000}"/>
    <cellStyle name="Normal 5 4 6 3 2" xfId="14980" xr:uid="{A87CF983-12D6-4874-891C-79A350C53E0D}"/>
    <cellStyle name="Normal 5 4 6 4" xfId="10763" xr:uid="{594720FC-BE0C-4582-9212-8B657B7EA4CC}"/>
    <cellStyle name="Normal 5 4 7" xfId="1760" xr:uid="{00000000-0005-0000-0000-0000421B0000}"/>
    <cellStyle name="Normal 5 4 7 2" xfId="3990" xr:uid="{00000000-0005-0000-0000-0000431B0000}"/>
    <cellStyle name="Normal 5 4 7 2 2" xfId="8212" xr:uid="{00000000-0005-0000-0000-0000441B0000}"/>
    <cellStyle name="Normal 5 4 7 2 2 2" xfId="17538" xr:uid="{8496C306-299F-42A4-9091-C99DEB13C16E}"/>
    <cellStyle name="Normal 5 4 7 2 3" xfId="13321" xr:uid="{D27D61AC-C5E0-45D8-8C21-7C930EC9170E}"/>
    <cellStyle name="Normal 5 4 7 3" xfId="6067" xr:uid="{00000000-0005-0000-0000-0000451B0000}"/>
    <cellStyle name="Normal 5 4 7 3 2" xfId="15393" xr:uid="{D38A6EC2-6E06-4F34-8BCC-C154575792C0}"/>
    <cellStyle name="Normal 5 4 7 4" xfId="11176" xr:uid="{56093409-AD3D-4FC5-BA75-EBA1F4390571}"/>
    <cellStyle name="Normal 5 4 8" xfId="2174" xr:uid="{00000000-0005-0000-0000-0000461B0000}"/>
    <cellStyle name="Normal 5 4 8 2" xfId="4403" xr:uid="{00000000-0005-0000-0000-0000471B0000}"/>
    <cellStyle name="Normal 5 4 8 2 2" xfId="8625" xr:uid="{00000000-0005-0000-0000-0000481B0000}"/>
    <cellStyle name="Normal 5 4 8 2 2 2" xfId="17951" xr:uid="{56F1C5AB-E4C1-48C1-996A-2E965B0DD432}"/>
    <cellStyle name="Normal 5 4 8 2 3" xfId="13734" xr:uid="{5AA2A4D2-CA19-447E-8A6E-60A840848B98}"/>
    <cellStyle name="Normal 5 4 8 3" xfId="6480" xr:uid="{00000000-0005-0000-0000-0000491B0000}"/>
    <cellStyle name="Normal 5 4 8 3 2" xfId="15806" xr:uid="{208B141F-3292-4262-B8C7-8665BEA46715}"/>
    <cellStyle name="Normal 5 4 8 4" xfId="11589" xr:uid="{E54F43EE-849A-4C78-9D15-057115A9C685}"/>
    <cellStyle name="Normal 5 4 9" xfId="2610" xr:uid="{00000000-0005-0000-0000-00004A1B0000}"/>
    <cellStyle name="Normal 5 4 9 2" xfId="6893" xr:uid="{00000000-0005-0000-0000-00004B1B0000}"/>
    <cellStyle name="Normal 5 4 9 2 2" xfId="16219" xr:uid="{229A5FB8-1BBD-4D76-B9C0-8DA41F9D48C7}"/>
    <cellStyle name="Normal 5 4 9 3" xfId="12002" xr:uid="{A6D3A2EF-5460-4B1F-9A34-5981DC55EEC8}"/>
    <cellStyle name="Normal 5 5" xfId="464" xr:uid="{00000000-0005-0000-0000-00004C1B0000}"/>
    <cellStyle name="Normal 5 5 10" xfId="8826" xr:uid="{5746674A-546A-44BF-97FB-6D298BF3AD61}"/>
    <cellStyle name="Normal 5 5 10 2" xfId="18150" xr:uid="{07774762-98EA-4DF6-9385-BE122A16BC96}"/>
    <cellStyle name="Normal 5 5 11" xfId="9945" xr:uid="{0D377646-91AC-47EE-88C1-B6586ED86BF5}"/>
    <cellStyle name="Normal 5 5 2" xfId="465" xr:uid="{00000000-0005-0000-0000-00004D1B0000}"/>
    <cellStyle name="Normal 5 5 2 10" xfId="9946" xr:uid="{5B91FD43-8D79-4416-AB27-ACD8C59EEAB8}"/>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F0DDE17-C57F-4BDB-8117-769962DAA081}"/>
    <cellStyle name="Normal 5 5 2 2 2 2 3" xfId="12505" xr:uid="{8B1D6C13-C576-4938-A532-2BD663FE5E72}"/>
    <cellStyle name="Normal 5 5 2 2 2 3" xfId="5251" xr:uid="{00000000-0005-0000-0000-0000521B0000}"/>
    <cellStyle name="Normal 5 5 2 2 2 3 2" xfId="14577" xr:uid="{90C367BC-A24C-4657-9B45-7BE363FD53F5}"/>
    <cellStyle name="Normal 5 5 2 2 2 4" xfId="9561" xr:uid="{FF1EB4DD-E23E-4228-816B-D59B021F724D}"/>
    <cellStyle name="Normal 5 5 2 2 2 4 2" xfId="18876" xr:uid="{8994284C-759A-41AD-B786-AE01727A8613}"/>
    <cellStyle name="Normal 5 5 2 2 2 5" xfId="10360" xr:uid="{4D2D94CE-928A-4A09-B064-E03F94947E4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B1B85AAB-6E0D-4EFE-9989-E29ACC06E417}"/>
    <cellStyle name="Normal 5 5 2 2 3 2 3" xfId="12918" xr:uid="{63CABE98-67AC-4FDA-9E5C-E5C5A95D3E70}"/>
    <cellStyle name="Normal 5 5 2 2 3 3" xfId="5664" xr:uid="{00000000-0005-0000-0000-0000561B0000}"/>
    <cellStyle name="Normal 5 5 2 2 3 3 2" xfId="14990" xr:uid="{730E6CBD-0005-4EEA-9010-B554ADE244B8}"/>
    <cellStyle name="Normal 5 5 2 2 3 4" xfId="10773" xr:uid="{D8F7A501-EC61-4BB9-A8F0-06333C55F446}"/>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B18683B4-E1D4-4184-9122-92D514385A7F}"/>
    <cellStyle name="Normal 5 5 2 2 4 2 3" xfId="13331" xr:uid="{38953748-2613-472B-ADB7-DA8779FAD501}"/>
    <cellStyle name="Normal 5 5 2 2 4 3" xfId="6077" xr:uid="{00000000-0005-0000-0000-00005A1B0000}"/>
    <cellStyle name="Normal 5 5 2 2 4 3 2" xfId="15403" xr:uid="{51377B28-2444-4A6E-9FB3-C4587F6B7939}"/>
    <cellStyle name="Normal 5 5 2 2 4 4" xfId="11186" xr:uid="{116A7803-A53E-4690-9941-B197D8C829B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799BD057-8597-4253-B42C-88289A89862E}"/>
    <cellStyle name="Normal 5 5 2 2 5 2 3" xfId="13744" xr:uid="{E4579431-2DF5-494B-A3A1-61AAC2CEB603}"/>
    <cellStyle name="Normal 5 5 2 2 5 3" xfId="6490" xr:uid="{00000000-0005-0000-0000-00005E1B0000}"/>
    <cellStyle name="Normal 5 5 2 2 5 3 2" xfId="15816" xr:uid="{D1C6FCCC-9FA3-482A-AE03-9921D89926B2}"/>
    <cellStyle name="Normal 5 5 2 2 5 4" xfId="11599" xr:uid="{1CBA4246-6D25-4E9F-90F1-DB28749B2B61}"/>
    <cellStyle name="Normal 5 5 2 2 6" xfId="2620" xr:uid="{00000000-0005-0000-0000-00005F1B0000}"/>
    <cellStyle name="Normal 5 5 2 2 6 2" xfId="6903" xr:uid="{00000000-0005-0000-0000-0000601B0000}"/>
    <cellStyle name="Normal 5 5 2 2 6 2 2" xfId="16229" xr:uid="{FB0E7B05-B5F4-496B-B47D-4047CB5FC462}"/>
    <cellStyle name="Normal 5 5 2 2 6 3" xfId="12012" xr:uid="{42298B8B-3FE1-487B-BB91-0B5031F4D264}"/>
    <cellStyle name="Normal 5 5 2 2 7" xfId="4838" xr:uid="{00000000-0005-0000-0000-0000611B0000}"/>
    <cellStyle name="Normal 5 5 2 2 7 2" xfId="14164" xr:uid="{5CE60493-448F-4077-B1B8-AFA1988FECA0}"/>
    <cellStyle name="Normal 5 5 2 2 8" xfId="9136" xr:uid="{D41453B5-3BE6-4F01-B336-45A274529844}"/>
    <cellStyle name="Normal 5 5 2 2 8 2" xfId="18460" xr:uid="{C8BD36C6-9D47-47E3-BCC6-25B74667608A}"/>
    <cellStyle name="Normal 5 5 2 2 9" xfId="9947" xr:uid="{C31F18D8-7720-48E7-9909-226330692E59}"/>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4E213350-4513-464C-8E92-1E3BBC1E0B19}"/>
    <cellStyle name="Normal 5 5 2 3 2 3" xfId="12504" xr:uid="{46FCEFDB-98AF-40F9-ABD7-B49B5A90506A}"/>
    <cellStyle name="Normal 5 5 2 3 3" xfId="5250" xr:uid="{00000000-0005-0000-0000-0000651B0000}"/>
    <cellStyle name="Normal 5 5 2 3 3 2" xfId="14576" xr:uid="{A053A5B4-BB9C-4654-A693-8978EBA73EDD}"/>
    <cellStyle name="Normal 5 5 2 3 4" xfId="9354" xr:uid="{3251F49D-E700-469D-9840-28045D408641}"/>
    <cellStyle name="Normal 5 5 2 3 4 2" xfId="18669" xr:uid="{AA9D498C-6811-4169-BB3D-1B8B1F1E394A}"/>
    <cellStyle name="Normal 5 5 2 3 5" xfId="10359" xr:uid="{10C1F148-79BB-4C17-B55A-1134A0D8B445}"/>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48B4E03C-1138-4656-BD45-A84A41C603B1}"/>
    <cellStyle name="Normal 5 5 2 4 2 3" xfId="12917" xr:uid="{55F13CF6-C1D5-4D43-8200-68BE90EF391C}"/>
    <cellStyle name="Normal 5 5 2 4 3" xfId="5663" xr:uid="{00000000-0005-0000-0000-0000691B0000}"/>
    <cellStyle name="Normal 5 5 2 4 3 2" xfId="14989" xr:uid="{19F39B61-AB06-4724-B785-76A6E4CA78AC}"/>
    <cellStyle name="Normal 5 5 2 4 4" xfId="10772" xr:uid="{FEDA5831-F986-4450-9158-FD093C6D270C}"/>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01F2A85A-0983-4139-A3B3-5A9617453E30}"/>
    <cellStyle name="Normal 5 5 2 5 2 3" xfId="13330" xr:uid="{3C751BA2-7482-44AF-B795-0140AA787F3A}"/>
    <cellStyle name="Normal 5 5 2 5 3" xfId="6076" xr:uid="{00000000-0005-0000-0000-00006D1B0000}"/>
    <cellStyle name="Normal 5 5 2 5 3 2" xfId="15402" xr:uid="{E62C6468-A781-438A-98C5-08719A088484}"/>
    <cellStyle name="Normal 5 5 2 5 4" xfId="11185" xr:uid="{91DD2469-7609-47FA-BCBE-B3A19A835274}"/>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776D17E0-5EAB-44EA-A638-24F2343F151D}"/>
    <cellStyle name="Normal 5 5 2 6 2 3" xfId="13743" xr:uid="{DEB47023-B2D3-4359-B521-6BCB9EA05C0A}"/>
    <cellStyle name="Normal 5 5 2 6 3" xfId="6489" xr:uid="{00000000-0005-0000-0000-0000711B0000}"/>
    <cellStyle name="Normal 5 5 2 6 3 2" xfId="15815" xr:uid="{BCD82B24-E295-4554-996D-7BFE8335AAB5}"/>
    <cellStyle name="Normal 5 5 2 6 4" xfId="11598" xr:uid="{45BA9AA0-7D31-4721-9B73-7053D0669F00}"/>
    <cellStyle name="Normal 5 5 2 7" xfId="2619" xr:uid="{00000000-0005-0000-0000-0000721B0000}"/>
    <cellStyle name="Normal 5 5 2 7 2" xfId="6902" xr:uid="{00000000-0005-0000-0000-0000731B0000}"/>
    <cellStyle name="Normal 5 5 2 7 2 2" xfId="16228" xr:uid="{88D225A0-3873-4D5E-B374-F2336D8D9BA6}"/>
    <cellStyle name="Normal 5 5 2 7 3" xfId="12011" xr:uid="{2D87E726-E629-4108-A04E-FD6CE2A9AFEF}"/>
    <cellStyle name="Normal 5 5 2 8" xfId="4837" xr:uid="{00000000-0005-0000-0000-0000741B0000}"/>
    <cellStyle name="Normal 5 5 2 8 2" xfId="14163" xr:uid="{9D343547-338B-4481-A7D2-D781AEAC751A}"/>
    <cellStyle name="Normal 5 5 2 9" xfId="8929" xr:uid="{918246BA-1946-46D4-8BAF-6DC0C4DC8AC3}"/>
    <cellStyle name="Normal 5 5 2 9 2" xfId="18253" xr:uid="{915552C2-7252-44ED-B501-F831F04070A6}"/>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C5D14F91-A4A8-4BC4-8AD0-6AFD4446E5B0}"/>
    <cellStyle name="Normal 5 5 3 2 2 3" xfId="12506" xr:uid="{04869D6B-10A4-4BEC-B196-B2A22E7BB967}"/>
    <cellStyle name="Normal 5 5 3 2 3" xfId="5252" xr:uid="{00000000-0005-0000-0000-0000791B0000}"/>
    <cellStyle name="Normal 5 5 3 2 3 2" xfId="14578" xr:uid="{186EDFC9-473D-4657-9A4F-93743AFC40A3}"/>
    <cellStyle name="Normal 5 5 3 2 4" xfId="9458" xr:uid="{8AD16727-CFBF-4DB5-B58F-04D48E2B564D}"/>
    <cellStyle name="Normal 5 5 3 2 4 2" xfId="18773" xr:uid="{5BC8E4C4-30C7-4B8B-ACAE-D81256C98A23}"/>
    <cellStyle name="Normal 5 5 3 2 5" xfId="10361" xr:uid="{1F9A7374-270F-43B4-88F5-6F515A7FB349}"/>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E9788FD2-BB41-4D42-AD3C-1DF0DCDC3CFD}"/>
    <cellStyle name="Normal 5 5 3 3 2 3" xfId="12919" xr:uid="{93DE0042-6317-42B0-B76A-195AC8760E73}"/>
    <cellStyle name="Normal 5 5 3 3 3" xfId="5665" xr:uid="{00000000-0005-0000-0000-00007D1B0000}"/>
    <cellStyle name="Normal 5 5 3 3 3 2" xfId="14991" xr:uid="{B3D76F7E-7C0C-47BE-91FE-866E332CC984}"/>
    <cellStyle name="Normal 5 5 3 3 4" xfId="10774" xr:uid="{6265440D-ACC6-469F-8503-BD492B31C026}"/>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5B16F3CA-636E-4B46-92C7-682A94243712}"/>
    <cellStyle name="Normal 5 5 3 4 2 3" xfId="13332" xr:uid="{6A3DBF51-CC68-49E0-9568-0FC3D66BF439}"/>
    <cellStyle name="Normal 5 5 3 4 3" xfId="6078" xr:uid="{00000000-0005-0000-0000-0000811B0000}"/>
    <cellStyle name="Normal 5 5 3 4 3 2" xfId="15404" xr:uid="{E40D9C54-E3C2-4249-BC6F-54766AF04087}"/>
    <cellStyle name="Normal 5 5 3 4 4" xfId="11187" xr:uid="{C08B3FDC-F6D8-4538-B9EC-608F11D462D8}"/>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DAA1A547-415E-4D64-AACA-44A0C0773E91}"/>
    <cellStyle name="Normal 5 5 3 5 2 3" xfId="13745" xr:uid="{9F3454A1-F05E-4A3A-B4A1-03F49A9412FD}"/>
    <cellStyle name="Normal 5 5 3 5 3" xfId="6491" xr:uid="{00000000-0005-0000-0000-0000851B0000}"/>
    <cellStyle name="Normal 5 5 3 5 3 2" xfId="15817" xr:uid="{3638B713-1663-44E4-84D6-98A7ADA95D0A}"/>
    <cellStyle name="Normal 5 5 3 5 4" xfId="11600" xr:uid="{783E931D-1F8F-4E20-9946-22742C5721DE}"/>
    <cellStyle name="Normal 5 5 3 6" xfId="2621" xr:uid="{00000000-0005-0000-0000-0000861B0000}"/>
    <cellStyle name="Normal 5 5 3 6 2" xfId="6904" xr:uid="{00000000-0005-0000-0000-0000871B0000}"/>
    <cellStyle name="Normal 5 5 3 6 2 2" xfId="16230" xr:uid="{93C2D8C7-6372-40A6-AE0B-726708CB8BA6}"/>
    <cellStyle name="Normal 5 5 3 6 3" xfId="12013" xr:uid="{A03482D8-03E5-4242-8ACF-D5EA4E9690F8}"/>
    <cellStyle name="Normal 5 5 3 7" xfId="4839" xr:uid="{00000000-0005-0000-0000-0000881B0000}"/>
    <cellStyle name="Normal 5 5 3 7 2" xfId="14165" xr:uid="{3D90B4DD-9C6D-4438-8990-0E69CC9EFC06}"/>
    <cellStyle name="Normal 5 5 3 8" xfId="9033" xr:uid="{08F77EF7-8D03-42D9-B538-FE3582C4B971}"/>
    <cellStyle name="Normal 5 5 3 8 2" xfId="18357" xr:uid="{2A2726E4-B562-4CAD-A67D-7EE75E482E53}"/>
    <cellStyle name="Normal 5 5 3 9" xfId="9948" xr:uid="{06BFE35B-2F9F-422A-ADD5-3E9AB1FFEEA5}"/>
    <cellStyle name="Normal 5 5 4" xfId="938" xr:uid="{00000000-0005-0000-0000-0000891B0000}"/>
    <cellStyle name="Normal 5 5 4 2" xfId="3172" xr:uid="{00000000-0005-0000-0000-00008A1B0000}"/>
    <cellStyle name="Normal 5 5 4 2 2" xfId="7394" xr:uid="{00000000-0005-0000-0000-00008B1B0000}"/>
    <cellStyle name="Normal 5 5 4 2 2 2" xfId="16720" xr:uid="{4262BC3C-F21E-44BB-9184-8E2778CD197C}"/>
    <cellStyle name="Normal 5 5 4 2 3" xfId="12503" xr:uid="{E5EBEB48-55C5-4AF1-8524-792C8DBC804A}"/>
    <cellStyle name="Normal 5 5 4 3" xfId="5249" xr:uid="{00000000-0005-0000-0000-00008C1B0000}"/>
    <cellStyle name="Normal 5 5 4 3 2" xfId="14575" xr:uid="{14617A32-E6F3-42B8-BB95-FB7FE4E20AD5}"/>
    <cellStyle name="Normal 5 5 4 4" xfId="9251" xr:uid="{4EAD9E35-D3C9-46BE-AE4D-29A1C6D5A6F7}"/>
    <cellStyle name="Normal 5 5 4 4 2" xfId="18566" xr:uid="{4076B974-2108-4A59-B00A-BB656926D458}"/>
    <cellStyle name="Normal 5 5 4 5" xfId="10358" xr:uid="{136503B8-48BD-4395-B6BC-99C5EF6E976A}"/>
    <cellStyle name="Normal 5 5 5" xfId="1355" xr:uid="{00000000-0005-0000-0000-00008D1B0000}"/>
    <cellStyle name="Normal 5 5 5 2" xfId="3585" xr:uid="{00000000-0005-0000-0000-00008E1B0000}"/>
    <cellStyle name="Normal 5 5 5 2 2" xfId="7807" xr:uid="{00000000-0005-0000-0000-00008F1B0000}"/>
    <cellStyle name="Normal 5 5 5 2 2 2" xfId="17133" xr:uid="{F984D669-AB16-41FF-870F-10FA47760024}"/>
    <cellStyle name="Normal 5 5 5 2 3" xfId="12916" xr:uid="{DA59A171-2E98-446D-9BAE-33D66C90999C}"/>
    <cellStyle name="Normal 5 5 5 3" xfId="5662" xr:uid="{00000000-0005-0000-0000-0000901B0000}"/>
    <cellStyle name="Normal 5 5 5 3 2" xfId="14988" xr:uid="{19AA0424-ADC8-43CE-9341-512A9DDCE00A}"/>
    <cellStyle name="Normal 5 5 5 4" xfId="10771" xr:uid="{2834B0F0-6D9A-4D9A-8A5C-86714720A9F4}"/>
    <cellStyle name="Normal 5 5 6" xfId="1768" xr:uid="{00000000-0005-0000-0000-0000911B0000}"/>
    <cellStyle name="Normal 5 5 6 2" xfId="3998" xr:uid="{00000000-0005-0000-0000-0000921B0000}"/>
    <cellStyle name="Normal 5 5 6 2 2" xfId="8220" xr:uid="{00000000-0005-0000-0000-0000931B0000}"/>
    <cellStyle name="Normal 5 5 6 2 2 2" xfId="17546" xr:uid="{C43BD3E0-091A-4A84-82D4-7A4258A815D6}"/>
    <cellStyle name="Normal 5 5 6 2 3" xfId="13329" xr:uid="{4E051A02-926A-431C-9AF0-F14F520D6E6D}"/>
    <cellStyle name="Normal 5 5 6 3" xfId="6075" xr:uid="{00000000-0005-0000-0000-0000941B0000}"/>
    <cellStyle name="Normal 5 5 6 3 2" xfId="15401" xr:uid="{6527D61A-13A2-4BF1-BD37-3DCEE321466A}"/>
    <cellStyle name="Normal 5 5 6 4" xfId="11184" xr:uid="{657262E5-CA5C-460D-91B7-0098A3E78991}"/>
    <cellStyle name="Normal 5 5 7" xfId="2182" xr:uid="{00000000-0005-0000-0000-0000951B0000}"/>
    <cellStyle name="Normal 5 5 7 2" xfId="4411" xr:uid="{00000000-0005-0000-0000-0000961B0000}"/>
    <cellStyle name="Normal 5 5 7 2 2" xfId="8633" xr:uid="{00000000-0005-0000-0000-0000971B0000}"/>
    <cellStyle name="Normal 5 5 7 2 2 2" xfId="17959" xr:uid="{6F05B3B9-9261-42B3-8ED9-132A02E8EAF9}"/>
    <cellStyle name="Normal 5 5 7 2 3" xfId="13742" xr:uid="{D0FFFE57-65B6-479A-8794-E9B2EB870DAD}"/>
    <cellStyle name="Normal 5 5 7 3" xfId="6488" xr:uid="{00000000-0005-0000-0000-0000981B0000}"/>
    <cellStyle name="Normal 5 5 7 3 2" xfId="15814" xr:uid="{21641540-FD82-4D2B-B38A-C1B9E77943CD}"/>
    <cellStyle name="Normal 5 5 7 4" xfId="11597" xr:uid="{EAB46059-80E4-49A0-ACD9-61F9E16FD1A0}"/>
    <cellStyle name="Normal 5 5 8" xfId="2618" xr:uid="{00000000-0005-0000-0000-0000991B0000}"/>
    <cellStyle name="Normal 5 5 8 2" xfId="6901" xr:uid="{00000000-0005-0000-0000-00009A1B0000}"/>
    <cellStyle name="Normal 5 5 8 2 2" xfId="16227" xr:uid="{79A12EAA-77D9-4192-AB49-814DCE3A069C}"/>
    <cellStyle name="Normal 5 5 8 3" xfId="12010" xr:uid="{49E5F21F-22F5-441E-B5E7-D67302008152}"/>
    <cellStyle name="Normal 5 5 9" xfId="4836" xr:uid="{00000000-0005-0000-0000-00009B1B0000}"/>
    <cellStyle name="Normal 5 5 9 2" xfId="14162" xr:uid="{A81B3124-A9B3-4507-89B1-C40C30913CCD}"/>
    <cellStyle name="Normal 5 6" xfId="468" xr:uid="{00000000-0005-0000-0000-00009C1B0000}"/>
    <cellStyle name="Normal 5 6 10" xfId="9949" xr:uid="{FD9D1CB6-98E3-47EA-A222-A5F427C0FF4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43F70624-EDD7-45FE-BA6D-490842886887}"/>
    <cellStyle name="Normal 5 6 2 2 2 3" xfId="12508" xr:uid="{B0732DD9-4F19-4F6C-89D9-F31F6C76A33C}"/>
    <cellStyle name="Normal 5 6 2 2 3" xfId="5254" xr:uid="{00000000-0005-0000-0000-0000A11B0000}"/>
    <cellStyle name="Normal 5 6 2 2 3 2" xfId="14580" xr:uid="{CCE031E9-BCB2-4B1E-BE74-530D4203B138}"/>
    <cellStyle name="Normal 5 6 2 2 4" xfId="9476" xr:uid="{3B3E6CA1-4D97-4B11-99D5-4F82314AA0E0}"/>
    <cellStyle name="Normal 5 6 2 2 4 2" xfId="18791" xr:uid="{053AB075-D97B-421F-BBA9-59AEAEC2A7DE}"/>
    <cellStyle name="Normal 5 6 2 2 5" xfId="10363" xr:uid="{1316E7C5-F51F-4892-BCD3-6584B55755F6}"/>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8678E699-BFC8-4F01-92EE-47B9CF4D10B4}"/>
    <cellStyle name="Normal 5 6 2 3 2 3" xfId="12921" xr:uid="{46619B27-1F8E-41E0-8482-62D384B55D84}"/>
    <cellStyle name="Normal 5 6 2 3 3" xfId="5667" xr:uid="{00000000-0005-0000-0000-0000A51B0000}"/>
    <cellStyle name="Normal 5 6 2 3 3 2" xfId="14993" xr:uid="{30908B93-8BFE-4F1A-AA0B-24C0780FFFE6}"/>
    <cellStyle name="Normal 5 6 2 3 4" xfId="10776" xr:uid="{DEEDA50A-0534-40EF-86A7-85DCC9DF9249}"/>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EF84F4A0-C3BB-4303-8222-02FA6E8C0212}"/>
    <cellStyle name="Normal 5 6 2 4 2 3" xfId="13334" xr:uid="{C73A7B86-455E-4EAC-A6FB-9D072F669467}"/>
    <cellStyle name="Normal 5 6 2 4 3" xfId="6080" xr:uid="{00000000-0005-0000-0000-0000A91B0000}"/>
    <cellStyle name="Normal 5 6 2 4 3 2" xfId="15406" xr:uid="{5D24422C-432C-4C8B-A939-C3C7DDB8FE16}"/>
    <cellStyle name="Normal 5 6 2 4 4" xfId="11189" xr:uid="{E6717433-FC63-4140-A2F3-C2E9AF5C9106}"/>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95415710-E4ED-43FF-9695-D6893AA6A67A}"/>
    <cellStyle name="Normal 5 6 2 5 2 3" xfId="13747" xr:uid="{21154466-B5E1-4FBD-8552-18E124FAB12B}"/>
    <cellStyle name="Normal 5 6 2 5 3" xfId="6493" xr:uid="{00000000-0005-0000-0000-0000AD1B0000}"/>
    <cellStyle name="Normal 5 6 2 5 3 2" xfId="15819" xr:uid="{B15AFFAE-A091-4554-B925-B014A392BE27}"/>
    <cellStyle name="Normal 5 6 2 5 4" xfId="11602" xr:uid="{270CEAC5-A1F1-47BA-9021-871C7B910BD9}"/>
    <cellStyle name="Normal 5 6 2 6" xfId="2623" xr:uid="{00000000-0005-0000-0000-0000AE1B0000}"/>
    <cellStyle name="Normal 5 6 2 6 2" xfId="6906" xr:uid="{00000000-0005-0000-0000-0000AF1B0000}"/>
    <cellStyle name="Normal 5 6 2 6 2 2" xfId="16232" xr:uid="{B7F0E00F-B7F8-46DB-B8D6-B5B9413BA7AD}"/>
    <cellStyle name="Normal 5 6 2 6 3" xfId="12015" xr:uid="{EC28F500-424B-46EC-BCDC-671F9C482049}"/>
    <cellStyle name="Normal 5 6 2 7" xfId="4841" xr:uid="{00000000-0005-0000-0000-0000B01B0000}"/>
    <cellStyle name="Normal 5 6 2 7 2" xfId="14167" xr:uid="{D802E714-00B2-47B6-A5AE-8739FD564215}"/>
    <cellStyle name="Normal 5 6 2 8" xfId="9051" xr:uid="{97C72229-9AC1-4DA9-8A0B-8B4B6D970DE8}"/>
    <cellStyle name="Normal 5 6 2 8 2" xfId="18375" xr:uid="{A776FB74-6B62-4072-8C71-1D3A5E5DA609}"/>
    <cellStyle name="Normal 5 6 2 9" xfId="9950" xr:uid="{53C4478C-34E5-44CB-8D3E-5D6858537213}"/>
    <cellStyle name="Normal 5 6 3" xfId="942" xr:uid="{00000000-0005-0000-0000-0000B11B0000}"/>
    <cellStyle name="Normal 5 6 3 2" xfId="3176" xr:uid="{00000000-0005-0000-0000-0000B21B0000}"/>
    <cellStyle name="Normal 5 6 3 2 2" xfId="7398" xr:uid="{00000000-0005-0000-0000-0000B31B0000}"/>
    <cellStyle name="Normal 5 6 3 2 2 2" xfId="16724" xr:uid="{64B258E0-A478-4722-BF70-C66A9FF1AF51}"/>
    <cellStyle name="Normal 5 6 3 2 3" xfId="12507" xr:uid="{548459BF-C08D-4E5A-B8FE-6DE3E35EB518}"/>
    <cellStyle name="Normal 5 6 3 3" xfId="5253" xr:uid="{00000000-0005-0000-0000-0000B41B0000}"/>
    <cellStyle name="Normal 5 6 3 3 2" xfId="14579" xr:uid="{C29D3F2D-3D92-46D0-8ED4-0BD376292678}"/>
    <cellStyle name="Normal 5 6 3 4" xfId="9269" xr:uid="{7D6728A0-C210-4F3F-8114-143B9AE0BFB4}"/>
    <cellStyle name="Normal 5 6 3 4 2" xfId="18584" xr:uid="{35704C33-49D0-477B-9417-E25EADD7EDDA}"/>
    <cellStyle name="Normal 5 6 3 5" xfId="10362" xr:uid="{910DC185-30E5-43F4-91F7-D9746250FFFD}"/>
    <cellStyle name="Normal 5 6 4" xfId="1359" xr:uid="{00000000-0005-0000-0000-0000B51B0000}"/>
    <cellStyle name="Normal 5 6 4 2" xfId="3589" xr:uid="{00000000-0005-0000-0000-0000B61B0000}"/>
    <cellStyle name="Normal 5 6 4 2 2" xfId="7811" xr:uid="{00000000-0005-0000-0000-0000B71B0000}"/>
    <cellStyle name="Normal 5 6 4 2 2 2" xfId="17137" xr:uid="{736053D8-08EB-48B9-9463-B0F0703E0BA1}"/>
    <cellStyle name="Normal 5 6 4 2 3" xfId="12920" xr:uid="{11EF1602-7B01-4CE0-AD5E-C3B4D1F95ECB}"/>
    <cellStyle name="Normal 5 6 4 3" xfId="5666" xr:uid="{00000000-0005-0000-0000-0000B81B0000}"/>
    <cellStyle name="Normal 5 6 4 3 2" xfId="14992" xr:uid="{765AA6F5-53AC-4869-AEBA-EC0BFD086F53}"/>
    <cellStyle name="Normal 5 6 4 4" xfId="10775" xr:uid="{21584E98-E9C9-4479-AC36-A9875CDE5BC1}"/>
    <cellStyle name="Normal 5 6 5" xfId="1772" xr:uid="{00000000-0005-0000-0000-0000B91B0000}"/>
    <cellStyle name="Normal 5 6 5 2" xfId="4002" xr:uid="{00000000-0005-0000-0000-0000BA1B0000}"/>
    <cellStyle name="Normal 5 6 5 2 2" xfId="8224" xr:uid="{00000000-0005-0000-0000-0000BB1B0000}"/>
    <cellStyle name="Normal 5 6 5 2 2 2" xfId="17550" xr:uid="{9AA2FB72-5943-4BB3-AB08-1533203FABA3}"/>
    <cellStyle name="Normal 5 6 5 2 3" xfId="13333" xr:uid="{DAF891C0-7AA6-48E1-8A8F-758C7FEBE1B1}"/>
    <cellStyle name="Normal 5 6 5 3" xfId="6079" xr:uid="{00000000-0005-0000-0000-0000BC1B0000}"/>
    <cellStyle name="Normal 5 6 5 3 2" xfId="15405" xr:uid="{52AAF9D4-7BB8-4A64-9C11-CC2734A64215}"/>
    <cellStyle name="Normal 5 6 5 4" xfId="11188" xr:uid="{5AA3CB6C-3176-4DB5-8817-C3E7F604E11D}"/>
    <cellStyle name="Normal 5 6 6" xfId="2186" xr:uid="{00000000-0005-0000-0000-0000BD1B0000}"/>
    <cellStyle name="Normal 5 6 6 2" xfId="4415" xr:uid="{00000000-0005-0000-0000-0000BE1B0000}"/>
    <cellStyle name="Normal 5 6 6 2 2" xfId="8637" xr:uid="{00000000-0005-0000-0000-0000BF1B0000}"/>
    <cellStyle name="Normal 5 6 6 2 2 2" xfId="17963" xr:uid="{2A6CB472-F318-4597-BBC2-27D254168F32}"/>
    <cellStyle name="Normal 5 6 6 2 3" xfId="13746" xr:uid="{09FBF1E1-B389-4E48-93F6-18FAECCEA1A2}"/>
    <cellStyle name="Normal 5 6 6 3" xfId="6492" xr:uid="{00000000-0005-0000-0000-0000C01B0000}"/>
    <cellStyle name="Normal 5 6 6 3 2" xfId="15818" xr:uid="{C9EE349C-999A-4560-BAF7-AC7E2A24D1F6}"/>
    <cellStyle name="Normal 5 6 6 4" xfId="11601" xr:uid="{E94C2E0D-A871-449B-9A26-48C261DB3A6D}"/>
    <cellStyle name="Normal 5 6 7" xfId="2622" xr:uid="{00000000-0005-0000-0000-0000C11B0000}"/>
    <cellStyle name="Normal 5 6 7 2" xfId="6905" xr:uid="{00000000-0005-0000-0000-0000C21B0000}"/>
    <cellStyle name="Normal 5 6 7 2 2" xfId="16231" xr:uid="{0D1DCAA5-43D2-4BE7-85EA-1D40ED39E467}"/>
    <cellStyle name="Normal 5 6 7 3" xfId="12014" xr:uid="{BBCF1CF4-4336-4C21-82E5-394C31A9F996}"/>
    <cellStyle name="Normal 5 6 8" xfId="4840" xr:uid="{00000000-0005-0000-0000-0000C31B0000}"/>
    <cellStyle name="Normal 5 6 8 2" xfId="14166" xr:uid="{71CDDE4D-5637-4BB9-8A87-5E07FA9B03EE}"/>
    <cellStyle name="Normal 5 6 9" xfId="8844" xr:uid="{91B947E4-8FF0-409F-B157-688724766D9F}"/>
    <cellStyle name="Normal 5 6 9 2" xfId="18168" xr:uid="{BE15E054-1D72-4BE7-A90C-6FEB88421EC8}"/>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35BE986B-C3CA-43D5-A19F-64ADFB7477CF}"/>
    <cellStyle name="Normal 5 7 2 2 3" xfId="12509" xr:uid="{6D087621-E1C0-45DB-A0F9-381D521B5303}"/>
    <cellStyle name="Normal 5 7 2 3" xfId="5255" xr:uid="{00000000-0005-0000-0000-0000C81B0000}"/>
    <cellStyle name="Normal 5 7 2 3 2" xfId="14581" xr:uid="{A626CC66-2FFD-474E-B7CE-6A8A25837623}"/>
    <cellStyle name="Normal 5 7 2 4" xfId="9385" xr:uid="{2E4A3B0A-2E42-41AC-9564-09D1598995A2}"/>
    <cellStyle name="Normal 5 7 2 4 2" xfId="18700" xr:uid="{3236AD43-BB8E-46A4-9014-E52D89CFDF45}"/>
    <cellStyle name="Normal 5 7 2 5" xfId="10364" xr:uid="{260AE576-4264-4155-93F5-C1D4986AA370}"/>
    <cellStyle name="Normal 5 7 3" xfId="1361" xr:uid="{00000000-0005-0000-0000-0000C91B0000}"/>
    <cellStyle name="Normal 5 7 3 2" xfId="3591" xr:uid="{00000000-0005-0000-0000-0000CA1B0000}"/>
    <cellStyle name="Normal 5 7 3 2 2" xfId="7813" xr:uid="{00000000-0005-0000-0000-0000CB1B0000}"/>
    <cellStyle name="Normal 5 7 3 2 2 2" xfId="17139" xr:uid="{671D80E7-868F-4F7B-B529-9A32BCAFF707}"/>
    <cellStyle name="Normal 5 7 3 2 3" xfId="12922" xr:uid="{E2D37AE1-381A-4C3B-BDC1-5A6E6B4E7BC0}"/>
    <cellStyle name="Normal 5 7 3 3" xfId="5668" xr:uid="{00000000-0005-0000-0000-0000CC1B0000}"/>
    <cellStyle name="Normal 5 7 3 3 2" xfId="14994" xr:uid="{1B27B3F0-F203-4B07-AB59-BC725354C892}"/>
    <cellStyle name="Normal 5 7 3 4" xfId="10777" xr:uid="{6BC8C80D-F94C-4CA5-8A6B-76D608A1A748}"/>
    <cellStyle name="Normal 5 7 4" xfId="1774" xr:uid="{00000000-0005-0000-0000-0000CD1B0000}"/>
    <cellStyle name="Normal 5 7 4 2" xfId="4004" xr:uid="{00000000-0005-0000-0000-0000CE1B0000}"/>
    <cellStyle name="Normal 5 7 4 2 2" xfId="8226" xr:uid="{00000000-0005-0000-0000-0000CF1B0000}"/>
    <cellStyle name="Normal 5 7 4 2 2 2" xfId="17552" xr:uid="{C8082B1F-13FF-44C6-9EDE-3E63249AE450}"/>
    <cellStyle name="Normal 5 7 4 2 3" xfId="13335" xr:uid="{DF7A7724-862F-48F3-9964-4D903A7EDDE9}"/>
    <cellStyle name="Normal 5 7 4 3" xfId="6081" xr:uid="{00000000-0005-0000-0000-0000D01B0000}"/>
    <cellStyle name="Normal 5 7 4 3 2" xfId="15407" xr:uid="{F68226D8-3F88-4D7D-A1E6-C0845C23AF56}"/>
    <cellStyle name="Normal 5 7 4 4" xfId="11190" xr:uid="{EB1D9314-6EDA-4FAB-A782-3C02D60B74D5}"/>
    <cellStyle name="Normal 5 7 5" xfId="2188" xr:uid="{00000000-0005-0000-0000-0000D11B0000}"/>
    <cellStyle name="Normal 5 7 5 2" xfId="4417" xr:uid="{00000000-0005-0000-0000-0000D21B0000}"/>
    <cellStyle name="Normal 5 7 5 2 2" xfId="8639" xr:uid="{00000000-0005-0000-0000-0000D31B0000}"/>
    <cellStyle name="Normal 5 7 5 2 2 2" xfId="17965" xr:uid="{39D57322-6486-415D-A644-A4D5A6C444A2}"/>
    <cellStyle name="Normal 5 7 5 2 3" xfId="13748" xr:uid="{C970215D-92BC-4CC3-BBF7-207FFA6E71C1}"/>
    <cellStyle name="Normal 5 7 5 3" xfId="6494" xr:uid="{00000000-0005-0000-0000-0000D41B0000}"/>
    <cellStyle name="Normal 5 7 5 3 2" xfId="15820" xr:uid="{B393ADA2-8206-4F8C-9BFB-F73D3F724D72}"/>
    <cellStyle name="Normal 5 7 5 4" xfId="11603" xr:uid="{A91539C7-4F4D-4129-A548-E5073F475388}"/>
    <cellStyle name="Normal 5 7 6" xfId="2624" xr:uid="{00000000-0005-0000-0000-0000D51B0000}"/>
    <cellStyle name="Normal 5 7 6 2" xfId="6907" xr:uid="{00000000-0005-0000-0000-0000D61B0000}"/>
    <cellStyle name="Normal 5 7 6 2 2" xfId="16233" xr:uid="{34A23035-C47A-432A-9CBC-8CEA53E5DE30}"/>
    <cellStyle name="Normal 5 7 6 3" xfId="12016" xr:uid="{1468931A-22F1-4784-AB67-6352BD17516A}"/>
    <cellStyle name="Normal 5 7 7" xfId="4842" xr:uid="{00000000-0005-0000-0000-0000D71B0000}"/>
    <cellStyle name="Normal 5 7 7 2" xfId="14168" xr:uid="{1628CE99-E220-44AA-8B39-A81839AFDDA8}"/>
    <cellStyle name="Normal 5 7 8" xfId="8960" xr:uid="{F4BEC964-53C9-4393-B7F1-69B47FC1FF25}"/>
    <cellStyle name="Normal 5 7 8 2" xfId="18284" xr:uid="{DD67DD1A-B994-4906-9B07-E39E1B128DAF}"/>
    <cellStyle name="Normal 5 7 9" xfId="9951" xr:uid="{F18D73B0-9DDC-43D7-B4B9-B7C9830A7FEA}"/>
    <cellStyle name="Normal 5 8" xfId="880" xr:uid="{00000000-0005-0000-0000-0000D81B0000}"/>
    <cellStyle name="Normal 5 8 2" xfId="3115" xr:uid="{00000000-0005-0000-0000-0000D91B0000}"/>
    <cellStyle name="Normal 5 8 2 2" xfId="7337" xr:uid="{00000000-0005-0000-0000-0000DA1B0000}"/>
    <cellStyle name="Normal 5 8 2 2 2" xfId="16663" xr:uid="{AA0BB950-8020-4A8E-BAA1-81C1D675CF77}"/>
    <cellStyle name="Normal 5 8 2 3" xfId="12446" xr:uid="{DACB3183-BA9E-42F4-B1EE-07EA32559FBC}"/>
    <cellStyle name="Normal 5 8 3" xfId="5192" xr:uid="{00000000-0005-0000-0000-0000DB1B0000}"/>
    <cellStyle name="Normal 5 8 3 2" xfId="14518" xr:uid="{92356A4C-2762-45DE-A44B-9C216E86DB9F}"/>
    <cellStyle name="Normal 5 8 4" xfId="9163" xr:uid="{44C7CAD4-DD7C-48E0-9142-8ED22123C662}"/>
    <cellStyle name="Normal 5 8 4 2" xfId="18481" xr:uid="{B2E7E880-D24E-4DC0-99BD-6A4148711C34}"/>
    <cellStyle name="Normal 5 8 5" xfId="10301" xr:uid="{7A1B1DA2-4330-4AAC-AE0D-46DF517961D2}"/>
    <cellStyle name="Normal 5 9" xfId="1298" xr:uid="{00000000-0005-0000-0000-0000DC1B0000}"/>
    <cellStyle name="Normal 5 9 2" xfId="3528" xr:uid="{00000000-0005-0000-0000-0000DD1B0000}"/>
    <cellStyle name="Normal 5 9 2 2" xfId="7750" xr:uid="{00000000-0005-0000-0000-0000DE1B0000}"/>
    <cellStyle name="Normal 5 9 2 2 2" xfId="17076" xr:uid="{11F8E487-5CEB-497B-B682-769895EE58EA}"/>
    <cellStyle name="Normal 5 9 2 3" xfId="12859" xr:uid="{35F226AC-80E9-4611-B702-6C1E2397DE16}"/>
    <cellStyle name="Normal 5 9 3" xfId="5605" xr:uid="{00000000-0005-0000-0000-0000DF1B0000}"/>
    <cellStyle name="Normal 5 9 3 2" xfId="14931" xr:uid="{CA039F3D-9A0C-4D0F-BBFC-94706DA66B68}"/>
    <cellStyle name="Normal 5 9 4" xfId="10714" xr:uid="{26992AAC-DD0D-4CE0-92DB-4843C8BD1FB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5E7EA217-84E8-4F00-98A8-E38838273BFC}"/>
    <cellStyle name="Normal 8 10 2 3" xfId="13749" xr:uid="{1147C7E9-833B-4E56-9DC3-AFF9DCBFB9A9}"/>
    <cellStyle name="Normal 8 10 3" xfId="6495" xr:uid="{00000000-0005-0000-0000-0000EB1B0000}"/>
    <cellStyle name="Normal 8 10 3 2" xfId="15821" xr:uid="{90289243-F8FE-42E2-B6A1-6FB289E0C452}"/>
    <cellStyle name="Normal 8 10 4" xfId="11604" xr:uid="{D4E2F1BA-5C0B-401E-A26A-14CDAD30EF15}"/>
    <cellStyle name="Normal 8 11" xfId="2625" xr:uid="{00000000-0005-0000-0000-0000EC1B0000}"/>
    <cellStyle name="Normal 8 11 2" xfId="6908" xr:uid="{00000000-0005-0000-0000-0000ED1B0000}"/>
    <cellStyle name="Normal 8 11 2 2" xfId="16234" xr:uid="{4DF53960-1EED-49F6-AA62-73AE7F0C26CA}"/>
    <cellStyle name="Normal 8 11 3" xfId="12017" xr:uid="{F2B8C8F1-667B-4DB4-A02C-9FDA18C23900}"/>
    <cellStyle name="Normal 8 12" xfId="4843" xr:uid="{00000000-0005-0000-0000-0000EE1B0000}"/>
    <cellStyle name="Normal 8 12 2" xfId="14169" xr:uid="{0518EEA9-2591-433C-9429-23108868B3FB}"/>
    <cellStyle name="Normal 8 13" xfId="8742" xr:uid="{AF36CBBC-3EEB-4AC8-923B-65C7C2418AB0}"/>
    <cellStyle name="Normal 8 13 2" xfId="18066" xr:uid="{84B50739-CF5F-4E60-8C5B-8C2A9442A45B}"/>
    <cellStyle name="Normal 8 14" xfId="9952" xr:uid="{0AC69BA9-FBCB-40B1-A26E-516A00785447}"/>
    <cellStyle name="Normal 8 2" xfId="479" xr:uid="{00000000-0005-0000-0000-0000EF1B0000}"/>
    <cellStyle name="Normal 8 2 10" xfId="2626" xr:uid="{00000000-0005-0000-0000-0000F01B0000}"/>
    <cellStyle name="Normal 8 2 10 2" xfId="6909" xr:uid="{00000000-0005-0000-0000-0000F11B0000}"/>
    <cellStyle name="Normal 8 2 10 2 2" xfId="16235" xr:uid="{B5204681-B931-42A3-ABA4-D89A02313C33}"/>
    <cellStyle name="Normal 8 2 10 3" xfId="12018" xr:uid="{216EF96E-A610-4C85-B877-C6BA43EA0BD9}"/>
    <cellStyle name="Normal 8 2 11" xfId="4844" xr:uid="{00000000-0005-0000-0000-0000F21B0000}"/>
    <cellStyle name="Normal 8 2 11 2" xfId="14170" xr:uid="{D98310D6-95F3-4966-8566-52D09BDCE1A1}"/>
    <cellStyle name="Normal 8 2 12" xfId="8751" xr:uid="{476D0553-3387-4D9F-B05B-56EC7A36F7A1}"/>
    <cellStyle name="Normal 8 2 12 2" xfId="18075" xr:uid="{9A459528-AFBE-4D35-A1F6-125F339474D1}"/>
    <cellStyle name="Normal 8 2 13" xfId="9953" xr:uid="{563C63E7-B41E-4E6B-8D5D-04C2EF8CE8DE}"/>
    <cellStyle name="Normal 8 2 2" xfId="480" xr:uid="{00000000-0005-0000-0000-0000F31B0000}"/>
    <cellStyle name="Normal 8 2 2 10" xfId="4845" xr:uid="{00000000-0005-0000-0000-0000F41B0000}"/>
    <cellStyle name="Normal 8 2 2 10 2" xfId="14171" xr:uid="{85B85290-C53B-424D-ACEE-897ED1985BF6}"/>
    <cellStyle name="Normal 8 2 2 11" xfId="8783" xr:uid="{3C426022-C415-47DA-A8EF-1D6CE72527BD}"/>
    <cellStyle name="Normal 8 2 2 11 2" xfId="18107" xr:uid="{1BEBDE44-C5E3-463E-BFD2-9F1781D0A083}"/>
    <cellStyle name="Normal 8 2 2 12" xfId="9954" xr:uid="{FFAA3C2D-D548-4C7F-B468-D2E88B5F085E}"/>
    <cellStyle name="Normal 8 2 2 2" xfId="481" xr:uid="{00000000-0005-0000-0000-0000F51B0000}"/>
    <cellStyle name="Normal 8 2 2 2 10" xfId="8836" xr:uid="{870E50AF-610D-4E0C-BDE0-389D6B32A0FA}"/>
    <cellStyle name="Normal 8 2 2 2 10 2" xfId="18160" xr:uid="{EEA885BB-AB55-45D9-8A3A-CCFAF7A18750}"/>
    <cellStyle name="Normal 8 2 2 2 11" xfId="9955" xr:uid="{FF466282-13BA-40FE-B730-0E09FA796845}"/>
    <cellStyle name="Normal 8 2 2 2 2" xfId="482" xr:uid="{00000000-0005-0000-0000-0000F61B0000}"/>
    <cellStyle name="Normal 8 2 2 2 2 10" xfId="9956" xr:uid="{29903438-71B6-4250-B5AF-038DF4A4D268}"/>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5EF484A0-5956-448B-BBA4-1A13673DC2D6}"/>
    <cellStyle name="Normal 8 2 2 2 2 2 2 2 3" xfId="12515" xr:uid="{09804B7B-A043-4580-8578-FAC59E902641}"/>
    <cellStyle name="Normal 8 2 2 2 2 2 2 3" xfId="5261" xr:uid="{00000000-0005-0000-0000-0000FB1B0000}"/>
    <cellStyle name="Normal 8 2 2 2 2 2 2 3 2" xfId="14587" xr:uid="{82DE7843-D19D-4AF9-90D8-7B460146B37D}"/>
    <cellStyle name="Normal 8 2 2 2 2 2 2 4" xfId="9571" xr:uid="{B467C179-FE08-45F9-B1E6-E66379D80EBC}"/>
    <cellStyle name="Normal 8 2 2 2 2 2 2 4 2" xfId="18886" xr:uid="{424C68A9-3F63-4185-AF15-1E6F8F8095FA}"/>
    <cellStyle name="Normal 8 2 2 2 2 2 2 5" xfId="10370" xr:uid="{20220E20-F481-4CFF-8255-C3FA6161AFBE}"/>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3CCA52A0-13F9-4ADA-8336-B1E24BA282AD}"/>
    <cellStyle name="Normal 8 2 2 2 2 2 3 2 3" xfId="12928" xr:uid="{8E8ACD94-FD0D-42C3-A7C4-B4B674D7E0D1}"/>
    <cellStyle name="Normal 8 2 2 2 2 2 3 3" xfId="5674" xr:uid="{00000000-0005-0000-0000-0000FF1B0000}"/>
    <cellStyle name="Normal 8 2 2 2 2 2 3 3 2" xfId="15000" xr:uid="{908260AF-9BD1-499E-9D40-BBE5D4EE9CA1}"/>
    <cellStyle name="Normal 8 2 2 2 2 2 3 4" xfId="10783" xr:uid="{8B021B82-163C-4AB8-94ED-2F958873EAB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4EFABCE4-E09E-4CFB-9406-71E3A486C83C}"/>
    <cellStyle name="Normal 8 2 2 2 2 2 4 2 3" xfId="13341" xr:uid="{143534F8-1D8B-4F8A-99E6-C85DC23D92B2}"/>
    <cellStyle name="Normal 8 2 2 2 2 2 4 3" xfId="6087" xr:uid="{00000000-0005-0000-0000-0000031C0000}"/>
    <cellStyle name="Normal 8 2 2 2 2 2 4 3 2" xfId="15413" xr:uid="{FE2DB949-A514-42BE-876B-1B525D64E2D0}"/>
    <cellStyle name="Normal 8 2 2 2 2 2 4 4" xfId="11196" xr:uid="{6C4FB3D0-5183-46AF-B449-3D04FD4E5F0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13DA7C2E-152A-464F-AB02-EFEA720A3BDE}"/>
    <cellStyle name="Normal 8 2 2 2 2 2 5 2 3" xfId="13754" xr:uid="{90E71DB8-233B-4064-943E-B80223EF2159}"/>
    <cellStyle name="Normal 8 2 2 2 2 2 5 3" xfId="6500" xr:uid="{00000000-0005-0000-0000-0000071C0000}"/>
    <cellStyle name="Normal 8 2 2 2 2 2 5 3 2" xfId="15826" xr:uid="{153CD894-93E4-46D1-A160-D1D185BCB18E}"/>
    <cellStyle name="Normal 8 2 2 2 2 2 5 4" xfId="11609" xr:uid="{3A4CC6F6-F91F-45CB-B7F5-38E895B33E2E}"/>
    <cellStyle name="Normal 8 2 2 2 2 2 6" xfId="2630" xr:uid="{00000000-0005-0000-0000-0000081C0000}"/>
    <cellStyle name="Normal 8 2 2 2 2 2 6 2" xfId="6913" xr:uid="{00000000-0005-0000-0000-0000091C0000}"/>
    <cellStyle name="Normal 8 2 2 2 2 2 6 2 2" xfId="16239" xr:uid="{98FA240E-38D0-405F-A02B-84A5B5B71556}"/>
    <cellStyle name="Normal 8 2 2 2 2 2 6 3" xfId="12022" xr:uid="{AB08A13F-6EFF-4CA3-AA72-B66603C63787}"/>
    <cellStyle name="Normal 8 2 2 2 2 2 7" xfId="4848" xr:uid="{00000000-0005-0000-0000-00000A1C0000}"/>
    <cellStyle name="Normal 8 2 2 2 2 2 7 2" xfId="14174" xr:uid="{30C6AA40-7BE4-4064-8511-64EF9670F8A5}"/>
    <cellStyle name="Normal 8 2 2 2 2 2 8" xfId="9146" xr:uid="{0E570703-055D-406D-8BD9-575AF6037A75}"/>
    <cellStyle name="Normal 8 2 2 2 2 2 8 2" xfId="18470" xr:uid="{C369069C-DB1B-4EE9-B41E-7F1413C3209F}"/>
    <cellStyle name="Normal 8 2 2 2 2 2 9" xfId="9957" xr:uid="{4E3C28D3-736C-4D51-82BC-F6265D51345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846C8BB7-48F6-4D9D-96CC-B81A0F1EB5C2}"/>
    <cellStyle name="Normal 8 2 2 2 2 3 2 3" xfId="12514" xr:uid="{1CD09BEB-1BCF-485C-8DC7-49DD4090285C}"/>
    <cellStyle name="Normal 8 2 2 2 2 3 3" xfId="5260" xr:uid="{00000000-0005-0000-0000-00000E1C0000}"/>
    <cellStyle name="Normal 8 2 2 2 2 3 3 2" xfId="14586" xr:uid="{1D6176D0-4215-4B9D-88B0-65CF12671FCC}"/>
    <cellStyle name="Normal 8 2 2 2 2 3 4" xfId="9364" xr:uid="{21426B7C-FC96-483C-B560-AC4767107497}"/>
    <cellStyle name="Normal 8 2 2 2 2 3 4 2" xfId="18679" xr:uid="{3953DB86-4D40-4B58-B2CE-AF8127984DE7}"/>
    <cellStyle name="Normal 8 2 2 2 2 3 5" xfId="10369" xr:uid="{FF928868-D0BE-4EBD-BA0A-A67D11A3C71C}"/>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E156C88D-3EC3-4727-A601-E8250568F4C3}"/>
    <cellStyle name="Normal 8 2 2 2 2 4 2 3" xfId="12927" xr:uid="{A056FCBD-A97F-444A-8829-6C8DA0EA7B3D}"/>
    <cellStyle name="Normal 8 2 2 2 2 4 3" xfId="5673" xr:uid="{00000000-0005-0000-0000-0000121C0000}"/>
    <cellStyle name="Normal 8 2 2 2 2 4 3 2" xfId="14999" xr:uid="{618F13DD-E5EE-41DA-99A3-89E411748203}"/>
    <cellStyle name="Normal 8 2 2 2 2 4 4" xfId="10782" xr:uid="{0CAF446A-68F8-4696-AE0F-E4301A6700D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7B3FE12D-B2CA-4C20-97C4-E032E70F0A36}"/>
    <cellStyle name="Normal 8 2 2 2 2 5 2 3" xfId="13340" xr:uid="{5BA56407-9B7D-4DCA-AB3B-E4C6A3A36F90}"/>
    <cellStyle name="Normal 8 2 2 2 2 5 3" xfId="6086" xr:uid="{00000000-0005-0000-0000-0000161C0000}"/>
    <cellStyle name="Normal 8 2 2 2 2 5 3 2" xfId="15412" xr:uid="{18D8EF45-9A3F-40BD-9FA6-48D53A8BAAA6}"/>
    <cellStyle name="Normal 8 2 2 2 2 5 4" xfId="11195" xr:uid="{EC120E93-1691-404C-8CDA-E5F6B07941B1}"/>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816D85C9-943D-4989-89EA-694B5A1796D9}"/>
    <cellStyle name="Normal 8 2 2 2 2 6 2 3" xfId="13753" xr:uid="{A527F437-EBA5-474F-A44A-408C4DE3B8EE}"/>
    <cellStyle name="Normal 8 2 2 2 2 6 3" xfId="6499" xr:uid="{00000000-0005-0000-0000-00001A1C0000}"/>
    <cellStyle name="Normal 8 2 2 2 2 6 3 2" xfId="15825" xr:uid="{07DFA843-13A9-441D-A2E5-DEE05691E20F}"/>
    <cellStyle name="Normal 8 2 2 2 2 6 4" xfId="11608" xr:uid="{25D901B8-6256-45FD-9B48-F0E60F0ABA4A}"/>
    <cellStyle name="Normal 8 2 2 2 2 7" xfId="2629" xr:uid="{00000000-0005-0000-0000-00001B1C0000}"/>
    <cellStyle name="Normal 8 2 2 2 2 7 2" xfId="6912" xr:uid="{00000000-0005-0000-0000-00001C1C0000}"/>
    <cellStyle name="Normal 8 2 2 2 2 7 2 2" xfId="16238" xr:uid="{1538DECF-1D4A-4027-BB2A-513CEA62B535}"/>
    <cellStyle name="Normal 8 2 2 2 2 7 3" xfId="12021" xr:uid="{4B76D926-710B-4646-8711-ACE473585E90}"/>
    <cellStyle name="Normal 8 2 2 2 2 8" xfId="4847" xr:uid="{00000000-0005-0000-0000-00001D1C0000}"/>
    <cellStyle name="Normal 8 2 2 2 2 8 2" xfId="14173" xr:uid="{A1B5989B-CD8F-4F6E-8CCC-D3C43FD95867}"/>
    <cellStyle name="Normal 8 2 2 2 2 9" xfId="8939" xr:uid="{385BAC75-25D1-414A-8E33-9B6DCCA130DE}"/>
    <cellStyle name="Normal 8 2 2 2 2 9 2" xfId="18263" xr:uid="{E7A70AF8-B126-49E3-AB62-15EF50F0ECD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45FBFA40-BEE6-4871-BAFB-471E6C2257B6}"/>
    <cellStyle name="Normal 8 2 2 2 3 2 2 3" xfId="12516" xr:uid="{91F60221-061A-458C-A93A-D10B9D361983}"/>
    <cellStyle name="Normal 8 2 2 2 3 2 3" xfId="5262" xr:uid="{00000000-0005-0000-0000-0000221C0000}"/>
    <cellStyle name="Normal 8 2 2 2 3 2 3 2" xfId="14588" xr:uid="{9FF22F26-579A-4551-ABCC-04EE6281B69B}"/>
    <cellStyle name="Normal 8 2 2 2 3 2 4" xfId="9468" xr:uid="{8CC4AD0E-72B4-4935-8967-B171D7B5EF8D}"/>
    <cellStyle name="Normal 8 2 2 2 3 2 4 2" xfId="18783" xr:uid="{F2493CBF-75DB-4522-BE78-6E8CDCBDFC39}"/>
    <cellStyle name="Normal 8 2 2 2 3 2 5" xfId="10371" xr:uid="{248A5F04-A73C-49B0-B477-81D06724D619}"/>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41BE55F8-06A3-4BD1-801B-E5DB6C05EB99}"/>
    <cellStyle name="Normal 8 2 2 2 3 3 2 3" xfId="12929" xr:uid="{F469495E-C47A-4D4E-A7D8-1A01D066B24B}"/>
    <cellStyle name="Normal 8 2 2 2 3 3 3" xfId="5675" xr:uid="{00000000-0005-0000-0000-0000261C0000}"/>
    <cellStyle name="Normal 8 2 2 2 3 3 3 2" xfId="15001" xr:uid="{A25EF0D9-7595-46E3-A122-A3DE150576AF}"/>
    <cellStyle name="Normal 8 2 2 2 3 3 4" xfId="10784" xr:uid="{501BBB9A-67C8-485E-BEAE-39AFAE9341D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A5436608-426F-4891-825B-0A389FC36EB2}"/>
    <cellStyle name="Normal 8 2 2 2 3 4 2 3" xfId="13342" xr:uid="{45F96A07-2C38-46C9-BE53-9605A6CFB2A9}"/>
    <cellStyle name="Normal 8 2 2 2 3 4 3" xfId="6088" xr:uid="{00000000-0005-0000-0000-00002A1C0000}"/>
    <cellStyle name="Normal 8 2 2 2 3 4 3 2" xfId="15414" xr:uid="{65D7453B-0958-404D-AF41-F55B78B58992}"/>
    <cellStyle name="Normal 8 2 2 2 3 4 4" xfId="11197" xr:uid="{961110D0-9A53-4DF8-8507-E9800706877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1965E615-C548-4DC8-B9FE-BC08B9F7DFC1}"/>
    <cellStyle name="Normal 8 2 2 2 3 5 2 3" xfId="13755" xr:uid="{B2038246-1769-4F11-A44E-E0963D73A7B8}"/>
    <cellStyle name="Normal 8 2 2 2 3 5 3" xfId="6501" xr:uid="{00000000-0005-0000-0000-00002E1C0000}"/>
    <cellStyle name="Normal 8 2 2 2 3 5 3 2" xfId="15827" xr:uid="{AE66DBE2-6221-40AD-B372-421C3C1590D6}"/>
    <cellStyle name="Normal 8 2 2 2 3 5 4" xfId="11610" xr:uid="{40D6B24F-7F57-412C-9A85-E1D5F59F747E}"/>
    <cellStyle name="Normal 8 2 2 2 3 6" xfId="2631" xr:uid="{00000000-0005-0000-0000-00002F1C0000}"/>
    <cellStyle name="Normal 8 2 2 2 3 6 2" xfId="6914" xr:uid="{00000000-0005-0000-0000-0000301C0000}"/>
    <cellStyle name="Normal 8 2 2 2 3 6 2 2" xfId="16240" xr:uid="{FEE0030C-0839-4D70-B324-74059CE3F054}"/>
    <cellStyle name="Normal 8 2 2 2 3 6 3" xfId="12023" xr:uid="{19BFCFE6-F38F-4673-B4F7-748BEE277D9F}"/>
    <cellStyle name="Normal 8 2 2 2 3 7" xfId="4849" xr:uid="{00000000-0005-0000-0000-0000311C0000}"/>
    <cellStyle name="Normal 8 2 2 2 3 7 2" xfId="14175" xr:uid="{D1EBC623-8DA7-4F3A-A45D-DDC28D72D3B2}"/>
    <cellStyle name="Normal 8 2 2 2 3 8" xfId="9043" xr:uid="{BAC463DF-40A7-4F07-ADD3-7274E57F505C}"/>
    <cellStyle name="Normal 8 2 2 2 3 8 2" xfId="18367" xr:uid="{24A6C588-2AF2-40CC-8DE3-9721FE2B8BFC}"/>
    <cellStyle name="Normal 8 2 2 2 3 9" xfId="9958" xr:uid="{3AF6A82A-3D4F-451F-8133-155CFF393D33}"/>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64A6E84F-E41D-420E-A032-FBD9EBDBF1D5}"/>
    <cellStyle name="Normal 8 2 2 2 4 2 3" xfId="12513" xr:uid="{00C97D69-8986-4196-89D7-4A356CE6DFB7}"/>
    <cellStyle name="Normal 8 2 2 2 4 3" xfId="5259" xr:uid="{00000000-0005-0000-0000-0000351C0000}"/>
    <cellStyle name="Normal 8 2 2 2 4 3 2" xfId="14585" xr:uid="{161CA6E3-76F2-4922-BEDE-37F3BA0562A6}"/>
    <cellStyle name="Normal 8 2 2 2 4 4" xfId="9261" xr:uid="{70C29865-A6DE-4682-9EB1-83E4E07FD0A7}"/>
    <cellStyle name="Normal 8 2 2 2 4 4 2" xfId="18576" xr:uid="{8A62F584-E609-4CB2-B579-10038D85761B}"/>
    <cellStyle name="Normal 8 2 2 2 4 5" xfId="10368" xr:uid="{A3902B7B-747C-4F4A-8575-0E43B1FD7693}"/>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DEADD29D-82CE-4970-85CC-8AD9B7CF66F8}"/>
    <cellStyle name="Normal 8 2 2 2 5 2 3" xfId="12926" xr:uid="{B5D46441-D359-4575-A736-4897234004AC}"/>
    <cellStyle name="Normal 8 2 2 2 5 3" xfId="5672" xr:uid="{00000000-0005-0000-0000-0000391C0000}"/>
    <cellStyle name="Normal 8 2 2 2 5 3 2" xfId="14998" xr:uid="{B13EAE51-9B7A-4A5E-B25C-DC9925E6FB8F}"/>
    <cellStyle name="Normal 8 2 2 2 5 4" xfId="10781" xr:uid="{B32A662F-D290-452F-8284-FF8414943AA6}"/>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C53D61BA-006F-43CC-85FD-6076684E19D7}"/>
    <cellStyle name="Normal 8 2 2 2 6 2 3" xfId="13339" xr:uid="{D2625C33-07DD-463C-BD03-35D290A1E6C9}"/>
    <cellStyle name="Normal 8 2 2 2 6 3" xfId="6085" xr:uid="{00000000-0005-0000-0000-00003D1C0000}"/>
    <cellStyle name="Normal 8 2 2 2 6 3 2" xfId="15411" xr:uid="{4F2AA1E1-B415-477C-BC68-6FC17B4D1BE2}"/>
    <cellStyle name="Normal 8 2 2 2 6 4" xfId="11194" xr:uid="{E3A61099-EECF-482B-8289-9EAEC740191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F654530A-30BE-45D0-B42B-95644253B7F3}"/>
    <cellStyle name="Normal 8 2 2 2 7 2 3" xfId="13752" xr:uid="{E412D2C1-6A5F-4A11-AD1A-2CDDEEFE2B52}"/>
    <cellStyle name="Normal 8 2 2 2 7 3" xfId="6498" xr:uid="{00000000-0005-0000-0000-0000411C0000}"/>
    <cellStyle name="Normal 8 2 2 2 7 3 2" xfId="15824" xr:uid="{AAD5A67B-6564-42B1-AE0C-7CD7C1C917F7}"/>
    <cellStyle name="Normal 8 2 2 2 7 4" xfId="11607" xr:uid="{A6BA5244-AAA8-483F-8EDF-50407A65DC8C}"/>
    <cellStyle name="Normal 8 2 2 2 8" xfId="2628" xr:uid="{00000000-0005-0000-0000-0000421C0000}"/>
    <cellStyle name="Normal 8 2 2 2 8 2" xfId="6911" xr:uid="{00000000-0005-0000-0000-0000431C0000}"/>
    <cellStyle name="Normal 8 2 2 2 8 2 2" xfId="16237" xr:uid="{CF087C18-5D73-4508-BB8B-C949791A3AFC}"/>
    <cellStyle name="Normal 8 2 2 2 8 3" xfId="12020" xr:uid="{C244C6BC-2C4F-492E-96AD-536A905A8292}"/>
    <cellStyle name="Normal 8 2 2 2 9" xfId="4846" xr:uid="{00000000-0005-0000-0000-0000441C0000}"/>
    <cellStyle name="Normal 8 2 2 2 9 2" xfId="14172" xr:uid="{440BCE43-3547-4CF1-B586-D3F5B2B07030}"/>
    <cellStyle name="Normal 8 2 2 3" xfId="485" xr:uid="{00000000-0005-0000-0000-0000451C0000}"/>
    <cellStyle name="Normal 8 2 2 3 10" xfId="9959" xr:uid="{89A99840-7EC4-4330-B5C3-7EE620A5500E}"/>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1C404661-FC4D-4BFA-9780-9261468320D6}"/>
    <cellStyle name="Normal 8 2 2 3 2 2 2 3" xfId="12518" xr:uid="{1B0CA49F-E355-46D2-8009-429AC717F72A}"/>
    <cellStyle name="Normal 8 2 2 3 2 2 3" xfId="5264" xr:uid="{00000000-0005-0000-0000-00004A1C0000}"/>
    <cellStyle name="Normal 8 2 2 3 2 2 3 2" xfId="14590" xr:uid="{83503FDE-5A26-43E1-A350-6FE7290EFEFC}"/>
    <cellStyle name="Normal 8 2 2 3 2 2 4" xfId="9518" xr:uid="{FDE93D5E-A6D1-456B-8726-FC2AB8FD16A4}"/>
    <cellStyle name="Normal 8 2 2 3 2 2 4 2" xfId="18833" xr:uid="{D1C9ECEE-9C97-4D34-A497-7A532C6EE765}"/>
    <cellStyle name="Normal 8 2 2 3 2 2 5" xfId="10373" xr:uid="{1CEDD96A-6570-4A14-9492-79AE3809A42D}"/>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16E13A09-DEAD-4C21-B74D-051B10CB9294}"/>
    <cellStyle name="Normal 8 2 2 3 2 3 2 3" xfId="12931" xr:uid="{0159C825-E189-41A1-8D92-E90217585CD2}"/>
    <cellStyle name="Normal 8 2 2 3 2 3 3" xfId="5677" xr:uid="{00000000-0005-0000-0000-00004E1C0000}"/>
    <cellStyle name="Normal 8 2 2 3 2 3 3 2" xfId="15003" xr:uid="{FA87A054-F315-46B5-B2D2-AF1D62C3002B}"/>
    <cellStyle name="Normal 8 2 2 3 2 3 4" xfId="10786" xr:uid="{CC3D31EF-5309-4930-BEAF-E5A9F0FF4E3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7A9F6AEE-3BAF-4D9F-98AC-78CD0D3103A8}"/>
    <cellStyle name="Normal 8 2 2 3 2 4 2 3" xfId="13344" xr:uid="{7D26B51F-CE96-4A64-8848-ABB6F2493B39}"/>
    <cellStyle name="Normal 8 2 2 3 2 4 3" xfId="6090" xr:uid="{00000000-0005-0000-0000-0000521C0000}"/>
    <cellStyle name="Normal 8 2 2 3 2 4 3 2" xfId="15416" xr:uid="{AAA3EF26-7955-4E08-A0B8-BAD2A62AFB66}"/>
    <cellStyle name="Normal 8 2 2 3 2 4 4" xfId="11199" xr:uid="{24D9EFE0-877C-4C46-A565-0AA38CAC61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34A1D605-00F6-401C-8581-ADE8C7D7E0E9}"/>
    <cellStyle name="Normal 8 2 2 3 2 5 2 3" xfId="13757" xr:uid="{06B6DD70-F358-4CF3-93AA-74BFE93D4554}"/>
    <cellStyle name="Normal 8 2 2 3 2 5 3" xfId="6503" xr:uid="{00000000-0005-0000-0000-0000561C0000}"/>
    <cellStyle name="Normal 8 2 2 3 2 5 3 2" xfId="15829" xr:uid="{561C2938-7FFD-46BD-AF7C-2E393080DDF0}"/>
    <cellStyle name="Normal 8 2 2 3 2 5 4" xfId="11612" xr:uid="{258B19AE-B5AE-440B-805F-145587BFF35B}"/>
    <cellStyle name="Normal 8 2 2 3 2 6" xfId="2633" xr:uid="{00000000-0005-0000-0000-0000571C0000}"/>
    <cellStyle name="Normal 8 2 2 3 2 6 2" xfId="6916" xr:uid="{00000000-0005-0000-0000-0000581C0000}"/>
    <cellStyle name="Normal 8 2 2 3 2 6 2 2" xfId="16242" xr:uid="{AA72DE05-1623-41D3-8D81-206E038DAD89}"/>
    <cellStyle name="Normal 8 2 2 3 2 6 3" xfId="12025" xr:uid="{DF0A85E5-6AA3-4987-888A-D0450F139785}"/>
    <cellStyle name="Normal 8 2 2 3 2 7" xfId="4851" xr:uid="{00000000-0005-0000-0000-0000591C0000}"/>
    <cellStyle name="Normal 8 2 2 3 2 7 2" xfId="14177" xr:uid="{A374C779-1F3E-4712-97DE-FA4EF0ABA94F}"/>
    <cellStyle name="Normal 8 2 2 3 2 8" xfId="9093" xr:uid="{ADE34C72-BCCB-477C-B66A-BE7159CEB281}"/>
    <cellStyle name="Normal 8 2 2 3 2 8 2" xfId="18417" xr:uid="{38E2C291-5778-400E-A199-3DF893CA4FEA}"/>
    <cellStyle name="Normal 8 2 2 3 2 9" xfId="9960" xr:uid="{CBD25E7F-9AF2-4E11-AF6B-CEDD1DFB39D5}"/>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FB8C76F9-FF04-4968-BBB4-D096187C8AA4}"/>
    <cellStyle name="Normal 8 2 2 3 3 2 3" xfId="12517" xr:uid="{D22C1A15-D03B-4D41-803C-5209C73B8B30}"/>
    <cellStyle name="Normal 8 2 2 3 3 3" xfId="5263" xr:uid="{00000000-0005-0000-0000-00005D1C0000}"/>
    <cellStyle name="Normal 8 2 2 3 3 3 2" xfId="14589" xr:uid="{8B8F7DD9-D225-4B2B-9BBA-02F42E2EF1B7}"/>
    <cellStyle name="Normal 8 2 2 3 3 4" xfId="9311" xr:uid="{F4618F1E-1235-4269-B5C6-B09BE5034F6C}"/>
    <cellStyle name="Normal 8 2 2 3 3 4 2" xfId="18626" xr:uid="{189DE233-B444-4502-A90E-18CA66B96043}"/>
    <cellStyle name="Normal 8 2 2 3 3 5" xfId="10372" xr:uid="{4FC85316-E20C-42E1-AA3C-90AECF43F62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814BDB1E-F5F2-4067-BE46-3E664EE5EAA9}"/>
    <cellStyle name="Normal 8 2 2 3 4 2 3" xfId="12930" xr:uid="{8F89844E-7FEC-4626-BCBC-58E042126718}"/>
    <cellStyle name="Normal 8 2 2 3 4 3" xfId="5676" xr:uid="{00000000-0005-0000-0000-0000611C0000}"/>
    <cellStyle name="Normal 8 2 2 3 4 3 2" xfId="15002" xr:uid="{2D721ADA-F908-444B-A5A8-47D2E9D7DB16}"/>
    <cellStyle name="Normal 8 2 2 3 4 4" xfId="10785" xr:uid="{EFD476A7-FC59-4F0A-B84D-FAC9BDDBCC5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2ABEACAB-59C4-438A-81ED-928581F3B866}"/>
    <cellStyle name="Normal 8 2 2 3 5 2 3" xfId="13343" xr:uid="{3A340022-CAEC-45C9-9978-2B84EEA98254}"/>
    <cellStyle name="Normal 8 2 2 3 5 3" xfId="6089" xr:uid="{00000000-0005-0000-0000-0000651C0000}"/>
    <cellStyle name="Normal 8 2 2 3 5 3 2" xfId="15415" xr:uid="{9EFF35BC-12C9-4D4E-8EF5-BC5426A43F2C}"/>
    <cellStyle name="Normal 8 2 2 3 5 4" xfId="11198" xr:uid="{DED5CFB7-F7A9-4918-BC1A-423EC28043C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33DFBF31-5DBA-49CE-86AC-D3D4DD3FAB93}"/>
    <cellStyle name="Normal 8 2 2 3 6 2 3" xfId="13756" xr:uid="{69016D8D-EAF4-426E-98CC-AD89AA6D8B38}"/>
    <cellStyle name="Normal 8 2 2 3 6 3" xfId="6502" xr:uid="{00000000-0005-0000-0000-0000691C0000}"/>
    <cellStyle name="Normal 8 2 2 3 6 3 2" xfId="15828" xr:uid="{5F499273-4449-4824-8ED7-B1CF7339A8A2}"/>
    <cellStyle name="Normal 8 2 2 3 6 4" xfId="11611" xr:uid="{4943A7F7-77FC-4FDF-B57B-60194D5AA33F}"/>
    <cellStyle name="Normal 8 2 2 3 7" xfId="2632" xr:uid="{00000000-0005-0000-0000-00006A1C0000}"/>
    <cellStyle name="Normal 8 2 2 3 7 2" xfId="6915" xr:uid="{00000000-0005-0000-0000-00006B1C0000}"/>
    <cellStyle name="Normal 8 2 2 3 7 2 2" xfId="16241" xr:uid="{01329AA6-8978-4622-890E-F2CAC48BE5EA}"/>
    <cellStyle name="Normal 8 2 2 3 7 3" xfId="12024" xr:uid="{744A55A3-36EA-43A1-A609-01E59A9973EF}"/>
    <cellStyle name="Normal 8 2 2 3 8" xfId="4850" xr:uid="{00000000-0005-0000-0000-00006C1C0000}"/>
    <cellStyle name="Normal 8 2 2 3 8 2" xfId="14176" xr:uid="{A5F1C28D-8B98-467B-81E6-0D724A87DF85}"/>
    <cellStyle name="Normal 8 2 2 3 9" xfId="8886" xr:uid="{B2A45ACA-2377-4A40-A818-E7106AD46E30}"/>
    <cellStyle name="Normal 8 2 2 3 9 2" xfId="18210" xr:uid="{5B00AE9B-7720-4F91-AEBA-4B71EB2DA27C}"/>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5EFEAE5A-E986-4E15-8862-A6241F9B0EE4}"/>
    <cellStyle name="Normal 8 2 2 4 2 2 3" xfId="12519" xr:uid="{FD4A25E2-F71A-4F2F-B0B1-D2761FE364B0}"/>
    <cellStyle name="Normal 8 2 2 4 2 3" xfId="5265" xr:uid="{00000000-0005-0000-0000-0000711C0000}"/>
    <cellStyle name="Normal 8 2 2 4 2 3 2" xfId="14591" xr:uid="{03553134-01F1-42D0-95A7-29CF980B8EA9}"/>
    <cellStyle name="Normal 8 2 2 4 2 4" xfId="9415" xr:uid="{88D7FF95-DEA9-4369-BE01-487FC7B2B7E8}"/>
    <cellStyle name="Normal 8 2 2 4 2 4 2" xfId="18730" xr:uid="{B0809C66-9022-42AE-A85D-F4B071DF29B0}"/>
    <cellStyle name="Normal 8 2 2 4 2 5" xfId="10374" xr:uid="{16DF61F9-E8AA-46AD-B261-19FC701A974B}"/>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D8126A95-4F0E-48CE-AC59-7A6D42DF9B82}"/>
    <cellStyle name="Normal 8 2 2 4 3 2 3" xfId="12932" xr:uid="{14EEA1AA-1FEC-4D42-9CFB-9E3B3B5222D8}"/>
    <cellStyle name="Normal 8 2 2 4 3 3" xfId="5678" xr:uid="{00000000-0005-0000-0000-0000751C0000}"/>
    <cellStyle name="Normal 8 2 2 4 3 3 2" xfId="15004" xr:uid="{B57425E3-0318-4758-8BE2-86BFDAC3E3AE}"/>
    <cellStyle name="Normal 8 2 2 4 3 4" xfId="10787" xr:uid="{846C0A9E-BF13-4C82-9BB8-FFD3E99BDA3D}"/>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5FB1E9AE-7E8A-430B-BD1F-C4DC7BF456F0}"/>
    <cellStyle name="Normal 8 2 2 4 4 2 3" xfId="13345" xr:uid="{CA2ACCD4-8DD6-4B9A-AFDC-C3C8E4D4C9DB}"/>
    <cellStyle name="Normal 8 2 2 4 4 3" xfId="6091" xr:uid="{00000000-0005-0000-0000-0000791C0000}"/>
    <cellStyle name="Normal 8 2 2 4 4 3 2" xfId="15417" xr:uid="{EDC35B9A-B5B9-4BF4-8E46-7B3FF6F7E881}"/>
    <cellStyle name="Normal 8 2 2 4 4 4" xfId="11200" xr:uid="{9613D802-9182-4632-9825-EF9E72B97EC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A3953546-4221-4DFA-BCEE-ED3AF30305E1}"/>
    <cellStyle name="Normal 8 2 2 4 5 2 3" xfId="13758" xr:uid="{F9F7ED04-1B78-4A8A-9DA4-6F0893455BDE}"/>
    <cellStyle name="Normal 8 2 2 4 5 3" xfId="6504" xr:uid="{00000000-0005-0000-0000-00007D1C0000}"/>
    <cellStyle name="Normal 8 2 2 4 5 3 2" xfId="15830" xr:uid="{C587767F-BE5B-4125-8DAB-20CBAC94DB96}"/>
    <cellStyle name="Normal 8 2 2 4 5 4" xfId="11613" xr:uid="{DAAFB4D7-12F6-4A5F-AC8B-7C43274B79BA}"/>
    <cellStyle name="Normal 8 2 2 4 6" xfId="2634" xr:uid="{00000000-0005-0000-0000-00007E1C0000}"/>
    <cellStyle name="Normal 8 2 2 4 6 2" xfId="6917" xr:uid="{00000000-0005-0000-0000-00007F1C0000}"/>
    <cellStyle name="Normal 8 2 2 4 6 2 2" xfId="16243" xr:uid="{C622F270-E602-4993-A403-847A49D0195F}"/>
    <cellStyle name="Normal 8 2 2 4 6 3" xfId="12026" xr:uid="{F6C62C0E-5CF8-4F8B-9C29-36A0ED28131D}"/>
    <cellStyle name="Normal 8 2 2 4 7" xfId="4852" xr:uid="{00000000-0005-0000-0000-0000801C0000}"/>
    <cellStyle name="Normal 8 2 2 4 7 2" xfId="14178" xr:uid="{38783FD4-C0FF-409F-9BCA-A821DD6DA73B}"/>
    <cellStyle name="Normal 8 2 2 4 8" xfId="8990" xr:uid="{F08D85C9-EB04-4227-BEA0-1B51DDB63DFA}"/>
    <cellStyle name="Normal 8 2 2 4 8 2" xfId="18314" xr:uid="{1DE53150-B67B-400F-8BA8-1C97F7199CED}"/>
    <cellStyle name="Normal 8 2 2 4 9" xfId="9961" xr:uid="{CE8EB594-C40F-4C05-919B-C9C4D841DE08}"/>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C127164C-F10B-458B-B295-1F244239F625}"/>
    <cellStyle name="Normal 8 2 2 5 2 3" xfId="12512" xr:uid="{81A7018B-0C0E-4535-8EC6-D8596BAAA4C1}"/>
    <cellStyle name="Normal 8 2 2 5 3" xfId="5258" xr:uid="{00000000-0005-0000-0000-0000841C0000}"/>
    <cellStyle name="Normal 8 2 2 5 3 2" xfId="14584" xr:uid="{9A715AFB-BFC1-4B46-B2FF-809FF658E797}"/>
    <cellStyle name="Normal 8 2 2 5 4" xfId="9207" xr:uid="{D4CDC4D2-5794-400F-B850-1B259D26C1FE}"/>
    <cellStyle name="Normal 8 2 2 5 4 2" xfId="18523" xr:uid="{F456769A-2BB7-4007-94D6-2CA7108D8688}"/>
    <cellStyle name="Normal 8 2 2 5 5" xfId="10367" xr:uid="{0DAA9C64-12E8-457D-804D-3FCF65D658B4}"/>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032C0EAB-0984-443B-AC8B-C53AF258A547}"/>
    <cellStyle name="Normal 8 2 2 6 2 3" xfId="12925" xr:uid="{A607F9CD-B23E-47B7-8EA5-962A85D5968F}"/>
    <cellStyle name="Normal 8 2 2 6 3" xfId="5671" xr:uid="{00000000-0005-0000-0000-0000881C0000}"/>
    <cellStyle name="Normal 8 2 2 6 3 2" xfId="14997" xr:uid="{7E785EDF-8444-4FEB-A2DB-C7F2FFDF7454}"/>
    <cellStyle name="Normal 8 2 2 6 4" xfId="10780" xr:uid="{2E5F1702-F3DD-4523-B92F-A37094E7E2FB}"/>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45301ADE-7B69-4B2F-A0FC-365A84186361}"/>
    <cellStyle name="Normal 8 2 2 7 2 3" xfId="13338" xr:uid="{104DDF08-4049-4D9F-A1EF-908F94558CF6}"/>
    <cellStyle name="Normal 8 2 2 7 3" xfId="6084" xr:uid="{00000000-0005-0000-0000-00008C1C0000}"/>
    <cellStyle name="Normal 8 2 2 7 3 2" xfId="15410" xr:uid="{07DAE7A2-398A-4CC5-B2B4-FAB4858A4C24}"/>
    <cellStyle name="Normal 8 2 2 7 4" xfId="11193" xr:uid="{CB382054-C81E-4722-9F54-4DDDE415B261}"/>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88519D0C-2943-4527-8D91-4F42174E5567}"/>
    <cellStyle name="Normal 8 2 2 8 2 3" xfId="13751" xr:uid="{840CBE7D-440C-4822-8189-E3EBEA44BBCE}"/>
    <cellStyle name="Normal 8 2 2 8 3" xfId="6497" xr:uid="{00000000-0005-0000-0000-0000901C0000}"/>
    <cellStyle name="Normal 8 2 2 8 3 2" xfId="15823" xr:uid="{1220E2E0-FFF7-40AA-8B3A-00A69F09C0F5}"/>
    <cellStyle name="Normal 8 2 2 8 4" xfId="11606" xr:uid="{7F6857C7-785A-40DC-87AD-2C72D2EEDF12}"/>
    <cellStyle name="Normal 8 2 2 9" xfId="2627" xr:uid="{00000000-0005-0000-0000-0000911C0000}"/>
    <cellStyle name="Normal 8 2 2 9 2" xfId="6910" xr:uid="{00000000-0005-0000-0000-0000921C0000}"/>
    <cellStyle name="Normal 8 2 2 9 2 2" xfId="16236" xr:uid="{11D56E84-9BCC-4828-B35F-749E7C7386F4}"/>
    <cellStyle name="Normal 8 2 2 9 3" xfId="12019" xr:uid="{387C8C40-31DC-41FC-AFC7-64E08FF6B160}"/>
    <cellStyle name="Normal 8 2 3" xfId="488" xr:uid="{00000000-0005-0000-0000-0000931C0000}"/>
    <cellStyle name="Normal 8 2 3 10" xfId="8835" xr:uid="{2F0FB8B3-D08B-41EB-93AB-2D83A1BD6036}"/>
    <cellStyle name="Normal 8 2 3 10 2" xfId="18159" xr:uid="{48534A48-F765-4A2E-96A7-3C9A8A0185FA}"/>
    <cellStyle name="Normal 8 2 3 11" xfId="9962" xr:uid="{FC4CBC1F-CBE9-44CF-8EA2-FF0CB9FCE2A2}"/>
    <cellStyle name="Normal 8 2 3 2" xfId="489" xr:uid="{00000000-0005-0000-0000-0000941C0000}"/>
    <cellStyle name="Normal 8 2 3 2 10" xfId="9963" xr:uid="{DD777EE0-2868-4228-A940-CB69B619F20D}"/>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649FC4BC-0FC7-41A9-94D9-A53A86EF88E5}"/>
    <cellStyle name="Normal 8 2 3 2 2 2 2 3" xfId="12522" xr:uid="{546F3CB1-6892-4B0D-B79E-6DBEC0763F39}"/>
    <cellStyle name="Normal 8 2 3 2 2 2 3" xfId="5268" xr:uid="{00000000-0005-0000-0000-0000991C0000}"/>
    <cellStyle name="Normal 8 2 3 2 2 2 3 2" xfId="14594" xr:uid="{8656FBB4-0D37-4DEF-986B-5DBCBEDC4535}"/>
    <cellStyle name="Normal 8 2 3 2 2 2 4" xfId="9570" xr:uid="{BA9732E0-D9E4-47DB-882D-D871A821FA55}"/>
    <cellStyle name="Normal 8 2 3 2 2 2 4 2" xfId="18885" xr:uid="{AF93FEA1-8A6A-4BBB-A890-2EDE266E6FE3}"/>
    <cellStyle name="Normal 8 2 3 2 2 2 5" xfId="10377" xr:uid="{3E74A74E-76EF-4AB2-9F15-006DAFF648FD}"/>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EA1CF50E-1B23-49CD-BA72-1B79D6F3ADA6}"/>
    <cellStyle name="Normal 8 2 3 2 2 3 2 3" xfId="12935" xr:uid="{850A7CB7-876B-4B66-A512-162E60701DBC}"/>
    <cellStyle name="Normal 8 2 3 2 2 3 3" xfId="5681" xr:uid="{00000000-0005-0000-0000-00009D1C0000}"/>
    <cellStyle name="Normal 8 2 3 2 2 3 3 2" xfId="15007" xr:uid="{6B30ABF1-F903-4AE4-88D5-27E45F047BA2}"/>
    <cellStyle name="Normal 8 2 3 2 2 3 4" xfId="10790" xr:uid="{4C204C8E-9D83-402C-9802-3F47BC51BC3F}"/>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0B08EEA3-25A4-4078-B1E6-379E54211E63}"/>
    <cellStyle name="Normal 8 2 3 2 2 4 2 3" xfId="13348" xr:uid="{21563CF3-1753-426E-9ECD-2DD98400149A}"/>
    <cellStyle name="Normal 8 2 3 2 2 4 3" xfId="6094" xr:uid="{00000000-0005-0000-0000-0000A11C0000}"/>
    <cellStyle name="Normal 8 2 3 2 2 4 3 2" xfId="15420" xr:uid="{B3FD2A45-7F0F-4DF2-90B0-80F8696D96A2}"/>
    <cellStyle name="Normal 8 2 3 2 2 4 4" xfId="11203" xr:uid="{65A26CB6-42A4-48DD-9779-6DF289EDC48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B0C9775D-2192-42E4-9617-0D82822D549D}"/>
    <cellStyle name="Normal 8 2 3 2 2 5 2 3" xfId="13761" xr:uid="{65E3AF0F-C37A-4F37-A335-6E7424EB5963}"/>
    <cellStyle name="Normal 8 2 3 2 2 5 3" xfId="6507" xr:uid="{00000000-0005-0000-0000-0000A51C0000}"/>
    <cellStyle name="Normal 8 2 3 2 2 5 3 2" xfId="15833" xr:uid="{262FDB9E-1130-4AC0-B05C-89341FBE4F6F}"/>
    <cellStyle name="Normal 8 2 3 2 2 5 4" xfId="11616" xr:uid="{3A7FDE1B-BA11-4150-A804-1354CD02EC12}"/>
    <cellStyle name="Normal 8 2 3 2 2 6" xfId="2637" xr:uid="{00000000-0005-0000-0000-0000A61C0000}"/>
    <cellStyle name="Normal 8 2 3 2 2 6 2" xfId="6920" xr:uid="{00000000-0005-0000-0000-0000A71C0000}"/>
    <cellStyle name="Normal 8 2 3 2 2 6 2 2" xfId="16246" xr:uid="{38E678C0-C7A8-4CB3-889C-43D86080BB73}"/>
    <cellStyle name="Normal 8 2 3 2 2 6 3" xfId="12029" xr:uid="{3E747CD8-C4BB-4587-A2BB-9CBFADD14FA8}"/>
    <cellStyle name="Normal 8 2 3 2 2 7" xfId="4855" xr:uid="{00000000-0005-0000-0000-0000A81C0000}"/>
    <cellStyle name="Normal 8 2 3 2 2 7 2" xfId="14181" xr:uid="{77DB0376-4F00-47A3-8EB6-8E69BEB0CCF6}"/>
    <cellStyle name="Normal 8 2 3 2 2 8" xfId="9145" xr:uid="{C71E6005-187D-4837-92B4-619AF06B3A3B}"/>
    <cellStyle name="Normal 8 2 3 2 2 8 2" xfId="18469" xr:uid="{6A52EBC5-2691-4B9F-B024-C1298FA3C7C2}"/>
    <cellStyle name="Normal 8 2 3 2 2 9" xfId="9964" xr:uid="{0FE263D6-275B-4F1B-886F-B25FF9489D1A}"/>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33947C7D-F1AE-4B7F-8B9C-F87FFFA0EE24}"/>
    <cellStyle name="Normal 8 2 3 2 3 2 3" xfId="12521" xr:uid="{F36EEC1B-2B23-4310-9F35-E79CA758A29C}"/>
    <cellStyle name="Normal 8 2 3 2 3 3" xfId="5267" xr:uid="{00000000-0005-0000-0000-0000AC1C0000}"/>
    <cellStyle name="Normal 8 2 3 2 3 3 2" xfId="14593" xr:uid="{FD869EBE-717E-476C-932E-CA2AF0DEB5F0}"/>
    <cellStyle name="Normal 8 2 3 2 3 4" xfId="9363" xr:uid="{C94C6C98-A8BC-4AC9-B084-0D2219E89AA8}"/>
    <cellStyle name="Normal 8 2 3 2 3 4 2" xfId="18678" xr:uid="{905506C2-81D0-4267-8F01-92D565C27CE3}"/>
    <cellStyle name="Normal 8 2 3 2 3 5" xfId="10376" xr:uid="{438EC4AB-3070-4A97-99D3-BBC8C2B753C6}"/>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D878AEB2-A68F-42B3-9A82-4F6D2909E6AB}"/>
    <cellStyle name="Normal 8 2 3 2 4 2 3" xfId="12934" xr:uid="{712B9D35-FB75-4BAB-A70C-7F534E431227}"/>
    <cellStyle name="Normal 8 2 3 2 4 3" xfId="5680" xr:uid="{00000000-0005-0000-0000-0000B01C0000}"/>
    <cellStyle name="Normal 8 2 3 2 4 3 2" xfId="15006" xr:uid="{1646F3B2-C713-4AEF-9EA1-A0529CEC456A}"/>
    <cellStyle name="Normal 8 2 3 2 4 4" xfId="10789" xr:uid="{3349FEE1-9D49-43CE-9FBC-25FA7B6ACD6E}"/>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7CC68CDE-8FD9-4E95-A329-B1752807B632}"/>
    <cellStyle name="Normal 8 2 3 2 5 2 3" xfId="13347" xr:uid="{E5C88879-E918-4719-8EFD-480F54EFE1C4}"/>
    <cellStyle name="Normal 8 2 3 2 5 3" xfId="6093" xr:uid="{00000000-0005-0000-0000-0000B41C0000}"/>
    <cellStyle name="Normal 8 2 3 2 5 3 2" xfId="15419" xr:uid="{3F9CA1AE-B890-46F3-9183-342235B39E6A}"/>
    <cellStyle name="Normal 8 2 3 2 5 4" xfId="11202" xr:uid="{13FC73E5-C1F2-4800-A836-D6F7D5A4DF06}"/>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9C5D8318-C677-4489-886B-9685CD3778DF}"/>
    <cellStyle name="Normal 8 2 3 2 6 2 3" xfId="13760" xr:uid="{863F4262-E030-46A5-9191-A1BFBD1CE3EF}"/>
    <cellStyle name="Normal 8 2 3 2 6 3" xfId="6506" xr:uid="{00000000-0005-0000-0000-0000B81C0000}"/>
    <cellStyle name="Normal 8 2 3 2 6 3 2" xfId="15832" xr:uid="{A67A8059-B37C-42B7-887B-5354393C4E4A}"/>
    <cellStyle name="Normal 8 2 3 2 6 4" xfId="11615" xr:uid="{23BB1D57-74E8-49B3-83E5-6997426B66BE}"/>
    <cellStyle name="Normal 8 2 3 2 7" xfId="2636" xr:uid="{00000000-0005-0000-0000-0000B91C0000}"/>
    <cellStyle name="Normal 8 2 3 2 7 2" xfId="6919" xr:uid="{00000000-0005-0000-0000-0000BA1C0000}"/>
    <cellStyle name="Normal 8 2 3 2 7 2 2" xfId="16245" xr:uid="{900876BC-C8B0-4303-85FB-DAC0E44D0658}"/>
    <cellStyle name="Normal 8 2 3 2 7 3" xfId="12028" xr:uid="{3604D6B1-A2BD-4DC4-A591-3005EE42E671}"/>
    <cellStyle name="Normal 8 2 3 2 8" xfId="4854" xr:uid="{00000000-0005-0000-0000-0000BB1C0000}"/>
    <cellStyle name="Normal 8 2 3 2 8 2" xfId="14180" xr:uid="{E45FB6D9-2B11-4D58-A534-14258DB18F74}"/>
    <cellStyle name="Normal 8 2 3 2 9" xfId="8938" xr:uid="{1EAF77CE-4DC3-40DC-AA9D-31320D478EE9}"/>
    <cellStyle name="Normal 8 2 3 2 9 2" xfId="18262" xr:uid="{4D9714F7-A8B8-4D9C-A87C-53AD397CF228}"/>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6CFEBE98-BC52-4C2B-89D7-726D383300B1}"/>
    <cellStyle name="Normal 8 2 3 3 2 2 3" xfId="12523" xr:uid="{789494A4-F423-4862-9BB9-637E330238CD}"/>
    <cellStyle name="Normal 8 2 3 3 2 3" xfId="5269" xr:uid="{00000000-0005-0000-0000-0000C01C0000}"/>
    <cellStyle name="Normal 8 2 3 3 2 3 2" xfId="14595" xr:uid="{FB7D3CCF-669B-49E5-A820-145B1CD59E09}"/>
    <cellStyle name="Normal 8 2 3 3 2 4" xfId="9467" xr:uid="{C16001D7-8508-4511-808F-E990F8EA0FE3}"/>
    <cellStyle name="Normal 8 2 3 3 2 4 2" xfId="18782" xr:uid="{30AC12A3-71E0-455B-8FCE-DB7268B8120E}"/>
    <cellStyle name="Normal 8 2 3 3 2 5" xfId="10378" xr:uid="{1659469F-2402-4151-93F0-FF907659FCC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3A9E8787-7068-4126-8AB7-459628ABFA5C}"/>
    <cellStyle name="Normal 8 2 3 3 3 2 3" xfId="12936" xr:uid="{33B1E737-B08B-4538-AE91-08DC4EBCC82D}"/>
    <cellStyle name="Normal 8 2 3 3 3 3" xfId="5682" xr:uid="{00000000-0005-0000-0000-0000C41C0000}"/>
    <cellStyle name="Normal 8 2 3 3 3 3 2" xfId="15008" xr:uid="{D86AA440-72C8-423A-9CA6-02568D8C5EB1}"/>
    <cellStyle name="Normal 8 2 3 3 3 4" xfId="10791" xr:uid="{CE235D1A-021B-4BA5-B33E-A7DAF6CFCD0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5F04F9B6-FF69-419F-82CD-A4660E5585B6}"/>
    <cellStyle name="Normal 8 2 3 3 4 2 3" xfId="13349" xr:uid="{D6634FF7-6381-4621-8375-744FC2ED4B7F}"/>
    <cellStyle name="Normal 8 2 3 3 4 3" xfId="6095" xr:uid="{00000000-0005-0000-0000-0000C81C0000}"/>
    <cellStyle name="Normal 8 2 3 3 4 3 2" xfId="15421" xr:uid="{17ABB645-8980-451C-B749-4C4007FDDB3A}"/>
    <cellStyle name="Normal 8 2 3 3 4 4" xfId="11204" xr:uid="{4DC99FFF-4DF7-40E8-B21B-B83FF49EF7D7}"/>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F345C8C6-2719-4AD2-B9C2-501FBEAF8877}"/>
    <cellStyle name="Normal 8 2 3 3 5 2 3" xfId="13762" xr:uid="{A1AEB5BE-CA8B-4550-9D6C-E6E92E78103A}"/>
    <cellStyle name="Normal 8 2 3 3 5 3" xfId="6508" xr:uid="{00000000-0005-0000-0000-0000CC1C0000}"/>
    <cellStyle name="Normal 8 2 3 3 5 3 2" xfId="15834" xr:uid="{53F8AEF7-BC78-4FE3-A35A-1A3530BCBB29}"/>
    <cellStyle name="Normal 8 2 3 3 5 4" xfId="11617" xr:uid="{42394076-4C35-4C5B-B1CD-13B5741DF48B}"/>
    <cellStyle name="Normal 8 2 3 3 6" xfId="2638" xr:uid="{00000000-0005-0000-0000-0000CD1C0000}"/>
    <cellStyle name="Normal 8 2 3 3 6 2" xfId="6921" xr:uid="{00000000-0005-0000-0000-0000CE1C0000}"/>
    <cellStyle name="Normal 8 2 3 3 6 2 2" xfId="16247" xr:uid="{1EB7E89B-3261-4F70-AC1A-2620C65AE241}"/>
    <cellStyle name="Normal 8 2 3 3 6 3" xfId="12030" xr:uid="{CCD696A9-1580-4DC6-9358-C1B0218D88CF}"/>
    <cellStyle name="Normal 8 2 3 3 7" xfId="4856" xr:uid="{00000000-0005-0000-0000-0000CF1C0000}"/>
    <cellStyle name="Normal 8 2 3 3 7 2" xfId="14182" xr:uid="{549B980D-ABEE-4B18-ACDA-EA148373B485}"/>
    <cellStyle name="Normal 8 2 3 3 8" xfId="9042" xr:uid="{D820ED39-BAB1-48C1-A68D-2017E247E432}"/>
    <cellStyle name="Normal 8 2 3 3 8 2" xfId="18366" xr:uid="{298193AC-4297-4EA5-88D4-18CDE7396952}"/>
    <cellStyle name="Normal 8 2 3 3 9" xfId="9965" xr:uid="{080CA024-7127-44AA-A577-F20B47BF4F99}"/>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D75E8D9E-8948-44D3-828D-F3FEEF9D2D89}"/>
    <cellStyle name="Normal 8 2 3 4 2 3" xfId="12520" xr:uid="{C44B6B80-F9C7-4790-9D50-5641FDF519BD}"/>
    <cellStyle name="Normal 8 2 3 4 3" xfId="5266" xr:uid="{00000000-0005-0000-0000-0000D31C0000}"/>
    <cellStyle name="Normal 8 2 3 4 3 2" xfId="14592" xr:uid="{67CB6830-D1E9-43E2-8887-9493AD6CAEDF}"/>
    <cellStyle name="Normal 8 2 3 4 4" xfId="9260" xr:uid="{70FF5A16-C89A-42B7-A603-E23A7C2F443C}"/>
    <cellStyle name="Normal 8 2 3 4 4 2" xfId="18575" xr:uid="{BCB29D0B-AC39-4C0B-8DC8-62E59DF50E15}"/>
    <cellStyle name="Normal 8 2 3 4 5" xfId="10375" xr:uid="{1E3C123C-E1E8-453A-99E8-06230D4A7671}"/>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1AEC7BDF-A85B-478F-9FBC-9ACCA4D17B6C}"/>
    <cellStyle name="Normal 8 2 3 5 2 3" xfId="12933" xr:uid="{3422D4E9-D737-47DC-A4E7-00D7793EEB94}"/>
    <cellStyle name="Normal 8 2 3 5 3" xfId="5679" xr:uid="{00000000-0005-0000-0000-0000D71C0000}"/>
    <cellStyle name="Normal 8 2 3 5 3 2" xfId="15005" xr:uid="{8AD1A825-04AE-4728-88FE-4D5F3B1FC591}"/>
    <cellStyle name="Normal 8 2 3 5 4" xfId="10788" xr:uid="{DD42B7D5-53D3-4FA1-9565-ADB3EE5D6C0D}"/>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56085596-0F7E-44B4-A20B-5BF6E5B268CF}"/>
    <cellStyle name="Normal 8 2 3 6 2 3" xfId="13346" xr:uid="{9A58F2B2-C9E5-474E-A577-E1BE67A78816}"/>
    <cellStyle name="Normal 8 2 3 6 3" xfId="6092" xr:uid="{00000000-0005-0000-0000-0000DB1C0000}"/>
    <cellStyle name="Normal 8 2 3 6 3 2" xfId="15418" xr:uid="{1C1F34C5-4AC6-48EC-A63A-EAFEBEFC6629}"/>
    <cellStyle name="Normal 8 2 3 6 4" xfId="11201" xr:uid="{7BBF0467-0B5E-4101-8E64-BB7194628B26}"/>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7090CE37-A669-4BD1-B58B-8DA2DE91A097}"/>
    <cellStyle name="Normal 8 2 3 7 2 3" xfId="13759" xr:uid="{DAF7B5C2-9228-4DBD-B67B-25231864D38C}"/>
    <cellStyle name="Normal 8 2 3 7 3" xfId="6505" xr:uid="{00000000-0005-0000-0000-0000DF1C0000}"/>
    <cellStyle name="Normal 8 2 3 7 3 2" xfId="15831" xr:uid="{D1A9D5FB-6544-4910-BFB8-0ACAEF491F7B}"/>
    <cellStyle name="Normal 8 2 3 7 4" xfId="11614" xr:uid="{E4318A33-19D7-4CB8-A8A2-2AC6F68DA535}"/>
    <cellStyle name="Normal 8 2 3 8" xfId="2635" xr:uid="{00000000-0005-0000-0000-0000E01C0000}"/>
    <cellStyle name="Normal 8 2 3 8 2" xfId="6918" xr:uid="{00000000-0005-0000-0000-0000E11C0000}"/>
    <cellStyle name="Normal 8 2 3 8 2 2" xfId="16244" xr:uid="{6D3F7BA8-7D85-4AE7-97DB-727DC33C5B3F}"/>
    <cellStyle name="Normal 8 2 3 8 3" xfId="12027" xr:uid="{29D40794-4908-4737-85C2-855ECE8B5EF3}"/>
    <cellStyle name="Normal 8 2 3 9" xfId="4853" xr:uid="{00000000-0005-0000-0000-0000E21C0000}"/>
    <cellStyle name="Normal 8 2 3 9 2" xfId="14179" xr:uid="{DD99F44D-CB0A-4E5F-A383-C8B48FE797B2}"/>
    <cellStyle name="Normal 8 2 4" xfId="492" xr:uid="{00000000-0005-0000-0000-0000E31C0000}"/>
    <cellStyle name="Normal 8 2 4 10" xfId="9966" xr:uid="{0A5BA917-EA0C-4E63-9F55-AA355B03198D}"/>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12F884C2-CBBB-4377-84E0-0F1CEEDA15AE}"/>
    <cellStyle name="Normal 8 2 4 2 2 2 3" xfId="12525" xr:uid="{5F2791F4-257C-4D7E-A981-1F872977471D}"/>
    <cellStyle name="Normal 8 2 4 2 2 3" xfId="5271" xr:uid="{00000000-0005-0000-0000-0000E81C0000}"/>
    <cellStyle name="Normal 8 2 4 2 2 3 2" xfId="14597" xr:uid="{7DD0876C-6AF1-4AB4-95A1-4B10FC9D2FC4}"/>
    <cellStyle name="Normal 8 2 4 2 2 4" xfId="9486" xr:uid="{9F6EBE4C-F02F-43A6-A388-D5EACB1B3099}"/>
    <cellStyle name="Normal 8 2 4 2 2 4 2" xfId="18801" xr:uid="{3721599F-DD3E-444A-B4DE-F628D7B96829}"/>
    <cellStyle name="Normal 8 2 4 2 2 5" xfId="10380" xr:uid="{81B1E517-156A-4E4C-82C2-55CE925F6D0A}"/>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B9C18253-1CA5-4D4B-92D1-6E7754A8C193}"/>
    <cellStyle name="Normal 8 2 4 2 3 2 3" xfId="12938" xr:uid="{53D1C4E6-E89D-41EB-9085-2F95534CD74B}"/>
    <cellStyle name="Normal 8 2 4 2 3 3" xfId="5684" xr:uid="{00000000-0005-0000-0000-0000EC1C0000}"/>
    <cellStyle name="Normal 8 2 4 2 3 3 2" xfId="15010" xr:uid="{5635ED3F-D98A-4A8B-8084-5A266E03DFEA}"/>
    <cellStyle name="Normal 8 2 4 2 3 4" xfId="10793" xr:uid="{93145CED-D61C-418E-A1DC-C0D5FE331EB4}"/>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C022474B-1642-4BC9-9602-DA45D037D5D1}"/>
    <cellStyle name="Normal 8 2 4 2 4 2 3" xfId="13351" xr:uid="{C5614B53-9909-4E01-A12C-B414DF384267}"/>
    <cellStyle name="Normal 8 2 4 2 4 3" xfId="6097" xr:uid="{00000000-0005-0000-0000-0000F01C0000}"/>
    <cellStyle name="Normal 8 2 4 2 4 3 2" xfId="15423" xr:uid="{CBA458CD-B136-4EB7-B217-FE0AE73D4B1B}"/>
    <cellStyle name="Normal 8 2 4 2 4 4" xfId="11206" xr:uid="{981985C4-91AD-4F81-90EA-2FBF66BE4DC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783FF256-1D2B-450A-AE14-4A5CA9E533FF}"/>
    <cellStyle name="Normal 8 2 4 2 5 2 3" xfId="13764" xr:uid="{2B7BE9DA-3B54-470B-ACF6-DE9A2DA1DC53}"/>
    <cellStyle name="Normal 8 2 4 2 5 3" xfId="6510" xr:uid="{00000000-0005-0000-0000-0000F41C0000}"/>
    <cellStyle name="Normal 8 2 4 2 5 3 2" xfId="15836" xr:uid="{CBD854F8-D8BD-4F76-834F-8A59118AD05A}"/>
    <cellStyle name="Normal 8 2 4 2 5 4" xfId="11619" xr:uid="{F0D4BE49-095F-41C6-927C-7A2434B4FC1B}"/>
    <cellStyle name="Normal 8 2 4 2 6" xfId="2640" xr:uid="{00000000-0005-0000-0000-0000F51C0000}"/>
    <cellStyle name="Normal 8 2 4 2 6 2" xfId="6923" xr:uid="{00000000-0005-0000-0000-0000F61C0000}"/>
    <cellStyle name="Normal 8 2 4 2 6 2 2" xfId="16249" xr:uid="{4DAC876B-EC2E-497C-B1F6-01CEC55EAA26}"/>
    <cellStyle name="Normal 8 2 4 2 6 3" xfId="12032" xr:uid="{9A41BF15-7D0D-4E91-887D-A47BB954E712}"/>
    <cellStyle name="Normal 8 2 4 2 7" xfId="4858" xr:uid="{00000000-0005-0000-0000-0000F71C0000}"/>
    <cellStyle name="Normal 8 2 4 2 7 2" xfId="14184" xr:uid="{D8BD3E06-CC15-4BBA-A790-436F578AA15D}"/>
    <cellStyle name="Normal 8 2 4 2 8" xfId="9061" xr:uid="{7295DB82-9441-436C-AA3E-91B68F6E59B3}"/>
    <cellStyle name="Normal 8 2 4 2 8 2" xfId="18385" xr:uid="{4D4C41E4-3B97-4453-89B2-DB9389342A8C}"/>
    <cellStyle name="Normal 8 2 4 2 9" xfId="9967" xr:uid="{D7E3D3F5-40F9-4EF3-916D-ACCD843D42A0}"/>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D3E50058-438A-4EAE-8738-458354311EDE}"/>
    <cellStyle name="Normal 8 2 4 3 2 3" xfId="12524" xr:uid="{F39BB876-7871-4E22-AE9B-86D050DC0507}"/>
    <cellStyle name="Normal 8 2 4 3 3" xfId="5270" xr:uid="{00000000-0005-0000-0000-0000FB1C0000}"/>
    <cellStyle name="Normal 8 2 4 3 3 2" xfId="14596" xr:uid="{F3BB92D7-647B-4B32-B41B-EFD89EADFEEA}"/>
    <cellStyle name="Normal 8 2 4 3 4" xfId="9279" xr:uid="{BA09D30D-BEBA-4223-83E6-57FB46A1EFA8}"/>
    <cellStyle name="Normal 8 2 4 3 4 2" xfId="18594" xr:uid="{76D608C3-17E6-4D79-B447-9341C0B23FDE}"/>
    <cellStyle name="Normal 8 2 4 3 5" xfId="10379" xr:uid="{22038949-FD88-46D7-A480-BEEC13E5A8B0}"/>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EF55CCFD-904F-492F-9091-68052C79D666}"/>
    <cellStyle name="Normal 8 2 4 4 2 3" xfId="12937" xr:uid="{F889A42D-FC11-4191-936D-11C94A872EF2}"/>
    <cellStyle name="Normal 8 2 4 4 3" xfId="5683" xr:uid="{00000000-0005-0000-0000-0000FF1C0000}"/>
    <cellStyle name="Normal 8 2 4 4 3 2" xfId="15009" xr:uid="{F20C82AD-6A7E-4453-9B56-E9326FAECB5B}"/>
    <cellStyle name="Normal 8 2 4 4 4" xfId="10792" xr:uid="{A6BDCFDF-6619-4722-ACBA-7E35EA8BF018}"/>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B489DDC0-C738-446F-A06D-EDDD36EE1881}"/>
    <cellStyle name="Normal 8 2 4 5 2 3" xfId="13350" xr:uid="{6069B723-3A95-49D2-AB75-B40E5F81CC80}"/>
    <cellStyle name="Normal 8 2 4 5 3" xfId="6096" xr:uid="{00000000-0005-0000-0000-0000031D0000}"/>
    <cellStyle name="Normal 8 2 4 5 3 2" xfId="15422" xr:uid="{B420D263-B197-4812-A86A-F88F2E5DFA06}"/>
    <cellStyle name="Normal 8 2 4 5 4" xfId="11205" xr:uid="{4FC594A4-8E16-4970-BF4E-AEF59BE58874}"/>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FA647B78-B23C-4043-8EA3-5352C783A623}"/>
    <cellStyle name="Normal 8 2 4 6 2 3" xfId="13763" xr:uid="{A5901B3B-E0DB-475A-8AF2-3442D76E7B35}"/>
    <cellStyle name="Normal 8 2 4 6 3" xfId="6509" xr:uid="{00000000-0005-0000-0000-0000071D0000}"/>
    <cellStyle name="Normal 8 2 4 6 3 2" xfId="15835" xr:uid="{9FC0B920-B2C8-4F75-9B78-0A290F43BC6B}"/>
    <cellStyle name="Normal 8 2 4 6 4" xfId="11618" xr:uid="{2673B4F3-89ED-434C-9021-E562CD5E88F4}"/>
    <cellStyle name="Normal 8 2 4 7" xfId="2639" xr:uid="{00000000-0005-0000-0000-0000081D0000}"/>
    <cellStyle name="Normal 8 2 4 7 2" xfId="6922" xr:uid="{00000000-0005-0000-0000-0000091D0000}"/>
    <cellStyle name="Normal 8 2 4 7 2 2" xfId="16248" xr:uid="{7AEFA63A-C0BD-4817-9DC3-0428A2280C98}"/>
    <cellStyle name="Normal 8 2 4 7 3" xfId="12031" xr:uid="{099AC5C0-AF84-4202-9BB6-A8115586D32E}"/>
    <cellStyle name="Normal 8 2 4 8" xfId="4857" xr:uid="{00000000-0005-0000-0000-00000A1D0000}"/>
    <cellStyle name="Normal 8 2 4 8 2" xfId="14183" xr:uid="{7397E838-414A-4990-90E8-5C3E635B2608}"/>
    <cellStyle name="Normal 8 2 4 9" xfId="8854" xr:uid="{F1F9C500-F3E2-475A-983E-BD697F4BACD1}"/>
    <cellStyle name="Normal 8 2 4 9 2" xfId="18178" xr:uid="{E6322E44-7B0E-4B21-A878-B49BDF56731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0956B293-AA83-4FAF-838A-CE951941861D}"/>
    <cellStyle name="Normal 8 2 5 2 2 3" xfId="12526" xr:uid="{B3DD212C-36D0-4713-8DF2-FF7DBB4853B3}"/>
    <cellStyle name="Normal 8 2 5 2 3" xfId="5272" xr:uid="{00000000-0005-0000-0000-00000F1D0000}"/>
    <cellStyle name="Normal 8 2 5 2 3 2" xfId="14598" xr:uid="{A34723A7-21A8-4009-8BA8-056C619B96A8}"/>
    <cellStyle name="Normal 8 2 5 2 4" xfId="9395" xr:uid="{D5766EF3-6042-484F-B510-7448518CF571}"/>
    <cellStyle name="Normal 8 2 5 2 4 2" xfId="18710" xr:uid="{F49B688B-CF76-4217-8A1D-603E8A574983}"/>
    <cellStyle name="Normal 8 2 5 2 5" xfId="10381" xr:uid="{EB880F5A-56CF-4C09-977A-D209EE04D607}"/>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0AED2C0D-3E04-4EAB-9003-487C2BD32BC8}"/>
    <cellStyle name="Normal 8 2 5 3 2 3" xfId="12939" xr:uid="{8F32EA61-A98A-4748-A0D8-A2F20907AC65}"/>
    <cellStyle name="Normal 8 2 5 3 3" xfId="5685" xr:uid="{00000000-0005-0000-0000-0000131D0000}"/>
    <cellStyle name="Normal 8 2 5 3 3 2" xfId="15011" xr:uid="{8B25C0B4-6C28-4D96-A8EB-B7623EB9B6BF}"/>
    <cellStyle name="Normal 8 2 5 3 4" xfId="10794" xr:uid="{716C4B5B-294D-4789-AAD1-1FA77CAD7412}"/>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F49A41E4-66B9-4457-AF9E-E05776409BEC}"/>
    <cellStyle name="Normal 8 2 5 4 2 3" xfId="13352" xr:uid="{DB2DF353-F8DF-4F9C-8CBE-BD56BA55FB47}"/>
    <cellStyle name="Normal 8 2 5 4 3" xfId="6098" xr:uid="{00000000-0005-0000-0000-0000171D0000}"/>
    <cellStyle name="Normal 8 2 5 4 3 2" xfId="15424" xr:uid="{DC5C1A12-A26D-4450-935B-B8C1343A0715}"/>
    <cellStyle name="Normal 8 2 5 4 4" xfId="11207" xr:uid="{B25B9985-9A3C-4EC9-AEAF-7084F0EDCAC6}"/>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DD1F5772-6C0C-4C80-8043-C108EADDB748}"/>
    <cellStyle name="Normal 8 2 5 5 2 3" xfId="13765" xr:uid="{CB86BB43-1ED5-42E2-B995-C0E03FE417B6}"/>
    <cellStyle name="Normal 8 2 5 5 3" xfId="6511" xr:uid="{00000000-0005-0000-0000-00001B1D0000}"/>
    <cellStyle name="Normal 8 2 5 5 3 2" xfId="15837" xr:uid="{2E6EFC3A-EFBD-4317-80CD-4CBF647EEFA2}"/>
    <cellStyle name="Normal 8 2 5 5 4" xfId="11620" xr:uid="{5402580D-23AC-4C6A-8E1A-C7E412442CC7}"/>
    <cellStyle name="Normal 8 2 5 6" xfId="2641" xr:uid="{00000000-0005-0000-0000-00001C1D0000}"/>
    <cellStyle name="Normal 8 2 5 6 2" xfId="6924" xr:uid="{00000000-0005-0000-0000-00001D1D0000}"/>
    <cellStyle name="Normal 8 2 5 6 2 2" xfId="16250" xr:uid="{DA9EE71A-DFF5-46B5-ABB3-56C1EA847884}"/>
    <cellStyle name="Normal 8 2 5 6 3" xfId="12033" xr:uid="{A9D25688-D4A3-4C4D-81BB-F41A30F4E876}"/>
    <cellStyle name="Normal 8 2 5 7" xfId="4859" xr:uid="{00000000-0005-0000-0000-00001E1D0000}"/>
    <cellStyle name="Normal 8 2 5 7 2" xfId="14185" xr:uid="{209C523A-C794-4A21-AA75-50D3EAE53194}"/>
    <cellStyle name="Normal 8 2 5 8" xfId="8970" xr:uid="{7E9ACEFF-1680-45D8-BC32-8CA9BA1D63D4}"/>
    <cellStyle name="Normal 8 2 5 8 2" xfId="18294" xr:uid="{EFE7B9B8-D8F5-4133-8B2A-0C74611FC688}"/>
    <cellStyle name="Normal 8 2 5 9" xfId="9968" xr:uid="{A45C9531-B9AC-4612-86E2-C6B0BC0EF1AC}"/>
    <cellStyle name="Normal 8 2 6" xfId="946" xr:uid="{00000000-0005-0000-0000-00001F1D0000}"/>
    <cellStyle name="Normal 8 2 6 2" xfId="3180" xr:uid="{00000000-0005-0000-0000-0000201D0000}"/>
    <cellStyle name="Normal 8 2 6 2 2" xfId="7402" xr:uid="{00000000-0005-0000-0000-0000211D0000}"/>
    <cellStyle name="Normal 8 2 6 2 2 2" xfId="16728" xr:uid="{A6B81143-B256-4BC3-AF4F-2E6B85F50F58}"/>
    <cellStyle name="Normal 8 2 6 2 3" xfId="12511" xr:uid="{5FC9EA99-B49B-4502-A330-E07F828C7828}"/>
    <cellStyle name="Normal 8 2 6 3" xfId="5257" xr:uid="{00000000-0005-0000-0000-0000221D0000}"/>
    <cellStyle name="Normal 8 2 6 3 2" xfId="14583" xr:uid="{6825A908-563C-4A61-9E8C-6EC3EBC3C6B9}"/>
    <cellStyle name="Normal 8 2 6 4" xfId="9173" xr:uid="{C36295B3-E6F0-4A6D-AEE5-72C8177C13EE}"/>
    <cellStyle name="Normal 8 2 6 4 2" xfId="18491" xr:uid="{274015ED-AD48-49F3-BCCB-42B1645ADC6E}"/>
    <cellStyle name="Normal 8 2 6 5" xfId="10366" xr:uid="{9A937618-1561-40F3-ADF9-2D8611275A51}"/>
    <cellStyle name="Normal 8 2 7" xfId="1363" xr:uid="{00000000-0005-0000-0000-0000231D0000}"/>
    <cellStyle name="Normal 8 2 7 2" xfId="3593" xr:uid="{00000000-0005-0000-0000-0000241D0000}"/>
    <cellStyle name="Normal 8 2 7 2 2" xfId="7815" xr:uid="{00000000-0005-0000-0000-0000251D0000}"/>
    <cellStyle name="Normal 8 2 7 2 2 2" xfId="17141" xr:uid="{4D017A1A-B1EC-4AC7-98DA-C37DAC003A7B}"/>
    <cellStyle name="Normal 8 2 7 2 3" xfId="12924" xr:uid="{3E79C519-5C00-4DDD-A661-ED9209724B8C}"/>
    <cellStyle name="Normal 8 2 7 3" xfId="5670" xr:uid="{00000000-0005-0000-0000-0000261D0000}"/>
    <cellStyle name="Normal 8 2 7 3 2" xfId="14996" xr:uid="{410EF90D-F38A-43EF-8980-BEA938E095C7}"/>
    <cellStyle name="Normal 8 2 7 4" xfId="10779" xr:uid="{5BA3152E-F980-4DE3-AF69-BED7E3C7239B}"/>
    <cellStyle name="Normal 8 2 8" xfId="1776" xr:uid="{00000000-0005-0000-0000-0000271D0000}"/>
    <cellStyle name="Normal 8 2 8 2" xfId="4006" xr:uid="{00000000-0005-0000-0000-0000281D0000}"/>
    <cellStyle name="Normal 8 2 8 2 2" xfId="8228" xr:uid="{00000000-0005-0000-0000-0000291D0000}"/>
    <cellStyle name="Normal 8 2 8 2 2 2" xfId="17554" xr:uid="{8E03D1D4-E0DF-4168-95F0-51A010627BC8}"/>
    <cellStyle name="Normal 8 2 8 2 3" xfId="13337" xr:uid="{BDD926A3-F169-47AE-9AC6-B12BC928FBA3}"/>
    <cellStyle name="Normal 8 2 8 3" xfId="6083" xr:uid="{00000000-0005-0000-0000-00002A1D0000}"/>
    <cellStyle name="Normal 8 2 8 3 2" xfId="15409" xr:uid="{C3ABD275-C697-4672-887E-260DAFBABB70}"/>
    <cellStyle name="Normal 8 2 8 4" xfId="11192" xr:uid="{C01A17DE-425B-4652-AE03-6EF215FD5D56}"/>
    <cellStyle name="Normal 8 2 9" xfId="2190" xr:uid="{00000000-0005-0000-0000-00002B1D0000}"/>
    <cellStyle name="Normal 8 2 9 2" xfId="4419" xr:uid="{00000000-0005-0000-0000-00002C1D0000}"/>
    <cellStyle name="Normal 8 2 9 2 2" xfId="8641" xr:uid="{00000000-0005-0000-0000-00002D1D0000}"/>
    <cellStyle name="Normal 8 2 9 2 2 2" xfId="17967" xr:uid="{E466623E-3B35-432B-9A4D-B9627B768B91}"/>
    <cellStyle name="Normal 8 2 9 2 3" xfId="13750" xr:uid="{E23430B5-730E-4704-917C-94308C4F9668}"/>
    <cellStyle name="Normal 8 2 9 3" xfId="6496" xr:uid="{00000000-0005-0000-0000-00002E1D0000}"/>
    <cellStyle name="Normal 8 2 9 3 2" xfId="15822" xr:uid="{F209E8FC-D365-4E50-B1D1-309AD72876D3}"/>
    <cellStyle name="Normal 8 2 9 4" xfId="11605" xr:uid="{189275A5-A43E-4E8B-B289-8CC5BDB5805F}"/>
    <cellStyle name="Normal 8 3" xfId="495" xr:uid="{00000000-0005-0000-0000-00002F1D0000}"/>
    <cellStyle name="Normal 8 3 10" xfId="4860" xr:uid="{00000000-0005-0000-0000-0000301D0000}"/>
    <cellStyle name="Normal 8 3 10 2" xfId="14186" xr:uid="{1BA92142-3CB8-47EE-AE28-AF7E346A631E}"/>
    <cellStyle name="Normal 8 3 11" xfId="8774" xr:uid="{81BDDADD-940D-4F3A-BD6C-7E4719C8A3D2}"/>
    <cellStyle name="Normal 8 3 11 2" xfId="18098" xr:uid="{2362A6F6-E950-45C3-B2C1-7429A8B466C0}"/>
    <cellStyle name="Normal 8 3 12" xfId="9969" xr:uid="{4461088E-53BF-4AE0-84CF-5AD3C156D4FE}"/>
    <cellStyle name="Normal 8 3 2" xfId="496" xr:uid="{00000000-0005-0000-0000-0000311D0000}"/>
    <cellStyle name="Normal 8 3 2 10" xfId="8837" xr:uid="{392842AA-84B1-4A71-AE94-A1B631487B7E}"/>
    <cellStyle name="Normal 8 3 2 10 2" xfId="18161" xr:uid="{52462FB7-B240-4ED2-8F14-A0C7DC88E96B}"/>
    <cellStyle name="Normal 8 3 2 11" xfId="9970" xr:uid="{58240718-4F2B-4BB5-AE1B-DEB7368EBD2F}"/>
    <cellStyle name="Normal 8 3 2 2" xfId="497" xr:uid="{00000000-0005-0000-0000-0000321D0000}"/>
    <cellStyle name="Normal 8 3 2 2 10" xfId="9971" xr:uid="{D9BDE15C-EE39-4370-A988-05274C221809}"/>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03520E3E-1414-4BF7-9DCA-2F06F5202712}"/>
    <cellStyle name="Normal 8 3 2 2 2 2 2 3" xfId="12530" xr:uid="{A9C19ACF-3FC8-4774-BC1C-65BEB36CE47D}"/>
    <cellStyle name="Normal 8 3 2 2 2 2 3" xfId="5276" xr:uid="{00000000-0005-0000-0000-0000371D0000}"/>
    <cellStyle name="Normal 8 3 2 2 2 2 3 2" xfId="14602" xr:uid="{A63003BB-3AD8-4A2E-A55E-54E4E1D30AC7}"/>
    <cellStyle name="Normal 8 3 2 2 2 2 4" xfId="9572" xr:uid="{83269435-2305-4677-BD8B-8CB801DC108A}"/>
    <cellStyle name="Normal 8 3 2 2 2 2 4 2" xfId="18887" xr:uid="{22CDF19E-4946-4C41-80BA-45DDD90E3332}"/>
    <cellStyle name="Normal 8 3 2 2 2 2 5" xfId="10385" xr:uid="{C7E9E11C-086F-470F-AE8F-0E58F579EDE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33ACE13F-BCA9-4CE9-9EBB-773B6AB45FFC}"/>
    <cellStyle name="Normal 8 3 2 2 2 3 2 3" xfId="12943" xr:uid="{B482868A-F20C-4F8D-971A-66F692B33508}"/>
    <cellStyle name="Normal 8 3 2 2 2 3 3" xfId="5689" xr:uid="{00000000-0005-0000-0000-00003B1D0000}"/>
    <cellStyle name="Normal 8 3 2 2 2 3 3 2" xfId="15015" xr:uid="{CCE0B3BD-C48A-4623-B0AD-89D3D13D80D8}"/>
    <cellStyle name="Normal 8 3 2 2 2 3 4" xfId="10798" xr:uid="{B343A0C2-BCC9-44D6-B98F-91D2812FCD2E}"/>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9212E582-5EC7-4252-BFD1-62CC6B10538D}"/>
    <cellStyle name="Normal 8 3 2 2 2 4 2 3" xfId="13356" xr:uid="{158CDFDB-7841-480F-A0EA-1E31680BF6CB}"/>
    <cellStyle name="Normal 8 3 2 2 2 4 3" xfId="6102" xr:uid="{00000000-0005-0000-0000-00003F1D0000}"/>
    <cellStyle name="Normal 8 3 2 2 2 4 3 2" xfId="15428" xr:uid="{5555335E-A0D6-4746-BB03-9AE9F3712B34}"/>
    <cellStyle name="Normal 8 3 2 2 2 4 4" xfId="11211" xr:uid="{74A330BF-B77F-4686-99A2-858C085ED44B}"/>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BCC7253B-DCAA-4507-848F-A13F96058BCF}"/>
    <cellStyle name="Normal 8 3 2 2 2 5 2 3" xfId="13769" xr:uid="{9C336250-E610-40F0-A54F-F97BDCCF66EC}"/>
    <cellStyle name="Normal 8 3 2 2 2 5 3" xfId="6515" xr:uid="{00000000-0005-0000-0000-0000431D0000}"/>
    <cellStyle name="Normal 8 3 2 2 2 5 3 2" xfId="15841" xr:uid="{61CC6F07-2EDC-4D76-A4EB-13493238DD80}"/>
    <cellStyle name="Normal 8 3 2 2 2 5 4" xfId="11624" xr:uid="{24BDC7CB-38B9-4E39-B29D-40049649E40D}"/>
    <cellStyle name="Normal 8 3 2 2 2 6" xfId="2645" xr:uid="{00000000-0005-0000-0000-0000441D0000}"/>
    <cellStyle name="Normal 8 3 2 2 2 6 2" xfId="6928" xr:uid="{00000000-0005-0000-0000-0000451D0000}"/>
    <cellStyle name="Normal 8 3 2 2 2 6 2 2" xfId="16254" xr:uid="{AC95987A-2EA2-4B69-A6D8-1743E59B2F96}"/>
    <cellStyle name="Normal 8 3 2 2 2 6 3" xfId="12037" xr:uid="{AFEFB109-2068-4F6F-BBB2-EC2EBB2DA738}"/>
    <cellStyle name="Normal 8 3 2 2 2 7" xfId="4863" xr:uid="{00000000-0005-0000-0000-0000461D0000}"/>
    <cellStyle name="Normal 8 3 2 2 2 7 2" xfId="14189" xr:uid="{3EFEA135-82DA-4420-8EC5-C68A5DB5F33D}"/>
    <cellStyle name="Normal 8 3 2 2 2 8" xfId="9147" xr:uid="{16780743-13F5-44BF-919B-157B86988913}"/>
    <cellStyle name="Normal 8 3 2 2 2 8 2" xfId="18471" xr:uid="{57289FD0-6DAC-423C-BF63-116DC5AF4F50}"/>
    <cellStyle name="Normal 8 3 2 2 2 9" xfId="9972" xr:uid="{F00E46A6-5969-428F-BF65-B2066A3FB8DD}"/>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2A8DF105-1C76-4B58-A94A-CEFFE7019F29}"/>
    <cellStyle name="Normal 8 3 2 2 3 2 3" xfId="12529" xr:uid="{72802153-C342-4EA5-B49B-8D1E383E96D5}"/>
    <cellStyle name="Normal 8 3 2 2 3 3" xfId="5275" xr:uid="{00000000-0005-0000-0000-00004A1D0000}"/>
    <cellStyle name="Normal 8 3 2 2 3 3 2" xfId="14601" xr:uid="{9E37C4C7-4749-4ED2-9DA6-F269979D0DC6}"/>
    <cellStyle name="Normal 8 3 2 2 3 4" xfId="9365" xr:uid="{47FF7C14-7484-41B9-856F-11398F7B2C7C}"/>
    <cellStyle name="Normal 8 3 2 2 3 4 2" xfId="18680" xr:uid="{2BACA0F3-1EBB-4DB7-9770-E9B0C3B51F90}"/>
    <cellStyle name="Normal 8 3 2 2 3 5" xfId="10384" xr:uid="{A6C4ABA4-EBA3-48D7-B22F-085DE0CFB341}"/>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C71B7B6F-A710-4010-9B61-D2966460E2D8}"/>
    <cellStyle name="Normal 8 3 2 2 4 2 3" xfId="12942" xr:uid="{20F300B6-81A9-4D68-9A78-3760B3618F53}"/>
    <cellStyle name="Normal 8 3 2 2 4 3" xfId="5688" xr:uid="{00000000-0005-0000-0000-00004E1D0000}"/>
    <cellStyle name="Normal 8 3 2 2 4 3 2" xfId="15014" xr:uid="{C8F17BFF-E906-4671-8A7B-5463A756765D}"/>
    <cellStyle name="Normal 8 3 2 2 4 4" xfId="10797" xr:uid="{49ACF706-24F0-484B-BA02-ECEFF6DC19E5}"/>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A6961EFD-1961-4C7E-941D-518ECA0F3234}"/>
    <cellStyle name="Normal 8 3 2 2 5 2 3" xfId="13355" xr:uid="{AA250A3B-49EA-4128-BF34-90955475B1F5}"/>
    <cellStyle name="Normal 8 3 2 2 5 3" xfId="6101" xr:uid="{00000000-0005-0000-0000-0000521D0000}"/>
    <cellStyle name="Normal 8 3 2 2 5 3 2" xfId="15427" xr:uid="{78FCDECD-84CB-4BD6-838F-951F117495DD}"/>
    <cellStyle name="Normal 8 3 2 2 5 4" xfId="11210" xr:uid="{4D874CFD-7EA0-4726-BF89-124AD8E571C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CE5A6C5E-C1B6-47EE-A697-B808B9CE53B9}"/>
    <cellStyle name="Normal 8 3 2 2 6 2 3" xfId="13768" xr:uid="{E4867AFD-80CE-4797-A207-42D6F658261B}"/>
    <cellStyle name="Normal 8 3 2 2 6 3" xfId="6514" xr:uid="{00000000-0005-0000-0000-0000561D0000}"/>
    <cellStyle name="Normal 8 3 2 2 6 3 2" xfId="15840" xr:uid="{9FF8F395-B4DE-4B77-9BD5-A6467A32755F}"/>
    <cellStyle name="Normal 8 3 2 2 6 4" xfId="11623" xr:uid="{39F669DD-203A-4625-B175-77D6B89D6AC7}"/>
    <cellStyle name="Normal 8 3 2 2 7" xfId="2644" xr:uid="{00000000-0005-0000-0000-0000571D0000}"/>
    <cellStyle name="Normal 8 3 2 2 7 2" xfId="6927" xr:uid="{00000000-0005-0000-0000-0000581D0000}"/>
    <cellStyle name="Normal 8 3 2 2 7 2 2" xfId="16253" xr:uid="{EB7DA02B-1E59-4194-B239-5C83D0B82885}"/>
    <cellStyle name="Normal 8 3 2 2 7 3" xfId="12036" xr:uid="{CD92604E-444A-4BBB-9554-596367CEAECD}"/>
    <cellStyle name="Normal 8 3 2 2 8" xfId="4862" xr:uid="{00000000-0005-0000-0000-0000591D0000}"/>
    <cellStyle name="Normal 8 3 2 2 8 2" xfId="14188" xr:uid="{CB1C4D1E-BFF0-4D2E-B066-1118590B7992}"/>
    <cellStyle name="Normal 8 3 2 2 9" xfId="8940" xr:uid="{63944EF0-E10A-4406-A758-3BD135650136}"/>
    <cellStyle name="Normal 8 3 2 2 9 2" xfId="18264" xr:uid="{F37A06AE-088F-4A92-8B63-B4D9338D064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46CC4FA0-4412-44DF-8203-263545690D1A}"/>
    <cellStyle name="Normal 8 3 2 3 2 2 3" xfId="12531" xr:uid="{FC37A02F-C5F4-4F16-8917-96F9F0167FA7}"/>
    <cellStyle name="Normal 8 3 2 3 2 3" xfId="5277" xr:uid="{00000000-0005-0000-0000-00005E1D0000}"/>
    <cellStyle name="Normal 8 3 2 3 2 3 2" xfId="14603" xr:uid="{794A222A-F3AA-4E3E-AD2B-33E95F651587}"/>
    <cellStyle name="Normal 8 3 2 3 2 4" xfId="9469" xr:uid="{7CA6C380-A6E9-4AF4-A29A-E40C8E9B5B5F}"/>
    <cellStyle name="Normal 8 3 2 3 2 4 2" xfId="18784" xr:uid="{67934F12-1F19-498A-B350-597F84489327}"/>
    <cellStyle name="Normal 8 3 2 3 2 5" xfId="10386" xr:uid="{0BE41DE1-6DC7-4696-8425-AECB7BBDCD5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B039A391-9E03-46FA-AC90-FED751760F3B}"/>
    <cellStyle name="Normal 8 3 2 3 3 2 3" xfId="12944" xr:uid="{20E511BB-3E26-40CD-9911-115BDBA1BF6E}"/>
    <cellStyle name="Normal 8 3 2 3 3 3" xfId="5690" xr:uid="{00000000-0005-0000-0000-0000621D0000}"/>
    <cellStyle name="Normal 8 3 2 3 3 3 2" xfId="15016" xr:uid="{64546CBD-89AC-40D5-BDDE-9BFD45E60058}"/>
    <cellStyle name="Normal 8 3 2 3 3 4" xfId="10799" xr:uid="{5ABAF141-90FB-4585-A16C-A330F55725F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07401B90-53CA-48EF-82FA-9DF4EB22FD62}"/>
    <cellStyle name="Normal 8 3 2 3 4 2 3" xfId="13357" xr:uid="{1FD32FFA-8BAF-40A5-A866-3327E9596992}"/>
    <cellStyle name="Normal 8 3 2 3 4 3" xfId="6103" xr:uid="{00000000-0005-0000-0000-0000661D0000}"/>
    <cellStyle name="Normal 8 3 2 3 4 3 2" xfId="15429" xr:uid="{C532D8B1-5C48-4C92-B030-D82B14B03EE6}"/>
    <cellStyle name="Normal 8 3 2 3 4 4" xfId="11212" xr:uid="{CD78B8B9-4D39-46CB-B28A-42C73F410FC6}"/>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032DAB42-C1C7-4CC1-9ECC-8DA2FAB6D9AC}"/>
    <cellStyle name="Normal 8 3 2 3 5 2 3" xfId="13770" xr:uid="{7606796D-CDBB-4639-9F53-47F48988C051}"/>
    <cellStyle name="Normal 8 3 2 3 5 3" xfId="6516" xr:uid="{00000000-0005-0000-0000-00006A1D0000}"/>
    <cellStyle name="Normal 8 3 2 3 5 3 2" xfId="15842" xr:uid="{07037476-F2DF-4C74-AE69-7D141BEF746F}"/>
    <cellStyle name="Normal 8 3 2 3 5 4" xfId="11625" xr:uid="{F590F49F-7A86-4CD9-92D2-335E6FA49F88}"/>
    <cellStyle name="Normal 8 3 2 3 6" xfId="2646" xr:uid="{00000000-0005-0000-0000-00006B1D0000}"/>
    <cellStyle name="Normal 8 3 2 3 6 2" xfId="6929" xr:uid="{00000000-0005-0000-0000-00006C1D0000}"/>
    <cellStyle name="Normal 8 3 2 3 6 2 2" xfId="16255" xr:uid="{F866FD2D-0871-4DF3-8DAB-4FF313C59BC7}"/>
    <cellStyle name="Normal 8 3 2 3 6 3" xfId="12038" xr:uid="{20B2871B-F18A-4E82-8B9C-409751A428A8}"/>
    <cellStyle name="Normal 8 3 2 3 7" xfId="4864" xr:uid="{00000000-0005-0000-0000-00006D1D0000}"/>
    <cellStyle name="Normal 8 3 2 3 7 2" xfId="14190" xr:uid="{AB9142D9-DF44-4948-91C3-8482AEBA7C31}"/>
    <cellStyle name="Normal 8 3 2 3 8" xfId="9044" xr:uid="{5ED49706-9CA9-4EE9-B01D-112CD1DB587C}"/>
    <cellStyle name="Normal 8 3 2 3 8 2" xfId="18368" xr:uid="{B7A2EEBD-825D-4D1C-9EAF-8D93B835ED0E}"/>
    <cellStyle name="Normal 8 3 2 3 9" xfId="9973" xr:uid="{E378D76F-B53D-432B-B4BC-1003F3ADF96B}"/>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E00C935E-CD79-4DFC-950A-E9DCABEABEF6}"/>
    <cellStyle name="Normal 8 3 2 4 2 3" xfId="12528" xr:uid="{73380702-C9B9-4B19-9A6C-467EF14123D3}"/>
    <cellStyle name="Normal 8 3 2 4 3" xfId="5274" xr:uid="{00000000-0005-0000-0000-0000711D0000}"/>
    <cellStyle name="Normal 8 3 2 4 3 2" xfId="14600" xr:uid="{73F495D0-5881-4301-BD71-4C8EAE913B20}"/>
    <cellStyle name="Normal 8 3 2 4 4" xfId="9262" xr:uid="{8842595C-CD28-4B10-9BE6-37883B4C2AA9}"/>
    <cellStyle name="Normal 8 3 2 4 4 2" xfId="18577" xr:uid="{87032B62-5113-4EEA-B764-319DE2D2DCDC}"/>
    <cellStyle name="Normal 8 3 2 4 5" xfId="10383" xr:uid="{70058D96-66BE-41BD-B805-5ACC20F13F03}"/>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E18E5641-C780-45D3-AA78-8A3153E3122D}"/>
    <cellStyle name="Normal 8 3 2 5 2 3" xfId="12941" xr:uid="{E92E58D2-7517-4262-840E-5F8271D78EAA}"/>
    <cellStyle name="Normal 8 3 2 5 3" xfId="5687" xr:uid="{00000000-0005-0000-0000-0000751D0000}"/>
    <cellStyle name="Normal 8 3 2 5 3 2" xfId="15013" xr:uid="{2D82646F-B269-4E7E-8B48-A5E8335CB01A}"/>
    <cellStyle name="Normal 8 3 2 5 4" xfId="10796" xr:uid="{F402E83F-8DAD-47F4-9C06-26672324A749}"/>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0C7B9BCE-A7CC-4F25-8973-C5C26F1FEBD0}"/>
    <cellStyle name="Normal 8 3 2 6 2 3" xfId="13354" xr:uid="{002D5158-E8E4-4ED7-8C2C-DDA4153DCA8B}"/>
    <cellStyle name="Normal 8 3 2 6 3" xfId="6100" xr:uid="{00000000-0005-0000-0000-0000791D0000}"/>
    <cellStyle name="Normal 8 3 2 6 3 2" xfId="15426" xr:uid="{8CEA0A0D-A770-4445-A970-BB135506FBFC}"/>
    <cellStyle name="Normal 8 3 2 6 4" xfId="11209" xr:uid="{8DBE8F93-1A7B-4C6F-8819-900ACB4BD3D1}"/>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891EC225-E5F9-4853-BFFB-22B71B62BA10}"/>
    <cellStyle name="Normal 8 3 2 7 2 3" xfId="13767" xr:uid="{1DE07F5E-B768-409A-B0BC-12E91C945ED8}"/>
    <cellStyle name="Normal 8 3 2 7 3" xfId="6513" xr:uid="{00000000-0005-0000-0000-00007D1D0000}"/>
    <cellStyle name="Normal 8 3 2 7 3 2" xfId="15839" xr:uid="{D3EB5034-3ED8-4B72-BB95-596AD1521F1C}"/>
    <cellStyle name="Normal 8 3 2 7 4" xfId="11622" xr:uid="{7F10FE3D-CD89-4AEB-B052-35F9F72E4178}"/>
    <cellStyle name="Normal 8 3 2 8" xfId="2643" xr:uid="{00000000-0005-0000-0000-00007E1D0000}"/>
    <cellStyle name="Normal 8 3 2 8 2" xfId="6926" xr:uid="{00000000-0005-0000-0000-00007F1D0000}"/>
    <cellStyle name="Normal 8 3 2 8 2 2" xfId="16252" xr:uid="{1BDCAC42-A9DC-4BB8-9B5E-03D32A163E66}"/>
    <cellStyle name="Normal 8 3 2 8 3" xfId="12035" xr:uid="{466D6696-6460-4B07-A4C7-D03C8A0D2F34}"/>
    <cellStyle name="Normal 8 3 2 9" xfId="4861" xr:uid="{00000000-0005-0000-0000-0000801D0000}"/>
    <cellStyle name="Normal 8 3 2 9 2" xfId="14187" xr:uid="{B0C7F2D6-0CB6-4CA9-86AF-F7448CC6242B}"/>
    <cellStyle name="Normal 8 3 3" xfId="500" xr:uid="{00000000-0005-0000-0000-0000811D0000}"/>
    <cellStyle name="Normal 8 3 3 10" xfId="9974" xr:uid="{5A87176E-5914-4CDE-B712-71A07C651182}"/>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A0A64543-1A12-4CE0-BCC8-E2C2C30C4BE3}"/>
    <cellStyle name="Normal 8 3 3 2 2 2 3" xfId="12533" xr:uid="{99962ADC-F911-4547-88D6-D510AEC60869}"/>
    <cellStyle name="Normal 8 3 3 2 2 3" xfId="5279" xr:uid="{00000000-0005-0000-0000-0000861D0000}"/>
    <cellStyle name="Normal 8 3 3 2 2 3 2" xfId="14605" xr:uid="{144331F5-B764-406D-A455-2CA3072EA783}"/>
    <cellStyle name="Normal 8 3 3 2 2 4" xfId="9509" xr:uid="{3B4378D3-7C51-4B91-822B-758528BFF352}"/>
    <cellStyle name="Normal 8 3 3 2 2 4 2" xfId="18824" xr:uid="{3E21FA4E-BDA7-4D5A-9395-8C8B72741A11}"/>
    <cellStyle name="Normal 8 3 3 2 2 5" xfId="10388" xr:uid="{56DD4B57-8981-409B-851F-D604EF25BBB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9A177E6D-4CC3-46B8-81D8-505F7A7866C2}"/>
    <cellStyle name="Normal 8 3 3 2 3 2 3" xfId="12946" xr:uid="{55BED08F-11EA-4DC1-87C0-8767670180DD}"/>
    <cellStyle name="Normal 8 3 3 2 3 3" xfId="5692" xr:uid="{00000000-0005-0000-0000-00008A1D0000}"/>
    <cellStyle name="Normal 8 3 3 2 3 3 2" xfId="15018" xr:uid="{9B970423-97C8-4FCD-802C-70FD96AD13FA}"/>
    <cellStyle name="Normal 8 3 3 2 3 4" xfId="10801" xr:uid="{CACFDD4C-BF56-490C-AE15-9C02E7A870CD}"/>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1A12AB94-460D-48DC-98D4-A71B69CD29BF}"/>
    <cellStyle name="Normal 8 3 3 2 4 2 3" xfId="13359" xr:uid="{2AD458B3-DD93-45F1-AE8D-84CEA35EECFB}"/>
    <cellStyle name="Normal 8 3 3 2 4 3" xfId="6105" xr:uid="{00000000-0005-0000-0000-00008E1D0000}"/>
    <cellStyle name="Normal 8 3 3 2 4 3 2" xfId="15431" xr:uid="{8060FB6F-075C-43E8-9658-8F741C5CF281}"/>
    <cellStyle name="Normal 8 3 3 2 4 4" xfId="11214" xr:uid="{10E05D7D-1C85-43E5-887F-2C19B6B435FE}"/>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A61DE705-E90B-4D76-8B42-C5B6E61BA318}"/>
    <cellStyle name="Normal 8 3 3 2 5 2 3" xfId="13772" xr:uid="{53E33A8B-65A4-44D4-8ADB-B51490CD3663}"/>
    <cellStyle name="Normal 8 3 3 2 5 3" xfId="6518" xr:uid="{00000000-0005-0000-0000-0000921D0000}"/>
    <cellStyle name="Normal 8 3 3 2 5 3 2" xfId="15844" xr:uid="{C85DD939-86DD-4730-BBCB-74838C3B8F43}"/>
    <cellStyle name="Normal 8 3 3 2 5 4" xfId="11627" xr:uid="{AC9D568D-1376-456F-B86D-7B99CCF79602}"/>
    <cellStyle name="Normal 8 3 3 2 6" xfId="2648" xr:uid="{00000000-0005-0000-0000-0000931D0000}"/>
    <cellStyle name="Normal 8 3 3 2 6 2" xfId="6931" xr:uid="{00000000-0005-0000-0000-0000941D0000}"/>
    <cellStyle name="Normal 8 3 3 2 6 2 2" xfId="16257" xr:uid="{4192AEB3-579E-44FE-94B5-D6713333A7B5}"/>
    <cellStyle name="Normal 8 3 3 2 6 3" xfId="12040" xr:uid="{26EC7386-8028-4900-9066-2ACE53B09CA3}"/>
    <cellStyle name="Normal 8 3 3 2 7" xfId="4866" xr:uid="{00000000-0005-0000-0000-0000951D0000}"/>
    <cellStyle name="Normal 8 3 3 2 7 2" xfId="14192" xr:uid="{87F47093-1F20-45BF-A3B0-0B6FEB02A722}"/>
    <cellStyle name="Normal 8 3 3 2 8" xfId="9084" xr:uid="{94243AB7-0454-4C95-8E94-054E46718167}"/>
    <cellStyle name="Normal 8 3 3 2 8 2" xfId="18408" xr:uid="{BB417172-8612-4CBF-8792-FEAEE1ECF96C}"/>
    <cellStyle name="Normal 8 3 3 2 9" xfId="9975" xr:uid="{791B2F69-6706-4EF2-A11F-FF3958C8C6F7}"/>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73021382-D10F-4E28-B74E-D0B40691687B}"/>
    <cellStyle name="Normal 8 3 3 3 2 3" xfId="12532" xr:uid="{22AE6B16-4C80-4C61-B654-D04D62559B51}"/>
    <cellStyle name="Normal 8 3 3 3 3" xfId="5278" xr:uid="{00000000-0005-0000-0000-0000991D0000}"/>
    <cellStyle name="Normal 8 3 3 3 3 2" xfId="14604" xr:uid="{651C0B76-FE6A-4E39-99E9-DF771347C6A9}"/>
    <cellStyle name="Normal 8 3 3 3 4" xfId="9302" xr:uid="{3985B908-2B56-4F9B-BEA3-8962926FD004}"/>
    <cellStyle name="Normal 8 3 3 3 4 2" xfId="18617" xr:uid="{E7CE854C-344C-462F-BFB6-13FC1CF17AC8}"/>
    <cellStyle name="Normal 8 3 3 3 5" xfId="10387" xr:uid="{778BCBEA-01CC-41CA-B28E-FFC4D79CF20B}"/>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9A2053D4-D09E-41F7-9A3B-C6D257134B05}"/>
    <cellStyle name="Normal 8 3 3 4 2 3" xfId="12945" xr:uid="{0A72641B-92F9-4040-978B-873E83CB7ADE}"/>
    <cellStyle name="Normal 8 3 3 4 3" xfId="5691" xr:uid="{00000000-0005-0000-0000-00009D1D0000}"/>
    <cellStyle name="Normal 8 3 3 4 3 2" xfId="15017" xr:uid="{A54BD089-56CE-44CF-8F0B-79B689673228}"/>
    <cellStyle name="Normal 8 3 3 4 4" xfId="10800" xr:uid="{94A9A47E-50B9-4FFF-94C9-446F80619C62}"/>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BB7D1376-FA1B-4F1F-AEFD-ED8648540BEE}"/>
    <cellStyle name="Normal 8 3 3 5 2 3" xfId="13358" xr:uid="{C0484818-9C82-4B44-8272-6582BB62C12A}"/>
    <cellStyle name="Normal 8 3 3 5 3" xfId="6104" xr:uid="{00000000-0005-0000-0000-0000A11D0000}"/>
    <cellStyle name="Normal 8 3 3 5 3 2" xfId="15430" xr:uid="{6F37BE27-9DF6-4769-9BD7-F79500DB5F82}"/>
    <cellStyle name="Normal 8 3 3 5 4" xfId="11213" xr:uid="{59239118-A4CC-4AD2-B541-41BC904D9BD0}"/>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DE3F1636-1BDD-4176-9B53-5D8F46590086}"/>
    <cellStyle name="Normal 8 3 3 6 2 3" xfId="13771" xr:uid="{7DF858CE-5258-465F-B30F-2108D9D41D27}"/>
    <cellStyle name="Normal 8 3 3 6 3" xfId="6517" xr:uid="{00000000-0005-0000-0000-0000A51D0000}"/>
    <cellStyle name="Normal 8 3 3 6 3 2" xfId="15843" xr:uid="{C152DFE7-6BE8-4E84-985A-1622B542DD91}"/>
    <cellStyle name="Normal 8 3 3 6 4" xfId="11626" xr:uid="{D4321DA9-68D9-4F62-83EB-5D7D46DD7F2D}"/>
    <cellStyle name="Normal 8 3 3 7" xfId="2647" xr:uid="{00000000-0005-0000-0000-0000A61D0000}"/>
    <cellStyle name="Normal 8 3 3 7 2" xfId="6930" xr:uid="{00000000-0005-0000-0000-0000A71D0000}"/>
    <cellStyle name="Normal 8 3 3 7 2 2" xfId="16256" xr:uid="{7DDF8BD8-597E-4BD9-AA50-FA7082F44D3A}"/>
    <cellStyle name="Normal 8 3 3 7 3" xfId="12039" xr:uid="{08EC60EB-AEA3-476E-B2E5-46195C4E3608}"/>
    <cellStyle name="Normal 8 3 3 8" xfId="4865" xr:uid="{00000000-0005-0000-0000-0000A81D0000}"/>
    <cellStyle name="Normal 8 3 3 8 2" xfId="14191" xr:uid="{3DD05161-F403-423A-BFE9-44609D5949D0}"/>
    <cellStyle name="Normal 8 3 3 9" xfId="8877" xr:uid="{4F8231E3-800E-43E7-B1B6-9633EBFFFFE1}"/>
    <cellStyle name="Normal 8 3 3 9 2" xfId="18201" xr:uid="{61C8F96F-A085-4B55-9B27-4705ECFD8067}"/>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C89B32E9-0034-407F-ADBB-828AA6E0E413}"/>
    <cellStyle name="Normal 8 3 4 2 2 3" xfId="12534" xr:uid="{3804AE20-6829-4F44-9F4B-611DC660CEF2}"/>
    <cellStyle name="Normal 8 3 4 2 3" xfId="5280" xr:uid="{00000000-0005-0000-0000-0000AD1D0000}"/>
    <cellStyle name="Normal 8 3 4 2 3 2" xfId="14606" xr:uid="{48133F6D-408F-473D-ACA9-B6B196E85D70}"/>
    <cellStyle name="Normal 8 3 4 2 4" xfId="9406" xr:uid="{8751BE45-E47B-4A0A-B0DE-04C14FAEA88D}"/>
    <cellStyle name="Normal 8 3 4 2 4 2" xfId="18721" xr:uid="{E6492276-AA4A-41D7-B958-845E2038CBD4}"/>
    <cellStyle name="Normal 8 3 4 2 5" xfId="10389" xr:uid="{EAFE5D35-C676-49E6-BFDA-852D8910D4CA}"/>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DDD1C06A-949D-4C9F-852C-9C37A83C6597}"/>
    <cellStyle name="Normal 8 3 4 3 2 3" xfId="12947" xr:uid="{F6B11055-64F9-4CB6-8D23-AF6681C0CA67}"/>
    <cellStyle name="Normal 8 3 4 3 3" xfId="5693" xr:uid="{00000000-0005-0000-0000-0000B11D0000}"/>
    <cellStyle name="Normal 8 3 4 3 3 2" xfId="15019" xr:uid="{767944A6-DCC3-4929-A4CD-A69B9AD845B8}"/>
    <cellStyle name="Normal 8 3 4 3 4" xfId="10802" xr:uid="{B90FA837-F463-4EA4-A03A-2B61FF3AEC88}"/>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FE6D2250-B3BC-4F77-829A-7862E1EBD828}"/>
    <cellStyle name="Normal 8 3 4 4 2 3" xfId="13360" xr:uid="{0D1FA731-7D11-47A6-9DFD-72393D44E2C4}"/>
    <cellStyle name="Normal 8 3 4 4 3" xfId="6106" xr:uid="{00000000-0005-0000-0000-0000B51D0000}"/>
    <cellStyle name="Normal 8 3 4 4 3 2" xfId="15432" xr:uid="{BC656534-9DE9-4DCE-9A61-2E95DEF50022}"/>
    <cellStyle name="Normal 8 3 4 4 4" xfId="11215" xr:uid="{0F1B9F61-4560-4D4D-8D75-1FEB9B659504}"/>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523721AF-F04F-4BFB-9DC8-69A4FFFF7421}"/>
    <cellStyle name="Normal 8 3 4 5 2 3" xfId="13773" xr:uid="{F6BD0A40-0FF2-42D6-844C-2B76E880B933}"/>
    <cellStyle name="Normal 8 3 4 5 3" xfId="6519" xr:uid="{00000000-0005-0000-0000-0000B91D0000}"/>
    <cellStyle name="Normal 8 3 4 5 3 2" xfId="15845" xr:uid="{C04295AE-18B8-467C-91ED-ABDF74A921E2}"/>
    <cellStyle name="Normal 8 3 4 5 4" xfId="11628" xr:uid="{8649118F-1500-4E56-9C10-6B3DBDC345E6}"/>
    <cellStyle name="Normal 8 3 4 6" xfId="2649" xr:uid="{00000000-0005-0000-0000-0000BA1D0000}"/>
    <cellStyle name="Normal 8 3 4 6 2" xfId="6932" xr:uid="{00000000-0005-0000-0000-0000BB1D0000}"/>
    <cellStyle name="Normal 8 3 4 6 2 2" xfId="16258" xr:uid="{96B0C94E-0101-4F5A-BC31-FE410141C9F2}"/>
    <cellStyle name="Normal 8 3 4 6 3" xfId="12041" xr:uid="{D320C732-617B-4DA9-91DF-D23C8305D1A7}"/>
    <cellStyle name="Normal 8 3 4 7" xfId="4867" xr:uid="{00000000-0005-0000-0000-0000BC1D0000}"/>
    <cellStyle name="Normal 8 3 4 7 2" xfId="14193" xr:uid="{DD536851-7A43-4906-847E-067032F5FE60}"/>
    <cellStyle name="Normal 8 3 4 8" xfId="8981" xr:uid="{BEE184E9-ECE6-4107-B29A-CC8BC7F28FA3}"/>
    <cellStyle name="Normal 8 3 4 8 2" xfId="18305" xr:uid="{71CA9872-4271-4A36-B397-B099B79FFB3A}"/>
    <cellStyle name="Normal 8 3 4 9" xfId="9976" xr:uid="{87A5D6D5-35F2-4135-A38C-50668747E80F}"/>
    <cellStyle name="Normal 8 3 5" xfId="962" xr:uid="{00000000-0005-0000-0000-0000BD1D0000}"/>
    <cellStyle name="Normal 8 3 5 2" xfId="3196" xr:uid="{00000000-0005-0000-0000-0000BE1D0000}"/>
    <cellStyle name="Normal 8 3 5 2 2" xfId="7418" xr:uid="{00000000-0005-0000-0000-0000BF1D0000}"/>
    <cellStyle name="Normal 8 3 5 2 2 2" xfId="16744" xr:uid="{F486FD2F-C706-492A-B274-ABC58AAB7E96}"/>
    <cellStyle name="Normal 8 3 5 2 3" xfId="12527" xr:uid="{E1B970B3-586F-4281-8A0A-4051D9891612}"/>
    <cellStyle name="Normal 8 3 5 3" xfId="5273" xr:uid="{00000000-0005-0000-0000-0000C01D0000}"/>
    <cellStyle name="Normal 8 3 5 3 2" xfId="14599" xr:uid="{F8C53520-5CEA-4FBE-8F46-D59200A888D3}"/>
    <cellStyle name="Normal 8 3 5 4" xfId="9198" xr:uid="{FA5A5C79-C3AC-4E17-9344-90C4E411EE0B}"/>
    <cellStyle name="Normal 8 3 5 4 2" xfId="18514" xr:uid="{92C5B35F-D62C-4B78-907F-9425AFBC8C18}"/>
    <cellStyle name="Normal 8 3 5 5" xfId="10382" xr:uid="{8C551338-0F3A-4FE3-969C-A20FE0648F83}"/>
    <cellStyle name="Normal 8 3 6" xfId="1379" xr:uid="{00000000-0005-0000-0000-0000C11D0000}"/>
    <cellStyle name="Normal 8 3 6 2" xfId="3609" xr:uid="{00000000-0005-0000-0000-0000C21D0000}"/>
    <cellStyle name="Normal 8 3 6 2 2" xfId="7831" xr:uid="{00000000-0005-0000-0000-0000C31D0000}"/>
    <cellStyle name="Normal 8 3 6 2 2 2" xfId="17157" xr:uid="{D470E8E4-8EE0-4E2C-BF87-C89E4C98F433}"/>
    <cellStyle name="Normal 8 3 6 2 3" xfId="12940" xr:uid="{7290F611-8735-44F4-BCD9-C8A290C4B066}"/>
    <cellStyle name="Normal 8 3 6 3" xfId="5686" xr:uid="{00000000-0005-0000-0000-0000C41D0000}"/>
    <cellStyle name="Normal 8 3 6 3 2" xfId="15012" xr:uid="{DE6E471F-36C8-4030-A7DC-E4232008C6DA}"/>
    <cellStyle name="Normal 8 3 6 4" xfId="10795" xr:uid="{CC1E95EA-D0E5-491E-857D-136F4533C142}"/>
    <cellStyle name="Normal 8 3 7" xfId="1792" xr:uid="{00000000-0005-0000-0000-0000C51D0000}"/>
    <cellStyle name="Normal 8 3 7 2" xfId="4022" xr:uid="{00000000-0005-0000-0000-0000C61D0000}"/>
    <cellStyle name="Normal 8 3 7 2 2" xfId="8244" xr:uid="{00000000-0005-0000-0000-0000C71D0000}"/>
    <cellStyle name="Normal 8 3 7 2 2 2" xfId="17570" xr:uid="{4D4F033D-364B-4B79-93E0-AE1A59A0503E}"/>
    <cellStyle name="Normal 8 3 7 2 3" xfId="13353" xr:uid="{4F549E85-E07F-4753-8771-DD0ADC28A21C}"/>
    <cellStyle name="Normal 8 3 7 3" xfId="6099" xr:uid="{00000000-0005-0000-0000-0000C81D0000}"/>
    <cellStyle name="Normal 8 3 7 3 2" xfId="15425" xr:uid="{7D6AD52A-B007-4FAF-B0DD-0A05C19F00F9}"/>
    <cellStyle name="Normal 8 3 7 4" xfId="11208" xr:uid="{7A4263F2-FE2F-4577-86B6-E513D54A3FD1}"/>
    <cellStyle name="Normal 8 3 8" xfId="2206" xr:uid="{00000000-0005-0000-0000-0000C91D0000}"/>
    <cellStyle name="Normal 8 3 8 2" xfId="4435" xr:uid="{00000000-0005-0000-0000-0000CA1D0000}"/>
    <cellStyle name="Normal 8 3 8 2 2" xfId="8657" xr:uid="{00000000-0005-0000-0000-0000CB1D0000}"/>
    <cellStyle name="Normal 8 3 8 2 2 2" xfId="17983" xr:uid="{E913C480-F84E-4E3D-A99B-CCA86E814DBD}"/>
    <cellStyle name="Normal 8 3 8 2 3" xfId="13766" xr:uid="{95329890-B35D-4E1D-9745-CA98C8EDD755}"/>
    <cellStyle name="Normal 8 3 8 3" xfId="6512" xr:uid="{00000000-0005-0000-0000-0000CC1D0000}"/>
    <cellStyle name="Normal 8 3 8 3 2" xfId="15838" xr:uid="{893FCB79-BF46-451D-82B1-EA259A805734}"/>
    <cellStyle name="Normal 8 3 8 4" xfId="11621" xr:uid="{78F441CB-CE84-4995-820D-2CD4F3A4D7C2}"/>
    <cellStyle name="Normal 8 3 9" xfId="2642" xr:uid="{00000000-0005-0000-0000-0000CD1D0000}"/>
    <cellStyle name="Normal 8 3 9 2" xfId="6925" xr:uid="{00000000-0005-0000-0000-0000CE1D0000}"/>
    <cellStyle name="Normal 8 3 9 2 2" xfId="16251" xr:uid="{6AF2D8A3-E01B-44FC-84CF-5AF7B93B2605}"/>
    <cellStyle name="Normal 8 3 9 3" xfId="12034" xr:uid="{23DDB6F9-E69C-4459-A86F-A76F6714AE9D}"/>
    <cellStyle name="Normal 8 4" xfId="503" xr:uid="{00000000-0005-0000-0000-0000CF1D0000}"/>
    <cellStyle name="Normal 8 4 10" xfId="8834" xr:uid="{78848A4E-06FA-4050-B553-A3A7DEA1B047}"/>
    <cellStyle name="Normal 8 4 10 2" xfId="18158" xr:uid="{5F04BF96-3870-4426-9E82-C691621B5265}"/>
    <cellStyle name="Normal 8 4 11" xfId="9977" xr:uid="{245C6293-65ED-4F54-ABC4-DDA1085F3A15}"/>
    <cellStyle name="Normal 8 4 2" xfId="504" xr:uid="{00000000-0005-0000-0000-0000D01D0000}"/>
    <cellStyle name="Normal 8 4 2 10" xfId="9978" xr:uid="{BBC1B96A-AA34-49F5-886F-FEC3597EA465}"/>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C07B99AD-0DEC-4A01-82E2-BE8F4B0A17E1}"/>
    <cellStyle name="Normal 8 4 2 2 2 2 3" xfId="12537" xr:uid="{9F2934DB-899B-4238-8C6E-9A5065A870DC}"/>
    <cellStyle name="Normal 8 4 2 2 2 3" xfId="5283" xr:uid="{00000000-0005-0000-0000-0000D51D0000}"/>
    <cellStyle name="Normal 8 4 2 2 2 3 2" xfId="14609" xr:uid="{112DAF0D-7D0E-4A77-ADDE-EEDD6D52E32F}"/>
    <cellStyle name="Normal 8 4 2 2 2 4" xfId="9569" xr:uid="{F21122F8-27BB-4D46-891E-281F736F5353}"/>
    <cellStyle name="Normal 8 4 2 2 2 4 2" xfId="18884" xr:uid="{9A471BCB-8532-4413-9057-CAE5E60754B0}"/>
    <cellStyle name="Normal 8 4 2 2 2 5" xfId="10392" xr:uid="{2A18C7DC-286C-4F15-9482-5BD708F473FF}"/>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A0550E33-96FF-48A0-8BD9-7F42CA288730}"/>
    <cellStyle name="Normal 8 4 2 2 3 2 3" xfId="12950" xr:uid="{97699368-894C-4133-86EE-04897B47AA75}"/>
    <cellStyle name="Normal 8 4 2 2 3 3" xfId="5696" xr:uid="{00000000-0005-0000-0000-0000D91D0000}"/>
    <cellStyle name="Normal 8 4 2 2 3 3 2" xfId="15022" xr:uid="{9BFC288A-70E0-412A-BF9F-CB45E4793029}"/>
    <cellStyle name="Normal 8 4 2 2 3 4" xfId="10805" xr:uid="{C664342D-3D7A-48DC-BF28-1BA1FCEAB50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ED4FBF4A-130F-4EF0-95DC-414597E5A027}"/>
    <cellStyle name="Normal 8 4 2 2 4 2 3" xfId="13363" xr:uid="{78CA9CAD-133B-4281-8217-BB6CC3B41464}"/>
    <cellStyle name="Normal 8 4 2 2 4 3" xfId="6109" xr:uid="{00000000-0005-0000-0000-0000DD1D0000}"/>
    <cellStyle name="Normal 8 4 2 2 4 3 2" xfId="15435" xr:uid="{57AE341F-7899-4EE9-96EA-F65A4BD55124}"/>
    <cellStyle name="Normal 8 4 2 2 4 4" xfId="11218" xr:uid="{4080D114-1894-4FE6-B45A-AF05EA0C0D16}"/>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7A2AB38D-A268-419E-97C7-1462541343CA}"/>
    <cellStyle name="Normal 8 4 2 2 5 2 3" xfId="13776" xr:uid="{0D1270D1-D0A8-4EAC-A5E9-E69BA0CA2AA6}"/>
    <cellStyle name="Normal 8 4 2 2 5 3" xfId="6522" xr:uid="{00000000-0005-0000-0000-0000E11D0000}"/>
    <cellStyle name="Normal 8 4 2 2 5 3 2" xfId="15848" xr:uid="{F7FD7896-35EE-41C0-AC5E-EAB67E89ECA3}"/>
    <cellStyle name="Normal 8 4 2 2 5 4" xfId="11631" xr:uid="{6D6E07CF-446C-41D2-B652-890E62C290DD}"/>
    <cellStyle name="Normal 8 4 2 2 6" xfId="2652" xr:uid="{00000000-0005-0000-0000-0000E21D0000}"/>
    <cellStyle name="Normal 8 4 2 2 6 2" xfId="6935" xr:uid="{00000000-0005-0000-0000-0000E31D0000}"/>
    <cellStyle name="Normal 8 4 2 2 6 2 2" xfId="16261" xr:uid="{70076124-8B8D-4F14-B932-0CFA200AD5BA}"/>
    <cellStyle name="Normal 8 4 2 2 6 3" xfId="12044" xr:uid="{0AFA0C2D-969E-4873-AA35-D432673DBB2E}"/>
    <cellStyle name="Normal 8 4 2 2 7" xfId="4870" xr:uid="{00000000-0005-0000-0000-0000E41D0000}"/>
    <cellStyle name="Normal 8 4 2 2 7 2" xfId="14196" xr:uid="{55A0B275-CD28-4BC0-8FBA-66ADB344D104}"/>
    <cellStyle name="Normal 8 4 2 2 8" xfId="9144" xr:uid="{EF6B0978-3DE8-47DC-990C-0B47AAC8F1DC}"/>
    <cellStyle name="Normal 8 4 2 2 8 2" xfId="18468" xr:uid="{6E4194E8-6C66-4B91-8946-238E3568E491}"/>
    <cellStyle name="Normal 8 4 2 2 9" xfId="9979" xr:uid="{8BBE540C-9ACD-4E4E-AAF7-6AF4730A0051}"/>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25A18144-CA95-46E3-8B47-E43EAF83F013}"/>
    <cellStyle name="Normal 8 4 2 3 2 3" xfId="12536" xr:uid="{022C81DE-B8F9-4E2E-8D52-3D4A4C36C780}"/>
    <cellStyle name="Normal 8 4 2 3 3" xfId="5282" xr:uid="{00000000-0005-0000-0000-0000E81D0000}"/>
    <cellStyle name="Normal 8 4 2 3 3 2" xfId="14608" xr:uid="{66E7DCBC-0547-4142-A6CA-3A1F3CD6E561}"/>
    <cellStyle name="Normal 8 4 2 3 4" xfId="9362" xr:uid="{206856BB-FDDB-4012-ABFE-5E991E477A14}"/>
    <cellStyle name="Normal 8 4 2 3 4 2" xfId="18677" xr:uid="{4827F3FB-52CC-4121-B403-B8FF53E8FD55}"/>
    <cellStyle name="Normal 8 4 2 3 5" xfId="10391" xr:uid="{AF7EA737-6B2B-4D13-BE23-E7EC9E74F7F1}"/>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283C5CAB-A246-4879-94C9-EFDF2B66C70D}"/>
    <cellStyle name="Normal 8 4 2 4 2 3" xfId="12949" xr:uid="{15F070C4-F8E4-4515-8DD8-A425D4C0693E}"/>
    <cellStyle name="Normal 8 4 2 4 3" xfId="5695" xr:uid="{00000000-0005-0000-0000-0000EC1D0000}"/>
    <cellStyle name="Normal 8 4 2 4 3 2" xfId="15021" xr:uid="{6A3714EF-C23C-4DCD-A427-94E37F06407A}"/>
    <cellStyle name="Normal 8 4 2 4 4" xfId="10804" xr:uid="{CEBEE974-7CEF-40CD-A383-7F5418C275EA}"/>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B62AA0C3-0810-42DC-8FBB-81A43F5B2EEA}"/>
    <cellStyle name="Normal 8 4 2 5 2 3" xfId="13362" xr:uid="{1C0ABFCF-107F-4456-82AD-7ACC0ED85DF6}"/>
    <cellStyle name="Normal 8 4 2 5 3" xfId="6108" xr:uid="{00000000-0005-0000-0000-0000F01D0000}"/>
    <cellStyle name="Normal 8 4 2 5 3 2" xfId="15434" xr:uid="{A5DBF69A-09CE-442D-AFB5-A0841AAB15A1}"/>
    <cellStyle name="Normal 8 4 2 5 4" xfId="11217" xr:uid="{4BB05913-5AF6-476E-8A3E-73F5BE6D6D1D}"/>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B554E769-7075-4CD0-B4D5-C976B10EBC2D}"/>
    <cellStyle name="Normal 8 4 2 6 2 3" xfId="13775" xr:uid="{710C10C4-07B0-4251-BBC4-5530321DB50D}"/>
    <cellStyle name="Normal 8 4 2 6 3" xfId="6521" xr:uid="{00000000-0005-0000-0000-0000F41D0000}"/>
    <cellStyle name="Normal 8 4 2 6 3 2" xfId="15847" xr:uid="{81D70475-F9B6-49FB-906D-EAE31C4A7E15}"/>
    <cellStyle name="Normal 8 4 2 6 4" xfId="11630" xr:uid="{9C17D51F-CF0F-43C5-ABD4-366078E11ED7}"/>
    <cellStyle name="Normal 8 4 2 7" xfId="2651" xr:uid="{00000000-0005-0000-0000-0000F51D0000}"/>
    <cellStyle name="Normal 8 4 2 7 2" xfId="6934" xr:uid="{00000000-0005-0000-0000-0000F61D0000}"/>
    <cellStyle name="Normal 8 4 2 7 2 2" xfId="16260" xr:uid="{0BCA3C75-B9E8-4CD8-A03E-0239EDEB3535}"/>
    <cellStyle name="Normal 8 4 2 7 3" xfId="12043" xr:uid="{93722458-40B4-4366-B870-0008CE324E45}"/>
    <cellStyle name="Normal 8 4 2 8" xfId="4869" xr:uid="{00000000-0005-0000-0000-0000F71D0000}"/>
    <cellStyle name="Normal 8 4 2 8 2" xfId="14195" xr:uid="{01D66E3D-05F1-4FD8-BE01-84D6808DA87E}"/>
    <cellStyle name="Normal 8 4 2 9" xfId="8937" xr:uid="{B425CDA4-C1C1-4A6C-AB85-CE28E324A88F}"/>
    <cellStyle name="Normal 8 4 2 9 2" xfId="18261" xr:uid="{BC045731-89BD-48B2-BD8A-071FB0141CEB}"/>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49A6A955-4C18-43DF-AD46-8546A98B5472}"/>
    <cellStyle name="Normal 8 4 3 2 2 3" xfId="12538" xr:uid="{18DC28DE-A132-4A75-BC0A-62C64DD4E581}"/>
    <cellStyle name="Normal 8 4 3 2 3" xfId="5284" xr:uid="{00000000-0005-0000-0000-0000FC1D0000}"/>
    <cellStyle name="Normal 8 4 3 2 3 2" xfId="14610" xr:uid="{A5D34D6E-6F62-4B22-92BF-9B09A7CF5E0B}"/>
    <cellStyle name="Normal 8 4 3 2 4" xfId="9466" xr:uid="{4C42748F-6D34-4D0D-8AE2-FFD5C0CBE26F}"/>
    <cellStyle name="Normal 8 4 3 2 4 2" xfId="18781" xr:uid="{EE4D515F-BB14-481E-964B-A995AE8C95F2}"/>
    <cellStyle name="Normal 8 4 3 2 5" xfId="10393" xr:uid="{1EADE334-931C-4FA0-9602-031D1D98814D}"/>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0BCEAE24-52CD-47AC-B032-511C2F7569CB}"/>
    <cellStyle name="Normal 8 4 3 3 2 3" xfId="12951" xr:uid="{826B9A2D-C2FC-40AE-9359-B93986E57E7E}"/>
    <cellStyle name="Normal 8 4 3 3 3" xfId="5697" xr:uid="{00000000-0005-0000-0000-0000001E0000}"/>
    <cellStyle name="Normal 8 4 3 3 3 2" xfId="15023" xr:uid="{3AE429C2-E66D-4DBB-A9FF-2FB18955D682}"/>
    <cellStyle name="Normal 8 4 3 3 4" xfId="10806" xr:uid="{79B04663-2985-47AF-A856-FDBBD76F6E50}"/>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A76A1489-3148-4603-BA33-E4D878E93F8A}"/>
    <cellStyle name="Normal 8 4 3 4 2 3" xfId="13364" xr:uid="{7612C382-DE0A-4408-A412-47DDDE3EC609}"/>
    <cellStyle name="Normal 8 4 3 4 3" xfId="6110" xr:uid="{00000000-0005-0000-0000-0000041E0000}"/>
    <cellStyle name="Normal 8 4 3 4 3 2" xfId="15436" xr:uid="{26867ED4-DB4D-468C-91D5-A52A0BDDB257}"/>
    <cellStyle name="Normal 8 4 3 4 4" xfId="11219" xr:uid="{7246A337-EF16-436E-BBFB-3D17B407229F}"/>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A8A3FC65-B78D-433E-81D6-243C99755910}"/>
    <cellStyle name="Normal 8 4 3 5 2 3" xfId="13777" xr:uid="{EAA3B200-505F-4FDE-92FE-A60F9D837BEF}"/>
    <cellStyle name="Normal 8 4 3 5 3" xfId="6523" xr:uid="{00000000-0005-0000-0000-0000081E0000}"/>
    <cellStyle name="Normal 8 4 3 5 3 2" xfId="15849" xr:uid="{D6763673-8C1F-42FD-86AF-CE112561458E}"/>
    <cellStyle name="Normal 8 4 3 5 4" xfId="11632" xr:uid="{D8C929AE-30F7-472C-995F-9558FCA59BE1}"/>
    <cellStyle name="Normal 8 4 3 6" xfId="2653" xr:uid="{00000000-0005-0000-0000-0000091E0000}"/>
    <cellStyle name="Normal 8 4 3 6 2" xfId="6936" xr:uid="{00000000-0005-0000-0000-00000A1E0000}"/>
    <cellStyle name="Normal 8 4 3 6 2 2" xfId="16262" xr:uid="{19A3342B-2661-43B8-A13D-9E72485BE316}"/>
    <cellStyle name="Normal 8 4 3 6 3" xfId="12045" xr:uid="{85D7BF23-7857-44D2-8372-7B584DD6949C}"/>
    <cellStyle name="Normal 8 4 3 7" xfId="4871" xr:uid="{00000000-0005-0000-0000-00000B1E0000}"/>
    <cellStyle name="Normal 8 4 3 7 2" xfId="14197" xr:uid="{3119F8CF-5530-46BB-B6A0-F9566DF4D725}"/>
    <cellStyle name="Normal 8 4 3 8" xfId="9041" xr:uid="{3EA15F1E-D38A-4BB8-BEC6-98D9A94BB79B}"/>
    <cellStyle name="Normal 8 4 3 8 2" xfId="18365" xr:uid="{C645A8CB-63C8-4895-B433-9EDAE07BF08C}"/>
    <cellStyle name="Normal 8 4 3 9" xfId="9980" xr:uid="{1F052ECA-8D86-4F1D-A172-A350D89FA353}"/>
    <cellStyle name="Normal 8 4 4" xfId="970" xr:uid="{00000000-0005-0000-0000-00000C1E0000}"/>
    <cellStyle name="Normal 8 4 4 2" xfId="3204" xr:uid="{00000000-0005-0000-0000-00000D1E0000}"/>
    <cellStyle name="Normal 8 4 4 2 2" xfId="7426" xr:uid="{00000000-0005-0000-0000-00000E1E0000}"/>
    <cellStyle name="Normal 8 4 4 2 2 2" xfId="16752" xr:uid="{57FD693B-0983-46D0-82B2-C70BFE25B40E}"/>
    <cellStyle name="Normal 8 4 4 2 3" xfId="12535" xr:uid="{971E579D-1E4F-4296-9A1D-4F674E4B297A}"/>
    <cellStyle name="Normal 8 4 4 3" xfId="5281" xr:uid="{00000000-0005-0000-0000-00000F1E0000}"/>
    <cellStyle name="Normal 8 4 4 3 2" xfId="14607" xr:uid="{D9D8E1F3-476D-42FB-BFC3-1BC59FF4152A}"/>
    <cellStyle name="Normal 8 4 4 4" xfId="9259" xr:uid="{45904BAA-3C39-482B-A2B6-0FB84C0B889C}"/>
    <cellStyle name="Normal 8 4 4 4 2" xfId="18574" xr:uid="{CF122FB6-830D-466D-B107-B5EB17FC6DF0}"/>
    <cellStyle name="Normal 8 4 4 5" xfId="10390" xr:uid="{F6F9DF9F-5B29-4FB4-AE6F-E87DDCCC1854}"/>
    <cellStyle name="Normal 8 4 5" xfId="1387" xr:uid="{00000000-0005-0000-0000-0000101E0000}"/>
    <cellStyle name="Normal 8 4 5 2" xfId="3617" xr:uid="{00000000-0005-0000-0000-0000111E0000}"/>
    <cellStyle name="Normal 8 4 5 2 2" xfId="7839" xr:uid="{00000000-0005-0000-0000-0000121E0000}"/>
    <cellStyle name="Normal 8 4 5 2 2 2" xfId="17165" xr:uid="{3B2E90C7-F337-42BD-88D0-53B56817D105}"/>
    <cellStyle name="Normal 8 4 5 2 3" xfId="12948" xr:uid="{9D9D8CB3-FD69-4FA8-B3BF-DE0C8FD701EB}"/>
    <cellStyle name="Normal 8 4 5 3" xfId="5694" xr:uid="{00000000-0005-0000-0000-0000131E0000}"/>
    <cellStyle name="Normal 8 4 5 3 2" xfId="15020" xr:uid="{FF3BF38E-EB0A-428A-A0A9-11F6FA9802F1}"/>
    <cellStyle name="Normal 8 4 5 4" xfId="10803" xr:uid="{1BC4A015-7719-4C3C-9092-EDB7FD84061C}"/>
    <cellStyle name="Normal 8 4 6" xfId="1800" xr:uid="{00000000-0005-0000-0000-0000141E0000}"/>
    <cellStyle name="Normal 8 4 6 2" xfId="4030" xr:uid="{00000000-0005-0000-0000-0000151E0000}"/>
    <cellStyle name="Normal 8 4 6 2 2" xfId="8252" xr:uid="{00000000-0005-0000-0000-0000161E0000}"/>
    <cellStyle name="Normal 8 4 6 2 2 2" xfId="17578" xr:uid="{C376775D-84DD-4E36-A4BD-50B1FC1F30F2}"/>
    <cellStyle name="Normal 8 4 6 2 3" xfId="13361" xr:uid="{B8C74842-FAFE-4B34-AA5A-13FE4AAD288B}"/>
    <cellStyle name="Normal 8 4 6 3" xfId="6107" xr:uid="{00000000-0005-0000-0000-0000171E0000}"/>
    <cellStyle name="Normal 8 4 6 3 2" xfId="15433" xr:uid="{D547E2FD-36DA-4480-8A54-5FD80EE116C1}"/>
    <cellStyle name="Normal 8 4 6 4" xfId="11216" xr:uid="{27068A14-1589-47EA-81CC-21D1DEA18B1A}"/>
    <cellStyle name="Normal 8 4 7" xfId="2214" xr:uid="{00000000-0005-0000-0000-0000181E0000}"/>
    <cellStyle name="Normal 8 4 7 2" xfId="4443" xr:uid="{00000000-0005-0000-0000-0000191E0000}"/>
    <cellStyle name="Normal 8 4 7 2 2" xfId="8665" xr:uid="{00000000-0005-0000-0000-00001A1E0000}"/>
    <cellStyle name="Normal 8 4 7 2 2 2" xfId="17991" xr:uid="{3AFF0EDE-815C-4902-8774-8ED119398D20}"/>
    <cellStyle name="Normal 8 4 7 2 3" xfId="13774" xr:uid="{52E90BA4-F323-4126-B864-114606321C1E}"/>
    <cellStyle name="Normal 8 4 7 3" xfId="6520" xr:uid="{00000000-0005-0000-0000-00001B1E0000}"/>
    <cellStyle name="Normal 8 4 7 3 2" xfId="15846" xr:uid="{1B9DF98E-3A8E-4E0D-B8C4-B56D12BA1D22}"/>
    <cellStyle name="Normal 8 4 7 4" xfId="11629" xr:uid="{749CF3AF-0082-451E-BECD-4B31F56B4CC0}"/>
    <cellStyle name="Normal 8 4 8" xfId="2650" xr:uid="{00000000-0005-0000-0000-00001C1E0000}"/>
    <cellStyle name="Normal 8 4 8 2" xfId="6933" xr:uid="{00000000-0005-0000-0000-00001D1E0000}"/>
    <cellStyle name="Normal 8 4 8 2 2" xfId="16259" xr:uid="{101F134E-32EB-412F-8CE9-2C802E2273BD}"/>
    <cellStyle name="Normal 8 4 8 3" xfId="12042" xr:uid="{4D74754A-BDCA-490D-BDE5-29748ED97B71}"/>
    <cellStyle name="Normal 8 4 9" xfId="4868" xr:uid="{00000000-0005-0000-0000-00001E1E0000}"/>
    <cellStyle name="Normal 8 4 9 2" xfId="14194" xr:uid="{B381C93C-E04E-42F9-BE25-223D2079561B}"/>
    <cellStyle name="Normal 8 5" xfId="507" xr:uid="{00000000-0005-0000-0000-00001F1E0000}"/>
    <cellStyle name="Normal 8 5 10" xfId="9981" xr:uid="{B7C10747-0DF1-47F5-AD22-542B66F0B73A}"/>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ACD26FC9-AE08-4D45-A435-57673E4E7EF7}"/>
    <cellStyle name="Normal 8 5 2 2 2 3" xfId="12540" xr:uid="{1A497475-852F-495F-9E7F-D72FA7D2B6D2}"/>
    <cellStyle name="Normal 8 5 2 2 3" xfId="5286" xr:uid="{00000000-0005-0000-0000-0000241E0000}"/>
    <cellStyle name="Normal 8 5 2 2 3 2" xfId="14612" xr:uid="{985F6C6E-60C1-4E60-B36B-A1F0615733BB}"/>
    <cellStyle name="Normal 8 5 2 2 4" xfId="9477" xr:uid="{62ED1F43-6081-4B0B-94C3-5999D37D11C7}"/>
    <cellStyle name="Normal 8 5 2 2 4 2" xfId="18792" xr:uid="{119A0E1F-4F18-4008-A2A6-1BE0C7786FEC}"/>
    <cellStyle name="Normal 8 5 2 2 5" xfId="10395" xr:uid="{B0E8980E-E798-4BB5-B79B-6E3D248B2288}"/>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0E226787-AEB5-45FE-94AB-0B7C5FFB7AB5}"/>
    <cellStyle name="Normal 8 5 2 3 2 3" xfId="12953" xr:uid="{1DA064B4-D626-4848-B491-08A4F99E48E0}"/>
    <cellStyle name="Normal 8 5 2 3 3" xfId="5699" xr:uid="{00000000-0005-0000-0000-0000281E0000}"/>
    <cellStyle name="Normal 8 5 2 3 3 2" xfId="15025" xr:uid="{39E7B396-7702-46BB-B987-767F54DF215D}"/>
    <cellStyle name="Normal 8 5 2 3 4" xfId="10808" xr:uid="{22D7D578-5A18-4735-BA4D-1ABEEAFED0ED}"/>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EA58EBC3-4816-4507-B972-F14004748F87}"/>
    <cellStyle name="Normal 8 5 2 4 2 3" xfId="13366" xr:uid="{BBE664C4-0262-409A-A93D-0F496F6D63F1}"/>
    <cellStyle name="Normal 8 5 2 4 3" xfId="6112" xr:uid="{00000000-0005-0000-0000-00002C1E0000}"/>
    <cellStyle name="Normal 8 5 2 4 3 2" xfId="15438" xr:uid="{CB32D778-7A29-4EAB-80C2-C67B47F7C323}"/>
    <cellStyle name="Normal 8 5 2 4 4" xfId="11221" xr:uid="{8EBF37B8-5E14-4BB5-94E5-70622ABAD25C}"/>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4C9B17C0-8B43-4F96-8758-5680A4B23A8E}"/>
    <cellStyle name="Normal 8 5 2 5 2 3" xfId="13779" xr:uid="{F68F4A04-0C7A-4867-86DA-727F9090DD9D}"/>
    <cellStyle name="Normal 8 5 2 5 3" xfId="6525" xr:uid="{00000000-0005-0000-0000-0000301E0000}"/>
    <cellStyle name="Normal 8 5 2 5 3 2" xfId="15851" xr:uid="{B79455AE-E52B-435B-B048-053C116BD4FF}"/>
    <cellStyle name="Normal 8 5 2 5 4" xfId="11634" xr:uid="{F7E4026D-4040-4676-B834-9648F30A0190}"/>
    <cellStyle name="Normal 8 5 2 6" xfId="2655" xr:uid="{00000000-0005-0000-0000-0000311E0000}"/>
    <cellStyle name="Normal 8 5 2 6 2" xfId="6938" xr:uid="{00000000-0005-0000-0000-0000321E0000}"/>
    <cellStyle name="Normal 8 5 2 6 2 2" xfId="16264" xr:uid="{28FFC03E-1C06-41CA-BBE3-AD2743114B84}"/>
    <cellStyle name="Normal 8 5 2 6 3" xfId="12047" xr:uid="{289DF4EE-ABE3-4219-82D4-010848F56755}"/>
    <cellStyle name="Normal 8 5 2 7" xfId="4873" xr:uid="{00000000-0005-0000-0000-0000331E0000}"/>
    <cellStyle name="Normal 8 5 2 7 2" xfId="14199" xr:uid="{FB187EDC-4AEA-4217-ADA9-2DF6BE9D0830}"/>
    <cellStyle name="Normal 8 5 2 8" xfId="9052" xr:uid="{D754D15A-EECE-4975-9542-AF3C340304E3}"/>
    <cellStyle name="Normal 8 5 2 8 2" xfId="18376" xr:uid="{73D24D95-13C1-4B47-B383-52FCE4B2592C}"/>
    <cellStyle name="Normal 8 5 2 9" xfId="9982" xr:uid="{7FED7B6A-4732-4CBB-80BA-F4CAA4D98031}"/>
    <cellStyle name="Normal 8 5 3" xfId="974" xr:uid="{00000000-0005-0000-0000-0000341E0000}"/>
    <cellStyle name="Normal 8 5 3 2" xfId="3208" xr:uid="{00000000-0005-0000-0000-0000351E0000}"/>
    <cellStyle name="Normal 8 5 3 2 2" xfId="7430" xr:uid="{00000000-0005-0000-0000-0000361E0000}"/>
    <cellStyle name="Normal 8 5 3 2 2 2" xfId="16756" xr:uid="{B44AF476-14A8-405B-BF7F-00626131733F}"/>
    <cellStyle name="Normal 8 5 3 2 3" xfId="12539" xr:uid="{21649F7C-1B3D-4160-9DD5-452560B3CA82}"/>
    <cellStyle name="Normal 8 5 3 3" xfId="5285" xr:uid="{00000000-0005-0000-0000-0000371E0000}"/>
    <cellStyle name="Normal 8 5 3 3 2" xfId="14611" xr:uid="{9F52F2BA-02E4-405C-A086-90437653F3AC}"/>
    <cellStyle name="Normal 8 5 3 4" xfId="9270" xr:uid="{88F9D262-71F2-4DD2-A7F6-B0DCE74ABD45}"/>
    <cellStyle name="Normal 8 5 3 4 2" xfId="18585" xr:uid="{EBC90449-F13A-40DE-8CE9-BB63A6B844A4}"/>
    <cellStyle name="Normal 8 5 3 5" xfId="10394" xr:uid="{7E2AB163-E32E-4F9B-B791-3592E4F30D0A}"/>
    <cellStyle name="Normal 8 5 4" xfId="1391" xr:uid="{00000000-0005-0000-0000-0000381E0000}"/>
    <cellStyle name="Normal 8 5 4 2" xfId="3621" xr:uid="{00000000-0005-0000-0000-0000391E0000}"/>
    <cellStyle name="Normal 8 5 4 2 2" xfId="7843" xr:uid="{00000000-0005-0000-0000-00003A1E0000}"/>
    <cellStyle name="Normal 8 5 4 2 2 2" xfId="17169" xr:uid="{6292377E-52B0-4227-AFFB-02E391343DDE}"/>
    <cellStyle name="Normal 8 5 4 2 3" xfId="12952" xr:uid="{486A8D0A-94EB-43A0-90BD-818675B6BB12}"/>
    <cellStyle name="Normal 8 5 4 3" xfId="5698" xr:uid="{00000000-0005-0000-0000-00003B1E0000}"/>
    <cellStyle name="Normal 8 5 4 3 2" xfId="15024" xr:uid="{58961ED7-A117-46D7-96B6-D1106B4A49E1}"/>
    <cellStyle name="Normal 8 5 4 4" xfId="10807" xr:uid="{C2E5DC75-6BE5-4020-9206-46723835558A}"/>
    <cellStyle name="Normal 8 5 5" xfId="1804" xr:uid="{00000000-0005-0000-0000-00003C1E0000}"/>
    <cellStyle name="Normal 8 5 5 2" xfId="4034" xr:uid="{00000000-0005-0000-0000-00003D1E0000}"/>
    <cellStyle name="Normal 8 5 5 2 2" xfId="8256" xr:uid="{00000000-0005-0000-0000-00003E1E0000}"/>
    <cellStyle name="Normal 8 5 5 2 2 2" xfId="17582" xr:uid="{E84C3CEE-A71A-4A8A-BD29-6C7C176EFD5F}"/>
    <cellStyle name="Normal 8 5 5 2 3" xfId="13365" xr:uid="{0F398134-214C-4EDD-9DDF-68CB427C6C5D}"/>
    <cellStyle name="Normal 8 5 5 3" xfId="6111" xr:uid="{00000000-0005-0000-0000-00003F1E0000}"/>
    <cellStyle name="Normal 8 5 5 3 2" xfId="15437" xr:uid="{0D6CADA7-FE8F-4508-85D3-490C75692497}"/>
    <cellStyle name="Normal 8 5 5 4" xfId="11220" xr:uid="{315B8C43-EE6B-468E-A1BF-D925A26CC562}"/>
    <cellStyle name="Normal 8 5 6" xfId="2218" xr:uid="{00000000-0005-0000-0000-0000401E0000}"/>
    <cellStyle name="Normal 8 5 6 2" xfId="4447" xr:uid="{00000000-0005-0000-0000-0000411E0000}"/>
    <cellStyle name="Normal 8 5 6 2 2" xfId="8669" xr:uid="{00000000-0005-0000-0000-0000421E0000}"/>
    <cellStyle name="Normal 8 5 6 2 2 2" xfId="17995" xr:uid="{389F22CC-F893-4F2E-9EF0-23A7516C8547}"/>
    <cellStyle name="Normal 8 5 6 2 3" xfId="13778" xr:uid="{9C180AB7-A4EC-437E-A070-CBBAE2C3B545}"/>
    <cellStyle name="Normal 8 5 6 3" xfId="6524" xr:uid="{00000000-0005-0000-0000-0000431E0000}"/>
    <cellStyle name="Normal 8 5 6 3 2" xfId="15850" xr:uid="{1BB30AB7-B17E-4A0A-9286-EB41B295A665}"/>
    <cellStyle name="Normal 8 5 6 4" xfId="11633" xr:uid="{7D11F1FD-D223-45C9-8427-9788B0EFC333}"/>
    <cellStyle name="Normal 8 5 7" xfId="2654" xr:uid="{00000000-0005-0000-0000-0000441E0000}"/>
    <cellStyle name="Normal 8 5 7 2" xfId="6937" xr:uid="{00000000-0005-0000-0000-0000451E0000}"/>
    <cellStyle name="Normal 8 5 7 2 2" xfId="16263" xr:uid="{49F004CF-99EF-4726-AE7C-10EDBEFD52F8}"/>
    <cellStyle name="Normal 8 5 7 3" xfId="12046" xr:uid="{37448F21-16EF-4077-ABE1-BBE04AD7CC59}"/>
    <cellStyle name="Normal 8 5 8" xfId="4872" xr:uid="{00000000-0005-0000-0000-0000461E0000}"/>
    <cellStyle name="Normal 8 5 8 2" xfId="14198" xr:uid="{9AA563C3-FAA3-488E-9B88-AE0C9A627692}"/>
    <cellStyle name="Normal 8 5 9" xfId="8845" xr:uid="{C8167C67-59BC-42DE-816D-718433EFB28C}"/>
    <cellStyle name="Normal 8 5 9 2" xfId="18169" xr:uid="{124AA3FD-94D9-42E8-8548-804E13B3DF3E}"/>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10173E11-1C8A-48C8-9FCF-76FA7AE65352}"/>
    <cellStyle name="Normal 8 6 2 2 3" xfId="12541" xr:uid="{98A075B9-C58A-47CE-A5A8-CB6B8861B91E}"/>
    <cellStyle name="Normal 8 6 2 3" xfId="5287" xr:uid="{00000000-0005-0000-0000-00004B1E0000}"/>
    <cellStyle name="Normal 8 6 2 3 2" xfId="14613" xr:uid="{E6673919-6F58-4488-843C-EA5577E181FB}"/>
    <cellStyle name="Normal 8 6 2 4" xfId="9386" xr:uid="{45A5CE0D-B006-45BB-A53E-22B23F4367E3}"/>
    <cellStyle name="Normal 8 6 2 4 2" xfId="18701" xr:uid="{E8526DCD-F89B-40AA-BEB6-4A424F748106}"/>
    <cellStyle name="Normal 8 6 2 5" xfId="10396" xr:uid="{D7217552-D626-4AD5-AED0-06322B90B958}"/>
    <cellStyle name="Normal 8 6 3" xfId="1393" xr:uid="{00000000-0005-0000-0000-00004C1E0000}"/>
    <cellStyle name="Normal 8 6 3 2" xfId="3623" xr:uid="{00000000-0005-0000-0000-00004D1E0000}"/>
    <cellStyle name="Normal 8 6 3 2 2" xfId="7845" xr:uid="{00000000-0005-0000-0000-00004E1E0000}"/>
    <cellStyle name="Normal 8 6 3 2 2 2" xfId="17171" xr:uid="{3FA00AC5-6720-42DC-BBA7-D3CC9AB8AFA9}"/>
    <cellStyle name="Normal 8 6 3 2 3" xfId="12954" xr:uid="{F8CDD7AD-F7B6-41F0-99DD-F9509821C094}"/>
    <cellStyle name="Normal 8 6 3 3" xfId="5700" xr:uid="{00000000-0005-0000-0000-00004F1E0000}"/>
    <cellStyle name="Normal 8 6 3 3 2" xfId="15026" xr:uid="{DEF80256-0708-470D-8FBE-25323C4B0EC5}"/>
    <cellStyle name="Normal 8 6 3 4" xfId="10809" xr:uid="{ED9388AA-BC06-494C-9799-9E19EB5BCA1B}"/>
    <cellStyle name="Normal 8 6 4" xfId="1806" xr:uid="{00000000-0005-0000-0000-0000501E0000}"/>
    <cellStyle name="Normal 8 6 4 2" xfId="4036" xr:uid="{00000000-0005-0000-0000-0000511E0000}"/>
    <cellStyle name="Normal 8 6 4 2 2" xfId="8258" xr:uid="{00000000-0005-0000-0000-0000521E0000}"/>
    <cellStyle name="Normal 8 6 4 2 2 2" xfId="17584" xr:uid="{FA212A58-E91C-4D4A-8714-D3218FC2D927}"/>
    <cellStyle name="Normal 8 6 4 2 3" xfId="13367" xr:uid="{FDFAE67A-BDF6-498E-B984-0CDD932385D8}"/>
    <cellStyle name="Normal 8 6 4 3" xfId="6113" xr:uid="{00000000-0005-0000-0000-0000531E0000}"/>
    <cellStyle name="Normal 8 6 4 3 2" xfId="15439" xr:uid="{56BC11D6-B8AC-4206-93E2-FAC807453BCE}"/>
    <cellStyle name="Normal 8 6 4 4" xfId="11222" xr:uid="{F20AC032-C4D3-46F0-A8E1-13EDE413D6E9}"/>
    <cellStyle name="Normal 8 6 5" xfId="2220" xr:uid="{00000000-0005-0000-0000-0000541E0000}"/>
    <cellStyle name="Normal 8 6 5 2" xfId="4449" xr:uid="{00000000-0005-0000-0000-0000551E0000}"/>
    <cellStyle name="Normal 8 6 5 2 2" xfId="8671" xr:uid="{00000000-0005-0000-0000-0000561E0000}"/>
    <cellStyle name="Normal 8 6 5 2 2 2" xfId="17997" xr:uid="{84A22B43-C876-4CC3-A7A2-2CB64F4C4322}"/>
    <cellStyle name="Normal 8 6 5 2 3" xfId="13780" xr:uid="{BE00AAEF-6C62-4427-A7C8-E7492C613030}"/>
    <cellStyle name="Normal 8 6 5 3" xfId="6526" xr:uid="{00000000-0005-0000-0000-0000571E0000}"/>
    <cellStyle name="Normal 8 6 5 3 2" xfId="15852" xr:uid="{61EEF267-B962-4289-B409-9B80572CD1F8}"/>
    <cellStyle name="Normal 8 6 5 4" xfId="11635" xr:uid="{45116228-6EEC-4915-B2E0-0994BD0C1CAA}"/>
    <cellStyle name="Normal 8 6 6" xfId="2656" xr:uid="{00000000-0005-0000-0000-0000581E0000}"/>
    <cellStyle name="Normal 8 6 6 2" xfId="6939" xr:uid="{00000000-0005-0000-0000-0000591E0000}"/>
    <cellStyle name="Normal 8 6 6 2 2" xfId="16265" xr:uid="{F7C94418-E164-4F6F-9E05-F5FA7B05A94D}"/>
    <cellStyle name="Normal 8 6 6 3" xfId="12048" xr:uid="{53CFE7AB-94AE-48FA-9B56-58B610ACA93D}"/>
    <cellStyle name="Normal 8 6 7" xfId="4874" xr:uid="{00000000-0005-0000-0000-00005A1E0000}"/>
    <cellStyle name="Normal 8 6 7 2" xfId="14200" xr:uid="{C2D8F1A8-3A85-41AC-ABCF-55DE7B4EE59F}"/>
    <cellStyle name="Normal 8 6 8" xfId="8961" xr:uid="{36060843-7B38-46C3-B2F1-7172ECB11EEE}"/>
    <cellStyle name="Normal 8 6 8 2" xfId="18285" xr:uid="{73B37C66-4251-45B6-B849-48435CFE60E7}"/>
    <cellStyle name="Normal 8 6 9" xfId="9983" xr:uid="{C2669DB9-E229-463D-93F4-14B062EA24F1}"/>
    <cellStyle name="Normal 8 7" xfId="945" xr:uid="{00000000-0005-0000-0000-00005B1E0000}"/>
    <cellStyle name="Normal 8 7 2" xfId="3179" xr:uid="{00000000-0005-0000-0000-00005C1E0000}"/>
    <cellStyle name="Normal 8 7 2 2" xfId="7401" xr:uid="{00000000-0005-0000-0000-00005D1E0000}"/>
    <cellStyle name="Normal 8 7 2 2 2" xfId="16727" xr:uid="{E41119C4-2C91-459F-9DC5-6EE066CE3D92}"/>
    <cellStyle name="Normal 8 7 2 3" xfId="12510" xr:uid="{3C0FD068-0B2A-4812-AC8C-5C24EE488612}"/>
    <cellStyle name="Normal 8 7 3" xfId="5256" xr:uid="{00000000-0005-0000-0000-00005E1E0000}"/>
    <cellStyle name="Normal 8 7 3 2" xfId="14582" xr:uid="{9912E660-EAD8-4291-8F78-9F9900062A46}"/>
    <cellStyle name="Normal 8 7 4" xfId="9164" xr:uid="{EA2ADDDA-E9AC-4FF8-B08B-61B1D6489A46}"/>
    <cellStyle name="Normal 8 7 4 2" xfId="18482" xr:uid="{2461CC05-5123-4907-B2F9-B4346087D02C}"/>
    <cellStyle name="Normal 8 7 5" xfId="10365" xr:uid="{158DB667-C265-4C87-8DF4-E56CEF7C8F74}"/>
    <cellStyle name="Normal 8 8" xfId="1362" xr:uid="{00000000-0005-0000-0000-00005F1E0000}"/>
    <cellStyle name="Normal 8 8 2" xfId="3592" xr:uid="{00000000-0005-0000-0000-0000601E0000}"/>
    <cellStyle name="Normal 8 8 2 2" xfId="7814" xr:uid="{00000000-0005-0000-0000-0000611E0000}"/>
    <cellStyle name="Normal 8 8 2 2 2" xfId="17140" xr:uid="{F9483F6C-CB15-44E8-BBDD-0FFAC9139117}"/>
    <cellStyle name="Normal 8 8 2 3" xfId="12923" xr:uid="{F162E18A-4A18-44CD-831A-6AF64070781E}"/>
    <cellStyle name="Normal 8 8 3" xfId="5669" xr:uid="{00000000-0005-0000-0000-0000621E0000}"/>
    <cellStyle name="Normal 8 8 3 2" xfId="14995" xr:uid="{C5299D0C-A6FC-4293-8CBE-1BF7CBAA146F}"/>
    <cellStyle name="Normal 8 8 4" xfId="10778" xr:uid="{3256A7E0-A014-4AB9-9ED4-E46651FA9F60}"/>
    <cellStyle name="Normal 8 9" xfId="1775" xr:uid="{00000000-0005-0000-0000-0000631E0000}"/>
    <cellStyle name="Normal 8 9 2" xfId="4005" xr:uid="{00000000-0005-0000-0000-0000641E0000}"/>
    <cellStyle name="Normal 8 9 2 2" xfId="8227" xr:uid="{00000000-0005-0000-0000-0000651E0000}"/>
    <cellStyle name="Normal 8 9 2 2 2" xfId="17553" xr:uid="{B5F5D54F-4FF1-498E-9936-B0F8F8E45000}"/>
    <cellStyle name="Normal 8 9 2 3" xfId="13336" xr:uid="{596BAED5-5A31-4028-BC52-B0186E35A196}"/>
    <cellStyle name="Normal 8 9 3" xfId="6082" xr:uid="{00000000-0005-0000-0000-0000661E0000}"/>
    <cellStyle name="Normal 8 9 3 2" xfId="15408" xr:uid="{829EAF3C-D032-49D8-961B-7DD13724260C}"/>
    <cellStyle name="Normal 8 9 4" xfId="11191" xr:uid="{D1906E98-F51A-4417-AEF3-7FDBF84079D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400C6D42-086A-41D0-987D-7A334B110360}"/>
    <cellStyle name="Normal 9 2 10 3" xfId="12049" xr:uid="{8C6F9C25-4706-473F-8E85-ABABE9D3D4D4}"/>
    <cellStyle name="Normal 9 2 11" xfId="4875" xr:uid="{00000000-0005-0000-0000-00006B1E0000}"/>
    <cellStyle name="Normal 9 2 11 2" xfId="14201" xr:uid="{6250D78F-A477-48B7-B7ED-74082DFD5447}"/>
    <cellStyle name="Normal 9 2 12" xfId="8754" xr:uid="{9024D06A-4C5F-4C89-BCDB-29B8C924FF52}"/>
    <cellStyle name="Normal 9 2 12 2" xfId="18078" xr:uid="{39DFCB0A-70CA-4588-80CA-CC9FD44C6714}"/>
    <cellStyle name="Normal 9 2 13" xfId="9984" xr:uid="{41AF85F1-B6FD-43D0-80C2-EACB128DDD87}"/>
    <cellStyle name="Normal 9 2 2" xfId="512" xr:uid="{00000000-0005-0000-0000-00006C1E0000}"/>
    <cellStyle name="Normal 9 2 2 10" xfId="4876" xr:uid="{00000000-0005-0000-0000-00006D1E0000}"/>
    <cellStyle name="Normal 9 2 2 10 2" xfId="14202" xr:uid="{770D4251-273F-4AA8-B679-3072648C9BC1}"/>
    <cellStyle name="Normal 9 2 2 11" xfId="8785" xr:uid="{3048542E-ED39-45ED-9C91-0140D2CF60D9}"/>
    <cellStyle name="Normal 9 2 2 11 2" xfId="18109" xr:uid="{DDCB0198-C12F-470C-B633-6B5D7E8624C1}"/>
    <cellStyle name="Normal 9 2 2 12" xfId="9985" xr:uid="{84E070FA-4C21-4674-BAB0-BEE7EB585660}"/>
    <cellStyle name="Normal 9 2 2 2" xfId="513" xr:uid="{00000000-0005-0000-0000-00006E1E0000}"/>
    <cellStyle name="Normal 9 2 2 2 10" xfId="8839" xr:uid="{3B2DC7F4-4F49-4AE2-9279-EFD4857A149B}"/>
    <cellStyle name="Normal 9 2 2 2 10 2" xfId="18163" xr:uid="{97F48625-80B2-41D0-A7B4-616481352BFF}"/>
    <cellStyle name="Normal 9 2 2 2 11" xfId="9986" xr:uid="{258FC58A-9AB1-4E98-BB20-4D2996F72AD1}"/>
    <cellStyle name="Normal 9 2 2 2 2" xfId="514" xr:uid="{00000000-0005-0000-0000-00006F1E0000}"/>
    <cellStyle name="Normal 9 2 2 2 2 10" xfId="9987" xr:uid="{AAF8A7D1-B43A-4449-A938-0076AE65F86A}"/>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C66990AF-6E73-4115-B7A1-45E7B4863DFA}"/>
    <cellStyle name="Normal 9 2 2 2 2 2 2 2 3" xfId="12546" xr:uid="{DE57D605-AE16-48A1-BFEB-0BCF1874E31B}"/>
    <cellStyle name="Normal 9 2 2 2 2 2 2 3" xfId="5292" xr:uid="{00000000-0005-0000-0000-0000741E0000}"/>
    <cellStyle name="Normal 9 2 2 2 2 2 2 3 2" xfId="14618" xr:uid="{1322CEE2-AAA8-4190-B0FD-36C7F29EEFF6}"/>
    <cellStyle name="Normal 9 2 2 2 2 2 2 4" xfId="9574" xr:uid="{00EB170D-8A20-4280-B781-E452C3590555}"/>
    <cellStyle name="Normal 9 2 2 2 2 2 2 4 2" xfId="18889" xr:uid="{F48A49E2-7DB6-4017-9DFC-4ACA5AA82530}"/>
    <cellStyle name="Normal 9 2 2 2 2 2 2 5" xfId="10401" xr:uid="{204EF3E8-F7F9-4878-AE6D-85638E33968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E1B829CE-FEE1-4363-B93D-77C9A3A13CAE}"/>
    <cellStyle name="Normal 9 2 2 2 2 2 3 2 3" xfId="12959" xr:uid="{6E061A0D-4758-4659-A1E1-1DDCB311695B}"/>
    <cellStyle name="Normal 9 2 2 2 2 2 3 3" xfId="5705" xr:uid="{00000000-0005-0000-0000-0000781E0000}"/>
    <cellStyle name="Normal 9 2 2 2 2 2 3 3 2" xfId="15031" xr:uid="{697A5D44-6254-457A-AFEF-A3561F13DDDF}"/>
    <cellStyle name="Normal 9 2 2 2 2 2 3 4" xfId="10814" xr:uid="{35D3E5FC-B318-49FA-8537-BFE29E84CE5D}"/>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120DBF0B-65D8-4137-93E7-69F92E7C72B3}"/>
    <cellStyle name="Normal 9 2 2 2 2 2 4 2 3" xfId="13372" xr:uid="{E9262723-C97D-45D0-A1E7-2446BDF89522}"/>
    <cellStyle name="Normal 9 2 2 2 2 2 4 3" xfId="6118" xr:uid="{00000000-0005-0000-0000-00007C1E0000}"/>
    <cellStyle name="Normal 9 2 2 2 2 2 4 3 2" xfId="15444" xr:uid="{CF274463-1BF9-4F13-98C0-C5E604D18724}"/>
    <cellStyle name="Normal 9 2 2 2 2 2 4 4" xfId="11227" xr:uid="{5C05DCAE-7C18-446F-A3A0-2332A62892BA}"/>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71FFB754-77FA-453E-8D99-D38DD780C40A}"/>
    <cellStyle name="Normal 9 2 2 2 2 2 5 2 3" xfId="13785" xr:uid="{322D3EF1-8327-4B19-8E09-E8838338CAE0}"/>
    <cellStyle name="Normal 9 2 2 2 2 2 5 3" xfId="6531" xr:uid="{00000000-0005-0000-0000-0000801E0000}"/>
    <cellStyle name="Normal 9 2 2 2 2 2 5 3 2" xfId="15857" xr:uid="{CFFDE9C8-C8F6-4C29-A07B-F9CA91707155}"/>
    <cellStyle name="Normal 9 2 2 2 2 2 5 4" xfId="11640" xr:uid="{961A017B-8FB7-49AE-B055-A434461993AF}"/>
    <cellStyle name="Normal 9 2 2 2 2 2 6" xfId="2661" xr:uid="{00000000-0005-0000-0000-0000811E0000}"/>
    <cellStyle name="Normal 9 2 2 2 2 2 6 2" xfId="6944" xr:uid="{00000000-0005-0000-0000-0000821E0000}"/>
    <cellStyle name="Normal 9 2 2 2 2 2 6 2 2" xfId="16270" xr:uid="{7538E913-87E1-4F75-8674-080F02DDF635}"/>
    <cellStyle name="Normal 9 2 2 2 2 2 6 3" xfId="12053" xr:uid="{AFDE99D8-9C3C-4F3D-AC68-B63A554198E5}"/>
    <cellStyle name="Normal 9 2 2 2 2 2 7" xfId="4879" xr:uid="{00000000-0005-0000-0000-0000831E0000}"/>
    <cellStyle name="Normal 9 2 2 2 2 2 7 2" xfId="14205" xr:uid="{058CBF18-BF24-4E5D-BF2F-E213E9A26D45}"/>
    <cellStyle name="Normal 9 2 2 2 2 2 8" xfId="9149" xr:uid="{6C0BEC1E-EE3B-4956-830C-8775C93DB46A}"/>
    <cellStyle name="Normal 9 2 2 2 2 2 8 2" xfId="18473" xr:uid="{D458E73A-07CB-43E0-A98D-C080AEE84D06}"/>
    <cellStyle name="Normal 9 2 2 2 2 2 9" xfId="9988" xr:uid="{F478D8AE-3E83-4A2E-938F-C8BC3875951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49E4D040-835C-48EA-B7DE-C8C503645294}"/>
    <cellStyle name="Normal 9 2 2 2 2 3 2 3" xfId="12545" xr:uid="{AF0044D8-F07A-47C2-B45D-E4B63B078DB2}"/>
    <cellStyle name="Normal 9 2 2 2 2 3 3" xfId="5291" xr:uid="{00000000-0005-0000-0000-0000871E0000}"/>
    <cellStyle name="Normal 9 2 2 2 2 3 3 2" xfId="14617" xr:uid="{036B2601-78C9-4C70-A9AD-EACB19B634F8}"/>
    <cellStyle name="Normal 9 2 2 2 2 3 4" xfId="9367" xr:uid="{4A654E22-020A-4B0F-8753-639C44EA908A}"/>
    <cellStyle name="Normal 9 2 2 2 2 3 4 2" xfId="18682" xr:uid="{1AA19014-DD34-4C8E-9771-453E0338A4EC}"/>
    <cellStyle name="Normal 9 2 2 2 2 3 5" xfId="10400" xr:uid="{F33DEA1F-D85E-4251-A083-E9A9A9F71D4B}"/>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60C78E1D-3D04-48F4-A7D9-A62D4274BCD4}"/>
    <cellStyle name="Normal 9 2 2 2 2 4 2 3" xfId="12958" xr:uid="{76618769-434F-4B94-90AF-2A5ED63E3AB8}"/>
    <cellStyle name="Normal 9 2 2 2 2 4 3" xfId="5704" xr:uid="{00000000-0005-0000-0000-00008B1E0000}"/>
    <cellStyle name="Normal 9 2 2 2 2 4 3 2" xfId="15030" xr:uid="{68581DDD-1DAB-4F38-9CB0-ADE1D52B0934}"/>
    <cellStyle name="Normal 9 2 2 2 2 4 4" xfId="10813" xr:uid="{9552B897-806B-4C7A-9667-F91BCFE0558B}"/>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3E5EA4F4-BA78-4FC4-86DB-CBA237CBEC98}"/>
    <cellStyle name="Normal 9 2 2 2 2 5 2 3" xfId="13371" xr:uid="{8417CBB6-F53B-41AD-BA6F-C27E9F84D3D5}"/>
    <cellStyle name="Normal 9 2 2 2 2 5 3" xfId="6117" xr:uid="{00000000-0005-0000-0000-00008F1E0000}"/>
    <cellStyle name="Normal 9 2 2 2 2 5 3 2" xfId="15443" xr:uid="{13E9E79F-5B59-4AAA-80F2-372136680CE1}"/>
    <cellStyle name="Normal 9 2 2 2 2 5 4" xfId="11226" xr:uid="{67695CF8-A4B3-4BC0-8AF8-16C581DF3F6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3B782848-3A80-4883-840F-BF81E31AF797}"/>
    <cellStyle name="Normal 9 2 2 2 2 6 2 3" xfId="13784" xr:uid="{68035310-3D26-4A2A-A41F-8FC86CDBD7A5}"/>
    <cellStyle name="Normal 9 2 2 2 2 6 3" xfId="6530" xr:uid="{00000000-0005-0000-0000-0000931E0000}"/>
    <cellStyle name="Normal 9 2 2 2 2 6 3 2" xfId="15856" xr:uid="{CA9659B5-3544-4043-9B3F-4D77DEDA4D38}"/>
    <cellStyle name="Normal 9 2 2 2 2 6 4" xfId="11639" xr:uid="{DF7E7C1E-901F-4BAB-92B9-A15302CE9948}"/>
    <cellStyle name="Normal 9 2 2 2 2 7" xfId="2660" xr:uid="{00000000-0005-0000-0000-0000941E0000}"/>
    <cellStyle name="Normal 9 2 2 2 2 7 2" xfId="6943" xr:uid="{00000000-0005-0000-0000-0000951E0000}"/>
    <cellStyle name="Normal 9 2 2 2 2 7 2 2" xfId="16269" xr:uid="{62873F9F-F48B-40CC-9E99-DCD2F5E6A2D2}"/>
    <cellStyle name="Normal 9 2 2 2 2 7 3" xfId="12052" xr:uid="{8E7692BA-30B8-4660-99A0-976571C5DD08}"/>
    <cellStyle name="Normal 9 2 2 2 2 8" xfId="4878" xr:uid="{00000000-0005-0000-0000-0000961E0000}"/>
    <cellStyle name="Normal 9 2 2 2 2 8 2" xfId="14204" xr:uid="{BB375D4A-5620-4C7F-A5BB-4737F9A9B770}"/>
    <cellStyle name="Normal 9 2 2 2 2 9" xfId="8942" xr:uid="{0DE8A022-819C-4D6A-B102-31C1C7F429A5}"/>
    <cellStyle name="Normal 9 2 2 2 2 9 2" xfId="18266" xr:uid="{50C14FDF-DEE1-47AF-86F8-CED85210C9E3}"/>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95662CD4-D26F-4F0F-826B-51D44C4AFBB6}"/>
    <cellStyle name="Normal 9 2 2 2 3 2 2 3" xfId="12547" xr:uid="{BEECAB1D-0F16-4766-85E9-4020891D363F}"/>
    <cellStyle name="Normal 9 2 2 2 3 2 3" xfId="5293" xr:uid="{00000000-0005-0000-0000-00009B1E0000}"/>
    <cellStyle name="Normal 9 2 2 2 3 2 3 2" xfId="14619" xr:uid="{CFBEE540-B1E8-4783-9AFF-3E66804965FE}"/>
    <cellStyle name="Normal 9 2 2 2 3 2 4" xfId="9471" xr:uid="{E472D827-532E-42C0-B781-9E63FEBCFCF5}"/>
    <cellStyle name="Normal 9 2 2 2 3 2 4 2" xfId="18786" xr:uid="{B8EFB4D8-6D19-48A1-9462-CFD30EB4BAFA}"/>
    <cellStyle name="Normal 9 2 2 2 3 2 5" xfId="10402" xr:uid="{D746A6EB-640E-455F-9D65-73394C71E20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385887D2-0571-44E7-9115-25182829DA5E}"/>
    <cellStyle name="Normal 9 2 2 2 3 3 2 3" xfId="12960" xr:uid="{13C684CB-71FE-40C9-B4E1-4D984516A510}"/>
    <cellStyle name="Normal 9 2 2 2 3 3 3" xfId="5706" xr:uid="{00000000-0005-0000-0000-00009F1E0000}"/>
    <cellStyle name="Normal 9 2 2 2 3 3 3 2" xfId="15032" xr:uid="{14641F80-F328-441A-A448-71C012187364}"/>
    <cellStyle name="Normal 9 2 2 2 3 3 4" xfId="10815" xr:uid="{69981DA2-3084-49C0-830D-A58629938C92}"/>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0C1F3D65-4A0F-471B-8BEB-D6F93CE4CA24}"/>
    <cellStyle name="Normal 9 2 2 2 3 4 2 3" xfId="13373" xr:uid="{54D8874F-83F1-43EA-9C21-ADC2CB45C20D}"/>
    <cellStyle name="Normal 9 2 2 2 3 4 3" xfId="6119" xr:uid="{00000000-0005-0000-0000-0000A31E0000}"/>
    <cellStyle name="Normal 9 2 2 2 3 4 3 2" xfId="15445" xr:uid="{F0393441-EE9D-4167-838C-E1958551A5D4}"/>
    <cellStyle name="Normal 9 2 2 2 3 4 4" xfId="11228" xr:uid="{19C448DD-DB2B-45C1-9060-4BBCD5741819}"/>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58CB11A7-DF36-436B-BA9E-2238AA2B1869}"/>
    <cellStyle name="Normal 9 2 2 2 3 5 2 3" xfId="13786" xr:uid="{B45F680C-2883-4C7A-94B3-1D5F99A168D4}"/>
    <cellStyle name="Normal 9 2 2 2 3 5 3" xfId="6532" xr:uid="{00000000-0005-0000-0000-0000A71E0000}"/>
    <cellStyle name="Normal 9 2 2 2 3 5 3 2" xfId="15858" xr:uid="{4A5F1CBA-EE69-4BDF-9133-EAB71BEF10ED}"/>
    <cellStyle name="Normal 9 2 2 2 3 5 4" xfId="11641" xr:uid="{4FE3CC49-91B2-4CA9-B4BC-B01286D1E30A}"/>
    <cellStyle name="Normal 9 2 2 2 3 6" xfId="2662" xr:uid="{00000000-0005-0000-0000-0000A81E0000}"/>
    <cellStyle name="Normal 9 2 2 2 3 6 2" xfId="6945" xr:uid="{00000000-0005-0000-0000-0000A91E0000}"/>
    <cellStyle name="Normal 9 2 2 2 3 6 2 2" xfId="16271" xr:uid="{8AB78A98-B656-44E8-975C-05DA26440730}"/>
    <cellStyle name="Normal 9 2 2 2 3 6 3" xfId="12054" xr:uid="{1F87A1E3-A6DF-41C4-90F0-7E7B7B904794}"/>
    <cellStyle name="Normal 9 2 2 2 3 7" xfId="4880" xr:uid="{00000000-0005-0000-0000-0000AA1E0000}"/>
    <cellStyle name="Normal 9 2 2 2 3 7 2" xfId="14206" xr:uid="{8424D7FC-D0DA-4030-A749-2E60BDFA00DD}"/>
    <cellStyle name="Normal 9 2 2 2 3 8" xfId="9046" xr:uid="{6B7E07C7-E90B-4AE9-8FE8-76EF28E8FC85}"/>
    <cellStyle name="Normal 9 2 2 2 3 8 2" xfId="18370" xr:uid="{869BD174-FD67-4F3B-816B-01EA7BCDBB48}"/>
    <cellStyle name="Normal 9 2 2 2 3 9" xfId="9989" xr:uid="{8BBC7978-83AF-487E-830B-17950C9B28E2}"/>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59655A05-5B19-42F0-A8D7-D571BE0CBC28}"/>
    <cellStyle name="Normal 9 2 2 2 4 2 3" xfId="12544" xr:uid="{8F5A4756-9AFF-4F22-86B1-6FC7416A683C}"/>
    <cellStyle name="Normal 9 2 2 2 4 3" xfId="5290" xr:uid="{00000000-0005-0000-0000-0000AE1E0000}"/>
    <cellStyle name="Normal 9 2 2 2 4 3 2" xfId="14616" xr:uid="{73FE4C2D-7AB4-4377-928D-BDC0D62B3E7A}"/>
    <cellStyle name="Normal 9 2 2 2 4 4" xfId="9264" xr:uid="{0137E036-48D9-4B3B-9B73-0002A19DDE9E}"/>
    <cellStyle name="Normal 9 2 2 2 4 4 2" xfId="18579" xr:uid="{503ED2EF-D661-4F53-BC52-559DD493B62C}"/>
    <cellStyle name="Normal 9 2 2 2 4 5" xfId="10399" xr:uid="{B08D329D-4724-4CE3-981E-CD9520B494E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003F18E6-DE95-4FFB-B91A-0ECE16E10CB9}"/>
    <cellStyle name="Normal 9 2 2 2 5 2 3" xfId="12957" xr:uid="{A6A3686E-EBD4-46C0-89DD-08234E251646}"/>
    <cellStyle name="Normal 9 2 2 2 5 3" xfId="5703" xr:uid="{00000000-0005-0000-0000-0000B21E0000}"/>
    <cellStyle name="Normal 9 2 2 2 5 3 2" xfId="15029" xr:uid="{4F13C20B-5BDC-494E-874D-4C2F0F09F84C}"/>
    <cellStyle name="Normal 9 2 2 2 5 4" xfId="10812" xr:uid="{3CD2A50A-5224-466E-A910-DE0AF61D9A9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928193C8-B352-4CA7-91E0-F9FFF7200CFB}"/>
    <cellStyle name="Normal 9 2 2 2 6 2 3" xfId="13370" xr:uid="{C31BBF2C-F5D1-4993-8C5D-DAB1440DD006}"/>
    <cellStyle name="Normal 9 2 2 2 6 3" xfId="6116" xr:uid="{00000000-0005-0000-0000-0000B61E0000}"/>
    <cellStyle name="Normal 9 2 2 2 6 3 2" xfId="15442" xr:uid="{4B01F59F-169A-4D83-8039-ACDC422C5ABF}"/>
    <cellStyle name="Normal 9 2 2 2 6 4" xfId="11225" xr:uid="{8CD98494-2D95-4910-B4B1-B310718E7B7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1D1A849B-E6CD-4DE5-858E-1E69C9090D80}"/>
    <cellStyle name="Normal 9 2 2 2 7 2 3" xfId="13783" xr:uid="{AC98F739-B1F6-4317-B206-04F0D16B3550}"/>
    <cellStyle name="Normal 9 2 2 2 7 3" xfId="6529" xr:uid="{00000000-0005-0000-0000-0000BA1E0000}"/>
    <cellStyle name="Normal 9 2 2 2 7 3 2" xfId="15855" xr:uid="{F5B30F46-9826-461A-BA26-5C7085F1A637}"/>
    <cellStyle name="Normal 9 2 2 2 7 4" xfId="11638" xr:uid="{664607D9-3575-4AE6-B833-FEBBFABBF2F8}"/>
    <cellStyle name="Normal 9 2 2 2 8" xfId="2659" xr:uid="{00000000-0005-0000-0000-0000BB1E0000}"/>
    <cellStyle name="Normal 9 2 2 2 8 2" xfId="6942" xr:uid="{00000000-0005-0000-0000-0000BC1E0000}"/>
    <cellStyle name="Normal 9 2 2 2 8 2 2" xfId="16268" xr:uid="{E1D32552-82A6-4105-8BBE-06C9B307BFD2}"/>
    <cellStyle name="Normal 9 2 2 2 8 3" xfId="12051" xr:uid="{D4F55101-555F-46E2-965C-9D0122BFABA2}"/>
    <cellStyle name="Normal 9 2 2 2 9" xfId="4877" xr:uid="{00000000-0005-0000-0000-0000BD1E0000}"/>
    <cellStyle name="Normal 9 2 2 2 9 2" xfId="14203" xr:uid="{743E3B9C-ADA9-43EF-8229-A984C64FC420}"/>
    <cellStyle name="Normal 9 2 2 3" xfId="517" xr:uid="{00000000-0005-0000-0000-0000BE1E0000}"/>
    <cellStyle name="Normal 9 2 2 3 10" xfId="9990" xr:uid="{22B186F4-3B4B-456F-BC18-BB2051DF0554}"/>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E8A4BCB3-6166-4FF5-B7CA-4E648FA70A22}"/>
    <cellStyle name="Normal 9 2 2 3 2 2 2 3" xfId="12549" xr:uid="{F6309CDD-73F7-4A18-9620-807F3DDB4AD0}"/>
    <cellStyle name="Normal 9 2 2 3 2 2 3" xfId="5295" xr:uid="{00000000-0005-0000-0000-0000C31E0000}"/>
    <cellStyle name="Normal 9 2 2 3 2 2 3 2" xfId="14621" xr:uid="{A53C4D75-186D-4AEE-A004-C19CC3B67123}"/>
    <cellStyle name="Normal 9 2 2 3 2 2 4" xfId="9520" xr:uid="{57CFBD10-691F-4DF8-8020-B75E98FF60DD}"/>
    <cellStyle name="Normal 9 2 2 3 2 2 4 2" xfId="18835" xr:uid="{8CCE0517-EDFE-4C29-8ED8-A1665D54B58E}"/>
    <cellStyle name="Normal 9 2 2 3 2 2 5" xfId="10404" xr:uid="{F904588A-64BF-4F85-94C5-ABA8A88F1DA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B4ED7CD3-D638-46A1-AE6B-2F9BE426CB2F}"/>
    <cellStyle name="Normal 9 2 2 3 2 3 2 3" xfId="12962" xr:uid="{B6D612DF-9236-48EF-AC2D-853DBEECC569}"/>
    <cellStyle name="Normal 9 2 2 3 2 3 3" xfId="5708" xr:uid="{00000000-0005-0000-0000-0000C71E0000}"/>
    <cellStyle name="Normal 9 2 2 3 2 3 3 2" xfId="15034" xr:uid="{65381037-0FB0-4194-A7E1-8C0DE5119298}"/>
    <cellStyle name="Normal 9 2 2 3 2 3 4" xfId="10817" xr:uid="{E86AAE9E-CFEE-4462-AD28-6B4716F5DFB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8F4555E2-3D31-4F0B-B803-8F39AA7B6136}"/>
    <cellStyle name="Normal 9 2 2 3 2 4 2 3" xfId="13375" xr:uid="{767FF9A6-2FD4-490B-81BC-C9020E70E49F}"/>
    <cellStyle name="Normal 9 2 2 3 2 4 3" xfId="6121" xr:uid="{00000000-0005-0000-0000-0000CB1E0000}"/>
    <cellStyle name="Normal 9 2 2 3 2 4 3 2" xfId="15447" xr:uid="{2195EE7A-D087-4132-ABCB-1D065DF01B6E}"/>
    <cellStyle name="Normal 9 2 2 3 2 4 4" xfId="11230" xr:uid="{01DDE23A-B978-4376-A92D-6D69E50E477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A016111D-E29D-4191-904D-4290C2D4F4CA}"/>
    <cellStyle name="Normal 9 2 2 3 2 5 2 3" xfId="13788" xr:uid="{EEF17D67-8064-4A0C-AA54-624347C02B57}"/>
    <cellStyle name="Normal 9 2 2 3 2 5 3" xfId="6534" xr:uid="{00000000-0005-0000-0000-0000CF1E0000}"/>
    <cellStyle name="Normal 9 2 2 3 2 5 3 2" xfId="15860" xr:uid="{44C9BC00-815D-4328-B49E-36F5231F50B5}"/>
    <cellStyle name="Normal 9 2 2 3 2 5 4" xfId="11643" xr:uid="{DE86A994-8056-48F2-BB26-C691E40DB8FE}"/>
    <cellStyle name="Normal 9 2 2 3 2 6" xfId="2664" xr:uid="{00000000-0005-0000-0000-0000D01E0000}"/>
    <cellStyle name="Normal 9 2 2 3 2 6 2" xfId="6947" xr:uid="{00000000-0005-0000-0000-0000D11E0000}"/>
    <cellStyle name="Normal 9 2 2 3 2 6 2 2" xfId="16273" xr:uid="{966EF1A4-6A93-4C1B-8451-B657177D9714}"/>
    <cellStyle name="Normal 9 2 2 3 2 6 3" xfId="12056" xr:uid="{DFA7AB8B-477E-4C95-A8BA-4CFF11538546}"/>
    <cellStyle name="Normal 9 2 2 3 2 7" xfId="4882" xr:uid="{00000000-0005-0000-0000-0000D21E0000}"/>
    <cellStyle name="Normal 9 2 2 3 2 7 2" xfId="14208" xr:uid="{E6F664C8-9BA3-435B-8F1F-39688053D90E}"/>
    <cellStyle name="Normal 9 2 2 3 2 8" xfId="9095" xr:uid="{D95088B7-D227-4E97-A9B9-DA61436DD386}"/>
    <cellStyle name="Normal 9 2 2 3 2 8 2" xfId="18419" xr:uid="{84ED6938-3A9A-42BA-B639-5F4FF14A3B9E}"/>
    <cellStyle name="Normal 9 2 2 3 2 9" xfId="9991" xr:uid="{B7E27E3A-9EB2-4BBE-9722-7FE9FD4F233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0CF5DB62-022B-4AB5-8C66-388FB693F5CB}"/>
    <cellStyle name="Normal 9 2 2 3 3 2 3" xfId="12548" xr:uid="{5A16999E-367A-4712-B878-56F89D8FAF22}"/>
    <cellStyle name="Normal 9 2 2 3 3 3" xfId="5294" xr:uid="{00000000-0005-0000-0000-0000D61E0000}"/>
    <cellStyle name="Normal 9 2 2 3 3 3 2" xfId="14620" xr:uid="{B253FA00-8299-4918-ADBE-9B1BDBBDE7EC}"/>
    <cellStyle name="Normal 9 2 2 3 3 4" xfId="9313" xr:uid="{FDDC600D-FDDD-4FFC-9820-DFD7E0768F33}"/>
    <cellStyle name="Normal 9 2 2 3 3 4 2" xfId="18628" xr:uid="{1763293F-CF0C-4567-B3C1-7462E81FE092}"/>
    <cellStyle name="Normal 9 2 2 3 3 5" xfId="10403" xr:uid="{C6072576-FE16-4602-905C-1D9FA48B4034}"/>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93CC4E76-A79F-4195-89C1-29BDEF1A44A3}"/>
    <cellStyle name="Normal 9 2 2 3 4 2 3" xfId="12961" xr:uid="{FEA60BE4-AF07-40D6-B8F6-032D6512D12C}"/>
    <cellStyle name="Normal 9 2 2 3 4 3" xfId="5707" xr:uid="{00000000-0005-0000-0000-0000DA1E0000}"/>
    <cellStyle name="Normal 9 2 2 3 4 3 2" xfId="15033" xr:uid="{E21E4689-914D-40D5-9E81-BF7EA132C364}"/>
    <cellStyle name="Normal 9 2 2 3 4 4" xfId="10816" xr:uid="{8B8E77AE-CC97-4886-9A36-ADCDA8CA62D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48E17CAC-CEEE-43F9-AB72-4229E69FE67F}"/>
    <cellStyle name="Normal 9 2 2 3 5 2 3" xfId="13374" xr:uid="{247ECF6F-8097-4A58-8DD0-4D9ECFA3A2BF}"/>
    <cellStyle name="Normal 9 2 2 3 5 3" xfId="6120" xr:uid="{00000000-0005-0000-0000-0000DE1E0000}"/>
    <cellStyle name="Normal 9 2 2 3 5 3 2" xfId="15446" xr:uid="{E93465BA-64E8-4724-A933-909D9CD5B9BE}"/>
    <cellStyle name="Normal 9 2 2 3 5 4" xfId="11229" xr:uid="{7A89F3EE-121A-42FB-BC41-86748AE60B1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F74A6EAC-289D-4ABD-A03C-A7F1CB5933A8}"/>
    <cellStyle name="Normal 9 2 2 3 6 2 3" xfId="13787" xr:uid="{D1239BFC-BDB4-47B0-98B7-55BB9679E009}"/>
    <cellStyle name="Normal 9 2 2 3 6 3" xfId="6533" xr:uid="{00000000-0005-0000-0000-0000E21E0000}"/>
    <cellStyle name="Normal 9 2 2 3 6 3 2" xfId="15859" xr:uid="{B4B01CD2-6162-4E10-BC88-218C5C11580B}"/>
    <cellStyle name="Normal 9 2 2 3 6 4" xfId="11642" xr:uid="{E4AB4FCB-9DAD-47A9-A8F6-F1EE3829E0E7}"/>
    <cellStyle name="Normal 9 2 2 3 7" xfId="2663" xr:uid="{00000000-0005-0000-0000-0000E31E0000}"/>
    <cellStyle name="Normal 9 2 2 3 7 2" xfId="6946" xr:uid="{00000000-0005-0000-0000-0000E41E0000}"/>
    <cellStyle name="Normal 9 2 2 3 7 2 2" xfId="16272" xr:uid="{5366F2B3-0413-4A34-A6BA-F2AF6A83DBFE}"/>
    <cellStyle name="Normal 9 2 2 3 7 3" xfId="12055" xr:uid="{319709B3-8A63-467E-92BE-0A39C93BC98D}"/>
    <cellStyle name="Normal 9 2 2 3 8" xfId="4881" xr:uid="{00000000-0005-0000-0000-0000E51E0000}"/>
    <cellStyle name="Normal 9 2 2 3 8 2" xfId="14207" xr:uid="{EBDCA279-E0E6-40BE-ABA2-FA84CFAC6A77}"/>
    <cellStyle name="Normal 9 2 2 3 9" xfId="8888" xr:uid="{47457178-62A7-4ACA-95A1-433BF4FD3D65}"/>
    <cellStyle name="Normal 9 2 2 3 9 2" xfId="18212" xr:uid="{26640DE5-9DDF-46A5-AE7D-6A2E3CE73378}"/>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A32DDF5F-80E3-4D3C-8297-39416614B213}"/>
    <cellStyle name="Normal 9 2 2 4 2 2 3" xfId="12550" xr:uid="{C0378EF3-3330-4F3A-BD2F-F66E49BF7913}"/>
    <cellStyle name="Normal 9 2 2 4 2 3" xfId="5296" xr:uid="{00000000-0005-0000-0000-0000EA1E0000}"/>
    <cellStyle name="Normal 9 2 2 4 2 3 2" xfId="14622" xr:uid="{2D727B09-E166-4D7F-BDBE-D1BF466E81C6}"/>
    <cellStyle name="Normal 9 2 2 4 2 4" xfId="9417" xr:uid="{FDB8A679-B5B8-4E9B-808D-E68F6CA01958}"/>
    <cellStyle name="Normal 9 2 2 4 2 4 2" xfId="18732" xr:uid="{685D5FE7-5E31-43B9-A7AA-011E3F48E1DD}"/>
    <cellStyle name="Normal 9 2 2 4 2 5" xfId="10405" xr:uid="{5B186801-8C7C-467E-84F7-96C1366E796C}"/>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5404CF09-09D0-49A8-B91E-32C625E0AB5D}"/>
    <cellStyle name="Normal 9 2 2 4 3 2 3" xfId="12963" xr:uid="{5597F0A5-235D-477E-9C9B-5B8155DB73E0}"/>
    <cellStyle name="Normal 9 2 2 4 3 3" xfId="5709" xr:uid="{00000000-0005-0000-0000-0000EE1E0000}"/>
    <cellStyle name="Normal 9 2 2 4 3 3 2" xfId="15035" xr:uid="{9AD20606-358A-4432-970A-3AC2F8B71B7B}"/>
    <cellStyle name="Normal 9 2 2 4 3 4" xfId="10818" xr:uid="{2E40CDE6-0509-4530-8F6D-FAB0F1E7994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C3293B0B-7F17-461C-A077-5C498DE10DF4}"/>
    <cellStyle name="Normal 9 2 2 4 4 2 3" xfId="13376" xr:uid="{5824AF4F-EB6D-47FF-A0A8-7CF1E614B747}"/>
    <cellStyle name="Normal 9 2 2 4 4 3" xfId="6122" xr:uid="{00000000-0005-0000-0000-0000F21E0000}"/>
    <cellStyle name="Normal 9 2 2 4 4 3 2" xfId="15448" xr:uid="{F4B6AA1F-D9D3-4AEE-9B88-5D308B133A5E}"/>
    <cellStyle name="Normal 9 2 2 4 4 4" xfId="11231" xr:uid="{F05EFDCA-F248-47E8-AB6F-714E103ACA95}"/>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230968AA-8379-41AB-9AA2-6D954EE20598}"/>
    <cellStyle name="Normal 9 2 2 4 5 2 3" xfId="13789" xr:uid="{731A0C33-F8A3-40C5-B4F0-50A2C765D975}"/>
    <cellStyle name="Normal 9 2 2 4 5 3" xfId="6535" xr:uid="{00000000-0005-0000-0000-0000F61E0000}"/>
    <cellStyle name="Normal 9 2 2 4 5 3 2" xfId="15861" xr:uid="{9F2CA8C8-8654-420A-A14A-FB0238102E37}"/>
    <cellStyle name="Normal 9 2 2 4 5 4" xfId="11644" xr:uid="{98BD8348-26A2-4531-B704-19B420437457}"/>
    <cellStyle name="Normal 9 2 2 4 6" xfId="2665" xr:uid="{00000000-0005-0000-0000-0000F71E0000}"/>
    <cellStyle name="Normal 9 2 2 4 6 2" xfId="6948" xr:uid="{00000000-0005-0000-0000-0000F81E0000}"/>
    <cellStyle name="Normal 9 2 2 4 6 2 2" xfId="16274" xr:uid="{1BE793FA-F2EA-4984-BD2E-436301A77581}"/>
    <cellStyle name="Normal 9 2 2 4 6 3" xfId="12057" xr:uid="{9CD123D0-29F4-462A-8FA9-EF4D1909E528}"/>
    <cellStyle name="Normal 9 2 2 4 7" xfId="4883" xr:uid="{00000000-0005-0000-0000-0000F91E0000}"/>
    <cellStyle name="Normal 9 2 2 4 7 2" xfId="14209" xr:uid="{9504ABC9-B687-4198-B5B8-93E1B041AB5B}"/>
    <cellStyle name="Normal 9 2 2 4 8" xfId="8992" xr:uid="{8AFFF8AD-8552-4B33-AAFF-7DACAE25085E}"/>
    <cellStyle name="Normal 9 2 2 4 8 2" xfId="18316" xr:uid="{298AC8BC-9E79-4ED4-B4A1-69C1C0E98737}"/>
    <cellStyle name="Normal 9 2 2 4 9" xfId="9992" xr:uid="{AF718945-E2DC-41DA-B6FE-F638B1ECA325}"/>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8458EA48-0337-4DE8-8439-522AF02040AA}"/>
    <cellStyle name="Normal 9 2 2 5 2 3" xfId="12543" xr:uid="{F1AEB704-7C4D-445D-8BD7-7F7BAE6BC166}"/>
    <cellStyle name="Normal 9 2 2 5 3" xfId="5289" xr:uid="{00000000-0005-0000-0000-0000FD1E0000}"/>
    <cellStyle name="Normal 9 2 2 5 3 2" xfId="14615" xr:uid="{02A7231C-A441-49F8-BB5E-28D5A2C8A82A}"/>
    <cellStyle name="Normal 9 2 2 5 4" xfId="9209" xr:uid="{66E66B93-842C-41D8-A807-A065C03CFEBD}"/>
    <cellStyle name="Normal 9 2 2 5 4 2" xfId="18525" xr:uid="{EE156983-865F-4B80-838B-E8261E15B1EC}"/>
    <cellStyle name="Normal 9 2 2 5 5" xfId="10398" xr:uid="{6685048A-88E2-42E7-87A5-A241B8F9EDFC}"/>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22DD8199-F31B-4D78-A8DA-FFEC4FC4EF36}"/>
    <cellStyle name="Normal 9 2 2 6 2 3" xfId="12956" xr:uid="{3F6777EA-3236-4C16-BEC6-54832F656DDA}"/>
    <cellStyle name="Normal 9 2 2 6 3" xfId="5702" xr:uid="{00000000-0005-0000-0000-0000011F0000}"/>
    <cellStyle name="Normal 9 2 2 6 3 2" xfId="15028" xr:uid="{0E9828CD-C769-4470-9AD9-A208156979A5}"/>
    <cellStyle name="Normal 9 2 2 6 4" xfId="10811" xr:uid="{589F6412-FADB-4D49-B7B9-A0E3F59593B1}"/>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8BF0F9EB-022C-4FEA-8E76-0EEFF23A0C22}"/>
    <cellStyle name="Normal 9 2 2 7 2 3" xfId="13369" xr:uid="{BEBB8EB7-448F-499B-9599-CC2416208D38}"/>
    <cellStyle name="Normal 9 2 2 7 3" xfId="6115" xr:uid="{00000000-0005-0000-0000-0000051F0000}"/>
    <cellStyle name="Normal 9 2 2 7 3 2" xfId="15441" xr:uid="{E45A08A9-8620-4B15-9175-7F3CE87AA2C4}"/>
    <cellStyle name="Normal 9 2 2 7 4" xfId="11224" xr:uid="{A6826E43-95BB-473C-9233-2FEEBB6F0775}"/>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30C3AA4B-5073-4753-82D4-50561BA54F1A}"/>
    <cellStyle name="Normal 9 2 2 8 2 3" xfId="13782" xr:uid="{9618D011-BD34-4BD1-9328-0C76E75DCCB1}"/>
    <cellStyle name="Normal 9 2 2 8 3" xfId="6528" xr:uid="{00000000-0005-0000-0000-0000091F0000}"/>
    <cellStyle name="Normal 9 2 2 8 3 2" xfId="15854" xr:uid="{B40FDB99-96B9-4CF3-A31E-A9386F04AC6F}"/>
    <cellStyle name="Normal 9 2 2 8 4" xfId="11637" xr:uid="{B6B4496A-1903-4448-9131-5E3CD836232D}"/>
    <cellStyle name="Normal 9 2 2 9" xfId="2658" xr:uid="{00000000-0005-0000-0000-00000A1F0000}"/>
    <cellStyle name="Normal 9 2 2 9 2" xfId="6941" xr:uid="{00000000-0005-0000-0000-00000B1F0000}"/>
    <cellStyle name="Normal 9 2 2 9 2 2" xfId="16267" xr:uid="{DE67FC9D-6840-46F6-BEB9-64A1E535A63E}"/>
    <cellStyle name="Normal 9 2 2 9 3" xfId="12050" xr:uid="{64BC7AB5-FA3F-4A2B-B4DC-FCD82B64C452}"/>
    <cellStyle name="Normal 9 2 3" xfId="520" xr:uid="{00000000-0005-0000-0000-00000C1F0000}"/>
    <cellStyle name="Normal 9 2 3 10" xfId="8838" xr:uid="{3F59BADF-95CF-4831-9CE1-8ACBDD585DF1}"/>
    <cellStyle name="Normal 9 2 3 10 2" xfId="18162" xr:uid="{25DABBC8-F8F0-4560-BB1C-EEC745527074}"/>
    <cellStyle name="Normal 9 2 3 11" xfId="9993" xr:uid="{998A39C2-91E4-4322-A133-D37E1DE21629}"/>
    <cellStyle name="Normal 9 2 3 2" xfId="521" xr:uid="{00000000-0005-0000-0000-00000D1F0000}"/>
    <cellStyle name="Normal 9 2 3 2 10" xfId="9994" xr:uid="{A12D31D8-2ED1-44CA-855E-E8AEE88BE73F}"/>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7E57C121-36D2-4A03-A526-1EA7D863BB9D}"/>
    <cellStyle name="Normal 9 2 3 2 2 2 2 3" xfId="12553" xr:uid="{AD4B194B-8C05-4374-9A7A-B9FCA8E176C8}"/>
    <cellStyle name="Normal 9 2 3 2 2 2 3" xfId="5299" xr:uid="{00000000-0005-0000-0000-0000121F0000}"/>
    <cellStyle name="Normal 9 2 3 2 2 2 3 2" xfId="14625" xr:uid="{8DFD9AFB-40B3-47B4-80FC-5D9AC0310595}"/>
    <cellStyle name="Normal 9 2 3 2 2 2 4" xfId="9573" xr:uid="{376F8566-2407-40B8-9531-D3E757BE7A23}"/>
    <cellStyle name="Normal 9 2 3 2 2 2 4 2" xfId="18888" xr:uid="{BA7161E9-D7BD-40B3-8F52-03085A071FC8}"/>
    <cellStyle name="Normal 9 2 3 2 2 2 5" xfId="10408" xr:uid="{6683D0DF-0997-4062-BD12-27B20315B805}"/>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310E975F-0D3B-4CD2-8C36-EB615790584C}"/>
    <cellStyle name="Normal 9 2 3 2 2 3 2 3" xfId="12966" xr:uid="{33EC9F59-BDAA-4A06-92DF-5BC8C069300C}"/>
    <cellStyle name="Normal 9 2 3 2 2 3 3" xfId="5712" xr:uid="{00000000-0005-0000-0000-0000161F0000}"/>
    <cellStyle name="Normal 9 2 3 2 2 3 3 2" xfId="15038" xr:uid="{C0F1A37E-88CF-48EB-AE3A-4CEF1CB9C0B2}"/>
    <cellStyle name="Normal 9 2 3 2 2 3 4" xfId="10821" xr:uid="{4D0D9020-3FFA-49EE-AECD-6F9F89F6DEFC}"/>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FAF6F775-EBB5-4EC3-B782-A9F8915ECEC5}"/>
    <cellStyle name="Normal 9 2 3 2 2 4 2 3" xfId="13379" xr:uid="{D249E799-CD02-4665-886B-B66C1A54CD1B}"/>
    <cellStyle name="Normal 9 2 3 2 2 4 3" xfId="6125" xr:uid="{00000000-0005-0000-0000-00001A1F0000}"/>
    <cellStyle name="Normal 9 2 3 2 2 4 3 2" xfId="15451" xr:uid="{97CC4F14-CC82-4280-9445-26CBF098FEB4}"/>
    <cellStyle name="Normal 9 2 3 2 2 4 4" xfId="11234" xr:uid="{0BD92DC8-6CF7-4212-9729-A3C8D04B6CBD}"/>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17565D55-38EB-41C0-AF2E-6F75562C374A}"/>
    <cellStyle name="Normal 9 2 3 2 2 5 2 3" xfId="13792" xr:uid="{DD961C66-7093-4ED4-96CB-4C6A00C725CC}"/>
    <cellStyle name="Normal 9 2 3 2 2 5 3" xfId="6538" xr:uid="{00000000-0005-0000-0000-00001E1F0000}"/>
    <cellStyle name="Normal 9 2 3 2 2 5 3 2" xfId="15864" xr:uid="{5AF2265B-4D32-4EE1-B363-43926397548E}"/>
    <cellStyle name="Normal 9 2 3 2 2 5 4" xfId="11647" xr:uid="{E67F996F-07E1-4B32-911B-63F24CCB2AD7}"/>
    <cellStyle name="Normal 9 2 3 2 2 6" xfId="2668" xr:uid="{00000000-0005-0000-0000-00001F1F0000}"/>
    <cellStyle name="Normal 9 2 3 2 2 6 2" xfId="6951" xr:uid="{00000000-0005-0000-0000-0000201F0000}"/>
    <cellStyle name="Normal 9 2 3 2 2 6 2 2" xfId="16277" xr:uid="{D7F3B815-C038-4F47-8AAD-DA1DEAAC6B32}"/>
    <cellStyle name="Normal 9 2 3 2 2 6 3" xfId="12060" xr:uid="{A5CE2BF4-FFDC-46B1-94DC-CEAA8EDEA9B7}"/>
    <cellStyle name="Normal 9 2 3 2 2 7" xfId="4886" xr:uid="{00000000-0005-0000-0000-0000211F0000}"/>
    <cellStyle name="Normal 9 2 3 2 2 7 2" xfId="14212" xr:uid="{95888E2A-2E7D-47D1-A249-65030584EF33}"/>
    <cellStyle name="Normal 9 2 3 2 2 8" xfId="9148" xr:uid="{E1A2F3F0-C8EA-47FA-BB37-18F117041A87}"/>
    <cellStyle name="Normal 9 2 3 2 2 8 2" xfId="18472" xr:uid="{CE629BA7-B2AC-4BAB-8CC4-DA0C2926CD71}"/>
    <cellStyle name="Normal 9 2 3 2 2 9" xfId="9995" xr:uid="{DB7CD0DA-987C-4E12-AE77-DF1A37B5306E}"/>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8C043DB2-EAAB-4175-BF0A-401E2A8845C0}"/>
    <cellStyle name="Normal 9 2 3 2 3 2 3" xfId="12552" xr:uid="{6EA9D96D-1DE3-4479-9409-5CA735A3EE4C}"/>
    <cellStyle name="Normal 9 2 3 2 3 3" xfId="5298" xr:uid="{00000000-0005-0000-0000-0000251F0000}"/>
    <cellStyle name="Normal 9 2 3 2 3 3 2" xfId="14624" xr:uid="{9581417D-4B72-4B65-B0B6-00872DE198BE}"/>
    <cellStyle name="Normal 9 2 3 2 3 4" xfId="9366" xr:uid="{136A6B94-9CAA-4F6C-B09D-7385900FCA38}"/>
    <cellStyle name="Normal 9 2 3 2 3 4 2" xfId="18681" xr:uid="{E69BAB35-317B-4907-B12F-45B75CD11256}"/>
    <cellStyle name="Normal 9 2 3 2 3 5" xfId="10407" xr:uid="{4958A8AF-BB42-414C-92B8-A275091A3B7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2B061CE4-818E-4181-9C91-C11131701AC2}"/>
    <cellStyle name="Normal 9 2 3 2 4 2 3" xfId="12965" xr:uid="{33B50C7A-702D-4B6D-99E7-BB0EF0C432E2}"/>
    <cellStyle name="Normal 9 2 3 2 4 3" xfId="5711" xr:uid="{00000000-0005-0000-0000-0000291F0000}"/>
    <cellStyle name="Normal 9 2 3 2 4 3 2" xfId="15037" xr:uid="{37CA3154-D117-4472-9626-C0A5CFF6C141}"/>
    <cellStyle name="Normal 9 2 3 2 4 4" xfId="10820" xr:uid="{8FAADEC8-B9B7-4D76-81E9-6BBEA1C7F126}"/>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64B7B3ED-B3DF-4313-BC7D-AC2BBEB8CB9E}"/>
    <cellStyle name="Normal 9 2 3 2 5 2 3" xfId="13378" xr:uid="{05516AB5-52ED-4591-A9B0-DCD1A8C88689}"/>
    <cellStyle name="Normal 9 2 3 2 5 3" xfId="6124" xr:uid="{00000000-0005-0000-0000-00002D1F0000}"/>
    <cellStyle name="Normal 9 2 3 2 5 3 2" xfId="15450" xr:uid="{0388F129-88C3-41CE-8B93-918B8BC76EFA}"/>
    <cellStyle name="Normal 9 2 3 2 5 4" xfId="11233" xr:uid="{BFCD0162-D70F-49E2-B835-F7123C1BC078}"/>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2533C083-80BD-4B57-B9C5-FB3145251055}"/>
    <cellStyle name="Normal 9 2 3 2 6 2 3" xfId="13791" xr:uid="{E605DFA8-F5ED-42A5-AB59-D9492D42DFBC}"/>
    <cellStyle name="Normal 9 2 3 2 6 3" xfId="6537" xr:uid="{00000000-0005-0000-0000-0000311F0000}"/>
    <cellStyle name="Normal 9 2 3 2 6 3 2" xfId="15863" xr:uid="{8168F355-ECEC-436C-B88F-9A696D630616}"/>
    <cellStyle name="Normal 9 2 3 2 6 4" xfId="11646" xr:uid="{16109406-3900-4942-9B6B-454420240A8A}"/>
    <cellStyle name="Normal 9 2 3 2 7" xfId="2667" xr:uid="{00000000-0005-0000-0000-0000321F0000}"/>
    <cellStyle name="Normal 9 2 3 2 7 2" xfId="6950" xr:uid="{00000000-0005-0000-0000-0000331F0000}"/>
    <cellStyle name="Normal 9 2 3 2 7 2 2" xfId="16276" xr:uid="{8D720218-224D-43D9-A221-5BD4A2AB588D}"/>
    <cellStyle name="Normal 9 2 3 2 7 3" xfId="12059" xr:uid="{E1578E60-2A5A-4D4B-B386-586C1EFD14D9}"/>
    <cellStyle name="Normal 9 2 3 2 8" xfId="4885" xr:uid="{00000000-0005-0000-0000-0000341F0000}"/>
    <cellStyle name="Normal 9 2 3 2 8 2" xfId="14211" xr:uid="{C4D7E034-2968-4D16-BCD2-B0AE7008EEA6}"/>
    <cellStyle name="Normal 9 2 3 2 9" xfId="8941" xr:uid="{DDA1E375-E708-45D0-9119-207D493A75BA}"/>
    <cellStyle name="Normal 9 2 3 2 9 2" xfId="18265" xr:uid="{B1EC98E8-1E4D-4CA5-8454-2FB136ECF85B}"/>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FCF6F49F-2B72-4D17-96B7-9BDD053A9A48}"/>
    <cellStyle name="Normal 9 2 3 3 2 2 3" xfId="12554" xr:uid="{4126D4D7-D20F-4681-9137-1C1B1837B0BB}"/>
    <cellStyle name="Normal 9 2 3 3 2 3" xfId="5300" xr:uid="{00000000-0005-0000-0000-0000391F0000}"/>
    <cellStyle name="Normal 9 2 3 3 2 3 2" xfId="14626" xr:uid="{26F2AB42-88AD-41EE-8193-C1B203203637}"/>
    <cellStyle name="Normal 9 2 3 3 2 4" xfId="9470" xr:uid="{B46EA5E7-4A9D-405A-94B0-2C155F0DE1F1}"/>
    <cellStyle name="Normal 9 2 3 3 2 4 2" xfId="18785" xr:uid="{86ABA488-0BDC-4DA3-979B-E53615BAACD5}"/>
    <cellStyle name="Normal 9 2 3 3 2 5" xfId="10409" xr:uid="{8EE7A5AB-92BE-4204-A577-8B34ED6A855D}"/>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E3283591-FA33-4CF2-917C-40B65CD5755E}"/>
    <cellStyle name="Normal 9 2 3 3 3 2 3" xfId="12967" xr:uid="{19349D7C-F0D0-469B-AD95-D06CC0D41F97}"/>
    <cellStyle name="Normal 9 2 3 3 3 3" xfId="5713" xr:uid="{00000000-0005-0000-0000-00003D1F0000}"/>
    <cellStyle name="Normal 9 2 3 3 3 3 2" xfId="15039" xr:uid="{0B86DC59-4301-4725-8D18-F5ED2F3ECFE5}"/>
    <cellStyle name="Normal 9 2 3 3 3 4" xfId="10822" xr:uid="{4E8D2581-A72D-4AE2-9602-639EEBFFF7D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D3D5F100-0999-458C-B918-48FB219669D3}"/>
    <cellStyle name="Normal 9 2 3 3 4 2 3" xfId="13380" xr:uid="{FE4050C3-0FEC-4B54-B02B-B33287717A2D}"/>
    <cellStyle name="Normal 9 2 3 3 4 3" xfId="6126" xr:uid="{00000000-0005-0000-0000-0000411F0000}"/>
    <cellStyle name="Normal 9 2 3 3 4 3 2" xfId="15452" xr:uid="{2C197FB5-A0E4-49EC-A6CF-990BD88C42BE}"/>
    <cellStyle name="Normal 9 2 3 3 4 4" xfId="11235" xr:uid="{8977210A-BD83-4CC5-9083-FD0D277B55C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F5205A16-9A4B-4097-9CEC-C3654A9A1EB2}"/>
    <cellStyle name="Normal 9 2 3 3 5 2 3" xfId="13793" xr:uid="{31386872-D584-4F39-8F13-24C8EC79380A}"/>
    <cellStyle name="Normal 9 2 3 3 5 3" xfId="6539" xr:uid="{00000000-0005-0000-0000-0000451F0000}"/>
    <cellStyle name="Normal 9 2 3 3 5 3 2" xfId="15865" xr:uid="{EF800D67-B6E0-4C0E-8CF9-B078B3DA9743}"/>
    <cellStyle name="Normal 9 2 3 3 5 4" xfId="11648" xr:uid="{ED06D03E-59C2-4465-9CAD-D93FBADF6B45}"/>
    <cellStyle name="Normal 9 2 3 3 6" xfId="2669" xr:uid="{00000000-0005-0000-0000-0000461F0000}"/>
    <cellStyle name="Normal 9 2 3 3 6 2" xfId="6952" xr:uid="{00000000-0005-0000-0000-0000471F0000}"/>
    <cellStyle name="Normal 9 2 3 3 6 2 2" xfId="16278" xr:uid="{A3B75238-99D1-4285-ACF0-10506D40C654}"/>
    <cellStyle name="Normal 9 2 3 3 6 3" xfId="12061" xr:uid="{9C5EC971-47B5-47F0-BCDF-7D3E3B9713D1}"/>
    <cellStyle name="Normal 9 2 3 3 7" xfId="4887" xr:uid="{00000000-0005-0000-0000-0000481F0000}"/>
    <cellStyle name="Normal 9 2 3 3 7 2" xfId="14213" xr:uid="{1739CE78-ECB5-4611-9996-E98D951E6137}"/>
    <cellStyle name="Normal 9 2 3 3 8" xfId="9045" xr:uid="{CD23D75F-FCE1-471A-A55A-DAC6FB15D069}"/>
    <cellStyle name="Normal 9 2 3 3 8 2" xfId="18369" xr:uid="{833F35B4-0549-479D-B6F7-706133F776CE}"/>
    <cellStyle name="Normal 9 2 3 3 9" xfId="9996" xr:uid="{DC1C976B-51B9-44C6-ACF9-B9FDE8244427}"/>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024301D2-7319-4FB1-B1F0-E59626C92273}"/>
    <cellStyle name="Normal 9 2 3 4 2 3" xfId="12551" xr:uid="{5599F625-FC43-49D1-9A4E-B8D2455F84DB}"/>
    <cellStyle name="Normal 9 2 3 4 3" xfId="5297" xr:uid="{00000000-0005-0000-0000-00004C1F0000}"/>
    <cellStyle name="Normal 9 2 3 4 3 2" xfId="14623" xr:uid="{BA8B8C56-DF69-4FAE-AC09-91CC32061DB7}"/>
    <cellStyle name="Normal 9 2 3 4 4" xfId="9263" xr:uid="{8E7B719A-F76B-4A2B-A5A7-1A883FD6976F}"/>
    <cellStyle name="Normal 9 2 3 4 4 2" xfId="18578" xr:uid="{0A577A50-D95A-4485-B26A-C633A612A46E}"/>
    <cellStyle name="Normal 9 2 3 4 5" xfId="10406" xr:uid="{2876875E-B1BE-4756-AD9D-9DC4E21BC721}"/>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DC0B2BF3-76A7-4F75-BA3F-0D4F4E46179C}"/>
    <cellStyle name="Normal 9 2 3 5 2 3" xfId="12964" xr:uid="{49AD95CF-C0F0-450B-A7D1-9FB8728958D4}"/>
    <cellStyle name="Normal 9 2 3 5 3" xfId="5710" xr:uid="{00000000-0005-0000-0000-0000501F0000}"/>
    <cellStyle name="Normal 9 2 3 5 3 2" xfId="15036" xr:uid="{405566C7-D903-420E-9869-F3B71D0C7651}"/>
    <cellStyle name="Normal 9 2 3 5 4" xfId="10819" xr:uid="{9549CF6C-9D8A-47A9-AC88-3FFF7F446CF2}"/>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EC80873C-ADD2-4E32-BBAD-BBEEECFC71DE}"/>
    <cellStyle name="Normal 9 2 3 6 2 3" xfId="13377" xr:uid="{2BB63E23-37AC-44E9-B028-FDE88419B684}"/>
    <cellStyle name="Normal 9 2 3 6 3" xfId="6123" xr:uid="{00000000-0005-0000-0000-0000541F0000}"/>
    <cellStyle name="Normal 9 2 3 6 3 2" xfId="15449" xr:uid="{6015924E-DD64-4C1E-B397-22CD83FB3AD0}"/>
    <cellStyle name="Normal 9 2 3 6 4" xfId="11232" xr:uid="{97653B11-6F58-4F78-830B-3DABE9406D76}"/>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82E65907-1389-4D49-9EEF-AF32DA46EBD0}"/>
    <cellStyle name="Normal 9 2 3 7 2 3" xfId="13790" xr:uid="{C1CCB941-00B5-4793-BFDC-8B6E1B0A4FA2}"/>
    <cellStyle name="Normal 9 2 3 7 3" xfId="6536" xr:uid="{00000000-0005-0000-0000-0000581F0000}"/>
    <cellStyle name="Normal 9 2 3 7 3 2" xfId="15862" xr:uid="{8DC8CDFA-0EC7-42D0-889A-90A6CEC88F09}"/>
    <cellStyle name="Normal 9 2 3 7 4" xfId="11645" xr:uid="{CF18CA9A-A9F2-4176-AE94-F03BE217BCAD}"/>
    <cellStyle name="Normal 9 2 3 8" xfId="2666" xr:uid="{00000000-0005-0000-0000-0000591F0000}"/>
    <cellStyle name="Normal 9 2 3 8 2" xfId="6949" xr:uid="{00000000-0005-0000-0000-00005A1F0000}"/>
    <cellStyle name="Normal 9 2 3 8 2 2" xfId="16275" xr:uid="{BC436019-C692-4CEF-AF01-C703A9C43B5A}"/>
    <cellStyle name="Normal 9 2 3 8 3" xfId="12058" xr:uid="{B9B09C85-96F8-4D40-B33C-B940048CDDA1}"/>
    <cellStyle name="Normal 9 2 3 9" xfId="4884" xr:uid="{00000000-0005-0000-0000-00005B1F0000}"/>
    <cellStyle name="Normal 9 2 3 9 2" xfId="14210" xr:uid="{10EAFCF3-A1B4-44AB-AFF9-EF257F4BB31C}"/>
    <cellStyle name="Normal 9 2 4" xfId="524" xr:uid="{00000000-0005-0000-0000-00005C1F0000}"/>
    <cellStyle name="Normal 9 2 4 10" xfId="9997" xr:uid="{D89F8A65-1ADA-48BF-8EDE-9DA45BD33C79}"/>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C4E917B0-0689-42A3-8B5C-F04A9AD3715E}"/>
    <cellStyle name="Normal 9 2 4 2 2 2 3" xfId="12556" xr:uid="{2A7F9E44-956A-4CB7-8B95-99C8EF80A37A}"/>
    <cellStyle name="Normal 9 2 4 2 2 3" xfId="5302" xr:uid="{00000000-0005-0000-0000-0000611F0000}"/>
    <cellStyle name="Normal 9 2 4 2 2 3 2" xfId="14628" xr:uid="{53A07E09-7FBC-4156-A434-3CA3BAD33D33}"/>
    <cellStyle name="Normal 9 2 4 2 2 4" xfId="9489" xr:uid="{4BA9DC16-58A7-4D6B-90A6-6BB0C51A0279}"/>
    <cellStyle name="Normal 9 2 4 2 2 4 2" xfId="18804" xr:uid="{B5CE799A-707A-4C18-9E58-8F5672068A85}"/>
    <cellStyle name="Normal 9 2 4 2 2 5" xfId="10411" xr:uid="{1821AE98-F328-44BF-9B4B-6E6B2A54CD1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43B8DBF6-0D5E-49B4-96A4-40AAE79FC004}"/>
    <cellStyle name="Normal 9 2 4 2 3 2 3" xfId="12969" xr:uid="{42CA6D12-00E5-47C9-8A01-15CFB9ADA64D}"/>
    <cellStyle name="Normal 9 2 4 2 3 3" xfId="5715" xr:uid="{00000000-0005-0000-0000-0000651F0000}"/>
    <cellStyle name="Normal 9 2 4 2 3 3 2" xfId="15041" xr:uid="{865E346B-6FEA-4357-8AA1-4D6C5FA274A8}"/>
    <cellStyle name="Normal 9 2 4 2 3 4" xfId="10824" xr:uid="{1801302B-3881-49FC-861E-E8D00C69ABA3}"/>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8A91A24C-53CA-4EB8-8521-D5FA5BB5996B}"/>
    <cellStyle name="Normal 9 2 4 2 4 2 3" xfId="13382" xr:uid="{92488C3A-CF55-4EDB-9F06-1A9B240DB949}"/>
    <cellStyle name="Normal 9 2 4 2 4 3" xfId="6128" xr:uid="{00000000-0005-0000-0000-0000691F0000}"/>
    <cellStyle name="Normal 9 2 4 2 4 3 2" xfId="15454" xr:uid="{DE643B1B-A171-47F7-A0F7-C59232C57868}"/>
    <cellStyle name="Normal 9 2 4 2 4 4" xfId="11237" xr:uid="{73E6666F-EBEC-495D-B461-77779E44C304}"/>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666F1EF9-C845-4371-9639-A2831956168E}"/>
    <cellStyle name="Normal 9 2 4 2 5 2 3" xfId="13795" xr:uid="{B5F3EFA7-F8A4-419C-8696-B693E89351D1}"/>
    <cellStyle name="Normal 9 2 4 2 5 3" xfId="6541" xr:uid="{00000000-0005-0000-0000-00006D1F0000}"/>
    <cellStyle name="Normal 9 2 4 2 5 3 2" xfId="15867" xr:uid="{F32D2766-EEAF-491A-ABE4-548FE3982045}"/>
    <cellStyle name="Normal 9 2 4 2 5 4" xfId="11650" xr:uid="{3BA66629-2895-461E-93B3-48C45D3A3A8A}"/>
    <cellStyle name="Normal 9 2 4 2 6" xfId="2671" xr:uid="{00000000-0005-0000-0000-00006E1F0000}"/>
    <cellStyle name="Normal 9 2 4 2 6 2" xfId="6954" xr:uid="{00000000-0005-0000-0000-00006F1F0000}"/>
    <cellStyle name="Normal 9 2 4 2 6 2 2" xfId="16280" xr:uid="{B2CCB25D-E8E4-4CA5-AB9F-84A9DE3C3919}"/>
    <cellStyle name="Normal 9 2 4 2 6 3" xfId="12063" xr:uid="{892864A9-D960-44A9-8172-9A62990518A4}"/>
    <cellStyle name="Normal 9 2 4 2 7" xfId="4889" xr:uid="{00000000-0005-0000-0000-0000701F0000}"/>
    <cellStyle name="Normal 9 2 4 2 7 2" xfId="14215" xr:uid="{DBAAE84F-109C-48EC-A9D3-86FAE10C4A58}"/>
    <cellStyle name="Normal 9 2 4 2 8" xfId="9064" xr:uid="{7D4090C3-C767-4FFF-8A1F-282B2C8BAE68}"/>
    <cellStyle name="Normal 9 2 4 2 8 2" xfId="18388" xr:uid="{495C2ACA-A136-4F54-A808-29C1B61DDB17}"/>
    <cellStyle name="Normal 9 2 4 2 9" xfId="9998" xr:uid="{96C37633-25A3-4664-8CFC-A06966C53E13}"/>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563A15E7-6559-4125-B355-F262AC317ADE}"/>
    <cellStyle name="Normal 9 2 4 3 2 3" xfId="12555" xr:uid="{A9AB1155-A952-4B4F-A304-8481CF7A9515}"/>
    <cellStyle name="Normal 9 2 4 3 3" xfId="5301" xr:uid="{00000000-0005-0000-0000-0000741F0000}"/>
    <cellStyle name="Normal 9 2 4 3 3 2" xfId="14627" xr:uid="{6BE6CF9B-01F5-4A45-9D53-B77CA3F47B67}"/>
    <cellStyle name="Normal 9 2 4 3 4" xfId="9282" xr:uid="{2471E5AC-3D06-4E90-9462-C54FACA9B22B}"/>
    <cellStyle name="Normal 9 2 4 3 4 2" xfId="18597" xr:uid="{EF3A3716-5962-4412-875B-95951A482CAC}"/>
    <cellStyle name="Normal 9 2 4 3 5" xfId="10410" xr:uid="{837713E7-AC56-4DA8-BD3B-AD1F73790B64}"/>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7949812B-BB08-487A-AD06-C581ACC02122}"/>
    <cellStyle name="Normal 9 2 4 4 2 3" xfId="12968" xr:uid="{0A2E7CDB-ED9A-4365-9BA8-4DDFCBB95826}"/>
    <cellStyle name="Normal 9 2 4 4 3" xfId="5714" xr:uid="{00000000-0005-0000-0000-0000781F0000}"/>
    <cellStyle name="Normal 9 2 4 4 3 2" xfId="15040" xr:uid="{45AE90DC-3542-455A-8523-3CA7E45BB185}"/>
    <cellStyle name="Normal 9 2 4 4 4" xfId="10823" xr:uid="{21286376-D84E-4D5C-B9AA-3388F0F35251}"/>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E559A832-FC0E-4F00-9698-7262605E596A}"/>
    <cellStyle name="Normal 9 2 4 5 2 3" xfId="13381" xr:uid="{2D2FDDD4-7F20-4EB9-B456-00D9D75BEE5C}"/>
    <cellStyle name="Normal 9 2 4 5 3" xfId="6127" xr:uid="{00000000-0005-0000-0000-00007C1F0000}"/>
    <cellStyle name="Normal 9 2 4 5 3 2" xfId="15453" xr:uid="{5E48AA7C-A0CA-4FB8-A30D-2E4E94361AE5}"/>
    <cellStyle name="Normal 9 2 4 5 4" xfId="11236" xr:uid="{3315804E-FA49-4E1A-B120-BA2A88B577E1}"/>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AAC86D7F-34DD-40CE-8770-08F7F1C78064}"/>
    <cellStyle name="Normal 9 2 4 6 2 3" xfId="13794" xr:uid="{C12E510A-5558-4645-824B-B04D95085E12}"/>
    <cellStyle name="Normal 9 2 4 6 3" xfId="6540" xr:uid="{00000000-0005-0000-0000-0000801F0000}"/>
    <cellStyle name="Normal 9 2 4 6 3 2" xfId="15866" xr:uid="{69F8A87A-E607-441E-8814-63E42A2130B6}"/>
    <cellStyle name="Normal 9 2 4 6 4" xfId="11649" xr:uid="{4F15F426-0C56-4A7F-8B69-3E0E40407AF8}"/>
    <cellStyle name="Normal 9 2 4 7" xfId="2670" xr:uid="{00000000-0005-0000-0000-0000811F0000}"/>
    <cellStyle name="Normal 9 2 4 7 2" xfId="6953" xr:uid="{00000000-0005-0000-0000-0000821F0000}"/>
    <cellStyle name="Normal 9 2 4 7 2 2" xfId="16279" xr:uid="{1A70399D-68EE-4E80-AEEE-A66FE7B0EB13}"/>
    <cellStyle name="Normal 9 2 4 7 3" xfId="12062" xr:uid="{9227BFB6-9FD8-4F8D-8F2E-6563E4BA1FEA}"/>
    <cellStyle name="Normal 9 2 4 8" xfId="4888" xr:uid="{00000000-0005-0000-0000-0000831F0000}"/>
    <cellStyle name="Normal 9 2 4 8 2" xfId="14214" xr:uid="{7C43013F-6BDC-411B-B4AD-6240569FFBED}"/>
    <cellStyle name="Normal 9 2 4 9" xfId="8857" xr:uid="{D785C0E6-B403-4CCC-AB0B-78E822EF1E40}"/>
    <cellStyle name="Normal 9 2 4 9 2" xfId="18181" xr:uid="{40F8A071-81AA-415E-BFBB-367F6DC3F6D2}"/>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58C0EECD-AB36-4C37-A2DC-0328075691A0}"/>
    <cellStyle name="Normal 9 2 5 2 2 3" xfId="12557" xr:uid="{E5D68215-0CC4-4A80-B56D-676A5750589E}"/>
    <cellStyle name="Normal 9 2 5 2 3" xfId="5303" xr:uid="{00000000-0005-0000-0000-0000881F0000}"/>
    <cellStyle name="Normal 9 2 5 2 3 2" xfId="14629" xr:uid="{A31042A5-E5AD-4E27-8021-875AC6A042D3}"/>
    <cellStyle name="Normal 9 2 5 2 4" xfId="9398" xr:uid="{5B2A416E-986C-4898-8893-9EAFDDDBCDD4}"/>
    <cellStyle name="Normal 9 2 5 2 4 2" xfId="18713" xr:uid="{4D8079B5-9572-4170-9D40-B9BA3A4BA512}"/>
    <cellStyle name="Normal 9 2 5 2 5" xfId="10412" xr:uid="{74D38618-1E0C-4F4E-A3D4-23461B4BFA4D}"/>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C21D52D4-107E-400D-A59A-8F469E14C146}"/>
    <cellStyle name="Normal 9 2 5 3 2 3" xfId="12970" xr:uid="{82F5081D-95A6-4F7D-8119-EB2C32CE1B28}"/>
    <cellStyle name="Normal 9 2 5 3 3" xfId="5716" xr:uid="{00000000-0005-0000-0000-00008C1F0000}"/>
    <cellStyle name="Normal 9 2 5 3 3 2" xfId="15042" xr:uid="{28893F7A-8DA6-42D7-BE85-FA07945E7F62}"/>
    <cellStyle name="Normal 9 2 5 3 4" xfId="10825" xr:uid="{6B42CF77-9271-4762-9A65-23F0950C16C1}"/>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5E41897C-EA87-4DA7-9DC3-C75F0704EF36}"/>
    <cellStyle name="Normal 9 2 5 4 2 3" xfId="13383" xr:uid="{0626F8FD-BF75-42C6-BF80-E3C4D90D3F88}"/>
    <cellStyle name="Normal 9 2 5 4 3" xfId="6129" xr:uid="{00000000-0005-0000-0000-0000901F0000}"/>
    <cellStyle name="Normal 9 2 5 4 3 2" xfId="15455" xr:uid="{0C79E6EC-F0C9-49E6-9B06-A8EFD4C26C4F}"/>
    <cellStyle name="Normal 9 2 5 4 4" xfId="11238" xr:uid="{BC75A855-0032-488B-B563-B02235A96822}"/>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C94BED18-A6D3-4E85-B634-BD0F9A2BFD87}"/>
    <cellStyle name="Normal 9 2 5 5 2 3" xfId="13796" xr:uid="{3B4C1C76-7948-4D12-9E81-0083186B830C}"/>
    <cellStyle name="Normal 9 2 5 5 3" xfId="6542" xr:uid="{00000000-0005-0000-0000-0000941F0000}"/>
    <cellStyle name="Normal 9 2 5 5 3 2" xfId="15868" xr:uid="{99A00341-E282-4F6B-9207-7549A8182EF9}"/>
    <cellStyle name="Normal 9 2 5 5 4" xfId="11651" xr:uid="{1E9F6ADE-EE20-4EF2-870B-D692EED6744F}"/>
    <cellStyle name="Normal 9 2 5 6" xfId="2672" xr:uid="{00000000-0005-0000-0000-0000951F0000}"/>
    <cellStyle name="Normal 9 2 5 6 2" xfId="6955" xr:uid="{00000000-0005-0000-0000-0000961F0000}"/>
    <cellStyle name="Normal 9 2 5 6 2 2" xfId="16281" xr:uid="{6A6F653D-EDEA-4E67-83A1-6B94B7E8C57A}"/>
    <cellStyle name="Normal 9 2 5 6 3" xfId="12064" xr:uid="{883C6CF7-DFEB-4089-B299-57B92757C544}"/>
    <cellStyle name="Normal 9 2 5 7" xfId="4890" xr:uid="{00000000-0005-0000-0000-0000971F0000}"/>
    <cellStyle name="Normal 9 2 5 7 2" xfId="14216" xr:uid="{E93A8F60-7B82-4A84-A604-9B4172D8FE7D}"/>
    <cellStyle name="Normal 9 2 5 8" xfId="8973" xr:uid="{BA9464C2-72F7-4B38-B1BD-6986FFA433D9}"/>
    <cellStyle name="Normal 9 2 5 8 2" xfId="18297" xr:uid="{92BBE7A5-9833-4412-968D-A295C785823B}"/>
    <cellStyle name="Normal 9 2 5 9" xfId="9999" xr:uid="{C06587DB-E8B3-4627-AC88-AA0C11EB801B}"/>
    <cellStyle name="Normal 9 2 6" xfId="978" xr:uid="{00000000-0005-0000-0000-0000981F0000}"/>
    <cellStyle name="Normal 9 2 6 2" xfId="3211" xr:uid="{00000000-0005-0000-0000-0000991F0000}"/>
    <cellStyle name="Normal 9 2 6 2 2" xfId="7433" xr:uid="{00000000-0005-0000-0000-00009A1F0000}"/>
    <cellStyle name="Normal 9 2 6 2 2 2" xfId="16759" xr:uid="{250EB9C3-07A3-4D84-8ABC-266A1985DB41}"/>
    <cellStyle name="Normal 9 2 6 2 3" xfId="12542" xr:uid="{BB666965-04C7-45BA-B00C-36EA37AC89F7}"/>
    <cellStyle name="Normal 9 2 6 3" xfId="5288" xr:uid="{00000000-0005-0000-0000-00009B1F0000}"/>
    <cellStyle name="Normal 9 2 6 3 2" xfId="14614" xr:uid="{3901DC73-A965-400F-9059-A5EEA564DBCF}"/>
    <cellStyle name="Normal 9 2 6 4" xfId="9176" xr:uid="{F3933A08-5B20-47C9-B0FC-7B73F4B0BA7D}"/>
    <cellStyle name="Normal 9 2 6 4 2" xfId="18494" xr:uid="{EBBBE571-38DA-4A29-A087-21B56D320E7E}"/>
    <cellStyle name="Normal 9 2 6 5" xfId="10397" xr:uid="{26687272-2FCB-4402-8C8B-9EFF847DB92D}"/>
    <cellStyle name="Normal 9 2 7" xfId="1394" xr:uid="{00000000-0005-0000-0000-00009C1F0000}"/>
    <cellStyle name="Normal 9 2 7 2" xfId="3624" xr:uid="{00000000-0005-0000-0000-00009D1F0000}"/>
    <cellStyle name="Normal 9 2 7 2 2" xfId="7846" xr:uid="{00000000-0005-0000-0000-00009E1F0000}"/>
    <cellStyle name="Normal 9 2 7 2 2 2" xfId="17172" xr:uid="{7FBF0476-EF06-48A6-B74F-D1D15E3EA59E}"/>
    <cellStyle name="Normal 9 2 7 2 3" xfId="12955" xr:uid="{0DF1C18E-E861-4977-B203-83BCE72A611C}"/>
    <cellStyle name="Normal 9 2 7 3" xfId="5701" xr:uid="{00000000-0005-0000-0000-00009F1F0000}"/>
    <cellStyle name="Normal 9 2 7 3 2" xfId="15027" xr:uid="{0241CE76-42D6-4A6A-8C4C-8FF903E165F8}"/>
    <cellStyle name="Normal 9 2 7 4" xfId="10810" xr:uid="{9856B17F-16EA-4C05-A9E8-7EC5462C20DC}"/>
    <cellStyle name="Normal 9 2 8" xfId="1807" xr:uid="{00000000-0005-0000-0000-0000A01F0000}"/>
    <cellStyle name="Normal 9 2 8 2" xfId="4037" xr:uid="{00000000-0005-0000-0000-0000A11F0000}"/>
    <cellStyle name="Normal 9 2 8 2 2" xfId="8259" xr:uid="{00000000-0005-0000-0000-0000A21F0000}"/>
    <cellStyle name="Normal 9 2 8 2 2 2" xfId="17585" xr:uid="{CF76C716-BF93-4FB9-B188-85A2D04615A8}"/>
    <cellStyle name="Normal 9 2 8 2 3" xfId="13368" xr:uid="{576EFA4E-7827-4B6F-AEE2-06D26D250910}"/>
    <cellStyle name="Normal 9 2 8 3" xfId="6114" xr:uid="{00000000-0005-0000-0000-0000A31F0000}"/>
    <cellStyle name="Normal 9 2 8 3 2" xfId="15440" xr:uid="{9042BCEC-A779-46B3-A55E-97964EF18056}"/>
    <cellStyle name="Normal 9 2 8 4" xfId="11223" xr:uid="{3735F5FA-CBD8-400C-9625-0D4B8944ACEC}"/>
    <cellStyle name="Normal 9 2 9" xfId="2221" xr:uid="{00000000-0005-0000-0000-0000A41F0000}"/>
    <cellStyle name="Normal 9 2 9 2" xfId="4450" xr:uid="{00000000-0005-0000-0000-0000A51F0000}"/>
    <cellStyle name="Normal 9 2 9 2 2" xfId="8672" xr:uid="{00000000-0005-0000-0000-0000A61F0000}"/>
    <cellStyle name="Normal 9 2 9 2 2 2" xfId="17998" xr:uid="{B8D1C633-33C7-414F-909E-9CE56F4D2C46}"/>
    <cellStyle name="Normal 9 2 9 2 3" xfId="13781" xr:uid="{6788B3D7-BECF-4F0D-B4CE-879EE16F3F8F}"/>
    <cellStyle name="Normal 9 2 9 3" xfId="6527" xr:uid="{00000000-0005-0000-0000-0000A71F0000}"/>
    <cellStyle name="Normal 9 2 9 3 2" xfId="15853" xr:uid="{15B4BE94-D707-4711-935B-F5857E675CDE}"/>
    <cellStyle name="Normal 9 2 9 4" xfId="11636" xr:uid="{68FC3802-87EA-4345-BFDD-3FA707ED3995}"/>
    <cellStyle name="Normal 9 3" xfId="527" xr:uid="{00000000-0005-0000-0000-0000A81F0000}"/>
    <cellStyle name="Normal 9 3 10" xfId="4891" xr:uid="{00000000-0005-0000-0000-0000A91F0000}"/>
    <cellStyle name="Normal 9 3 10 2" xfId="14217" xr:uid="{324DF917-443F-4ED5-AA73-43687D95A4E1}"/>
    <cellStyle name="Normal 9 3 11" xfId="8777" xr:uid="{1F3D7E21-FC22-4F0C-9371-3D8250746BB7}"/>
    <cellStyle name="Normal 9 3 11 2" xfId="18101" xr:uid="{A6BA204E-9C5A-4E9A-AC15-6908DFE15196}"/>
    <cellStyle name="Normal 9 3 12" xfId="10000" xr:uid="{58C2B7EA-719C-428F-B6D2-EDA11DB7966A}"/>
    <cellStyle name="Normal 9 3 2" xfId="528" xr:uid="{00000000-0005-0000-0000-0000AA1F0000}"/>
    <cellStyle name="Normal 9 3 2 10" xfId="8840" xr:uid="{94797BE2-1721-4871-A768-79D4D45F48BB}"/>
    <cellStyle name="Normal 9 3 2 10 2" xfId="18164" xr:uid="{8A706139-9D9D-4C1F-B351-E3ECF4190F62}"/>
    <cellStyle name="Normal 9 3 2 11" xfId="10001" xr:uid="{AA325E8D-03D6-45F7-A228-FC57AFBB1274}"/>
    <cellStyle name="Normal 9 3 2 2" xfId="529" xr:uid="{00000000-0005-0000-0000-0000AB1F0000}"/>
    <cellStyle name="Normal 9 3 2 2 10" xfId="10002" xr:uid="{86ADA990-40FF-4AD8-A577-2753DA4A9D9F}"/>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CC1FBB09-4CDF-46E4-B63A-981E7064DDA0}"/>
    <cellStyle name="Normal 9 3 2 2 2 2 2 3" xfId="12561" xr:uid="{B970E0BB-1ED8-4522-9F4A-8E03FE4CDBA6}"/>
    <cellStyle name="Normal 9 3 2 2 2 2 3" xfId="5307" xr:uid="{00000000-0005-0000-0000-0000B01F0000}"/>
    <cellStyle name="Normal 9 3 2 2 2 2 3 2" xfId="14633" xr:uid="{A2D5DE38-641B-4D61-BD5E-A3382DBAE033}"/>
    <cellStyle name="Normal 9 3 2 2 2 2 4" xfId="9575" xr:uid="{DA05DE06-1987-4B8E-8439-C692853FF296}"/>
    <cellStyle name="Normal 9 3 2 2 2 2 4 2" xfId="18890" xr:uid="{B782BB45-E23D-4D52-84AF-9B0A566F6F4C}"/>
    <cellStyle name="Normal 9 3 2 2 2 2 5" xfId="10416" xr:uid="{1358F477-5861-494F-9626-6151C068CADC}"/>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C2C6A34-0059-49D8-912D-9271341D445E}"/>
    <cellStyle name="Normal 9 3 2 2 2 3 2 3" xfId="12974" xr:uid="{F44A2169-7B03-42C6-8C25-DCE78C5F23D2}"/>
    <cellStyle name="Normal 9 3 2 2 2 3 3" xfId="5720" xr:uid="{00000000-0005-0000-0000-0000B41F0000}"/>
    <cellStyle name="Normal 9 3 2 2 2 3 3 2" xfId="15046" xr:uid="{0C9EAD98-42F9-429E-83CB-93DAB4CB59B3}"/>
    <cellStyle name="Normal 9 3 2 2 2 3 4" xfId="10829" xr:uid="{27A80A5C-43A2-4046-A1F6-FD9D08E5AA88}"/>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D9D40816-0BF8-42F2-A3DF-F54D8C972B0A}"/>
    <cellStyle name="Normal 9 3 2 2 2 4 2 3" xfId="13387" xr:uid="{985D877B-FC34-4BF6-B432-786AA816D944}"/>
    <cellStyle name="Normal 9 3 2 2 2 4 3" xfId="6133" xr:uid="{00000000-0005-0000-0000-0000B81F0000}"/>
    <cellStyle name="Normal 9 3 2 2 2 4 3 2" xfId="15459" xr:uid="{B7D3D3A3-7259-4066-A152-0A7EA7E5EF4E}"/>
    <cellStyle name="Normal 9 3 2 2 2 4 4" xfId="11242" xr:uid="{157F257F-A159-403C-9657-EB954B1FFE3D}"/>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346FB863-CF18-4D95-9ACC-8B0A9B4E6898}"/>
    <cellStyle name="Normal 9 3 2 2 2 5 2 3" xfId="13800" xr:uid="{055D2223-C176-4F06-BC9D-73C433A30B38}"/>
    <cellStyle name="Normal 9 3 2 2 2 5 3" xfId="6546" xr:uid="{00000000-0005-0000-0000-0000BC1F0000}"/>
    <cellStyle name="Normal 9 3 2 2 2 5 3 2" xfId="15872" xr:uid="{5384CEEA-1C5C-4110-805B-6004C221084E}"/>
    <cellStyle name="Normal 9 3 2 2 2 5 4" xfId="11655" xr:uid="{AF40F240-45F2-44DB-95C5-8A469DAE54DC}"/>
    <cellStyle name="Normal 9 3 2 2 2 6" xfId="2676" xr:uid="{00000000-0005-0000-0000-0000BD1F0000}"/>
    <cellStyle name="Normal 9 3 2 2 2 6 2" xfId="6959" xr:uid="{00000000-0005-0000-0000-0000BE1F0000}"/>
    <cellStyle name="Normal 9 3 2 2 2 6 2 2" xfId="16285" xr:uid="{FEDA505D-6614-4E65-833C-35EFFCE80E3D}"/>
    <cellStyle name="Normal 9 3 2 2 2 6 3" xfId="12068" xr:uid="{31659B4A-9ECF-48C5-8A3C-F8DCC27919FC}"/>
    <cellStyle name="Normal 9 3 2 2 2 7" xfId="4894" xr:uid="{00000000-0005-0000-0000-0000BF1F0000}"/>
    <cellStyle name="Normal 9 3 2 2 2 7 2" xfId="14220" xr:uid="{DED5462A-A5CB-49EA-866A-A498EDFE6590}"/>
    <cellStyle name="Normal 9 3 2 2 2 8" xfId="9150" xr:uid="{F54F74BE-A583-4C94-A198-8E0D27AD7F4F}"/>
    <cellStyle name="Normal 9 3 2 2 2 8 2" xfId="18474" xr:uid="{6B123F4E-6218-42AE-AA77-7815EDD96EE0}"/>
    <cellStyle name="Normal 9 3 2 2 2 9" xfId="10003" xr:uid="{A6DBAC8A-A136-480C-B58D-2BF9DC438C97}"/>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0C049E2A-AFD1-43EA-AC23-84FB0DE8B2C4}"/>
    <cellStyle name="Normal 9 3 2 2 3 2 3" xfId="12560" xr:uid="{A72087ED-9841-42C7-B690-525C9DF87FD2}"/>
    <cellStyle name="Normal 9 3 2 2 3 3" xfId="5306" xr:uid="{00000000-0005-0000-0000-0000C31F0000}"/>
    <cellStyle name="Normal 9 3 2 2 3 3 2" xfId="14632" xr:uid="{6F1817F7-645F-47D5-847A-EC4C76EFFCCC}"/>
    <cellStyle name="Normal 9 3 2 2 3 4" xfId="9368" xr:uid="{B3189122-1774-442D-BD5B-8DA329618536}"/>
    <cellStyle name="Normal 9 3 2 2 3 4 2" xfId="18683" xr:uid="{B87FC052-D848-4923-A8D3-80154A74AB97}"/>
    <cellStyle name="Normal 9 3 2 2 3 5" xfId="10415" xr:uid="{EBC3DFD8-1E4B-4025-B035-6893341F9A7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CA9A512B-1E70-4E51-8051-73D7BBBC93AC}"/>
    <cellStyle name="Normal 9 3 2 2 4 2 3" xfId="12973" xr:uid="{C3A5C052-2F44-49C8-9581-02C40E40F9FB}"/>
    <cellStyle name="Normal 9 3 2 2 4 3" xfId="5719" xr:uid="{00000000-0005-0000-0000-0000C71F0000}"/>
    <cellStyle name="Normal 9 3 2 2 4 3 2" xfId="15045" xr:uid="{BDB32347-0BA3-4CC8-9A0E-10FC3D22FFBD}"/>
    <cellStyle name="Normal 9 3 2 2 4 4" xfId="10828" xr:uid="{B71EE3CC-5F42-40E8-A21B-3AAC074226E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D0D7A2A5-D027-41A8-B752-1A64B18C69A3}"/>
    <cellStyle name="Normal 9 3 2 2 5 2 3" xfId="13386" xr:uid="{DCF4215A-3F4D-4BF2-8DD7-FFE6635FDA45}"/>
    <cellStyle name="Normal 9 3 2 2 5 3" xfId="6132" xr:uid="{00000000-0005-0000-0000-0000CB1F0000}"/>
    <cellStyle name="Normal 9 3 2 2 5 3 2" xfId="15458" xr:uid="{3E62BA96-C2BB-4712-ABA2-C46650DEAE74}"/>
    <cellStyle name="Normal 9 3 2 2 5 4" xfId="11241" xr:uid="{FCA70820-8BB6-4342-A785-E94D54AF8748}"/>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D21B39BE-4505-4A90-B60A-611365E0F357}"/>
    <cellStyle name="Normal 9 3 2 2 6 2 3" xfId="13799" xr:uid="{926DA3A8-05F2-4692-8941-FE77A38BA35D}"/>
    <cellStyle name="Normal 9 3 2 2 6 3" xfId="6545" xr:uid="{00000000-0005-0000-0000-0000CF1F0000}"/>
    <cellStyle name="Normal 9 3 2 2 6 3 2" xfId="15871" xr:uid="{00A118EE-906D-41D1-8323-0CF01FC84A9F}"/>
    <cellStyle name="Normal 9 3 2 2 6 4" xfId="11654" xr:uid="{1E7A38C3-67A6-48B0-A68B-7FF616A045EB}"/>
    <cellStyle name="Normal 9 3 2 2 7" xfId="2675" xr:uid="{00000000-0005-0000-0000-0000D01F0000}"/>
    <cellStyle name="Normal 9 3 2 2 7 2" xfId="6958" xr:uid="{00000000-0005-0000-0000-0000D11F0000}"/>
    <cellStyle name="Normal 9 3 2 2 7 2 2" xfId="16284" xr:uid="{D107ED28-E853-4124-B791-5E333E163D69}"/>
    <cellStyle name="Normal 9 3 2 2 7 3" xfId="12067" xr:uid="{67DCB0AC-517F-4B71-8014-EF2AF3DDC7B4}"/>
    <cellStyle name="Normal 9 3 2 2 8" xfId="4893" xr:uid="{00000000-0005-0000-0000-0000D21F0000}"/>
    <cellStyle name="Normal 9 3 2 2 8 2" xfId="14219" xr:uid="{DAC754D8-A620-4815-8AA7-D0918065EAFB}"/>
    <cellStyle name="Normal 9 3 2 2 9" xfId="8943" xr:uid="{1E59706A-169E-45B8-A6E4-1A0514B9DDBD}"/>
    <cellStyle name="Normal 9 3 2 2 9 2" xfId="18267" xr:uid="{5719E650-FFDB-4269-80A6-FBA197BB48F1}"/>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9F5CB39C-62EB-41B5-B09C-B03649C899EE}"/>
    <cellStyle name="Normal 9 3 2 3 2 2 3" xfId="12562" xr:uid="{42615C8A-1B83-4402-A78C-BDEBA303FF13}"/>
    <cellStyle name="Normal 9 3 2 3 2 3" xfId="5308" xr:uid="{00000000-0005-0000-0000-0000D71F0000}"/>
    <cellStyle name="Normal 9 3 2 3 2 3 2" xfId="14634" xr:uid="{B9C70457-0637-4565-AD69-9E82D5BDA2ED}"/>
    <cellStyle name="Normal 9 3 2 3 2 4" xfId="9472" xr:uid="{427A8E71-9BC4-47C0-A855-6886AF96C97E}"/>
    <cellStyle name="Normal 9 3 2 3 2 4 2" xfId="18787" xr:uid="{A4CF8760-5276-4FB7-ACA3-C547682CBDBD}"/>
    <cellStyle name="Normal 9 3 2 3 2 5" xfId="10417" xr:uid="{3C9B4EA5-F1E7-4A97-A552-E6392A45F01D}"/>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D1B7DB18-06EB-45FA-B278-6E851950D77A}"/>
    <cellStyle name="Normal 9 3 2 3 3 2 3" xfId="12975" xr:uid="{E597A64E-7B1E-4991-A735-4A3FB1F7CF04}"/>
    <cellStyle name="Normal 9 3 2 3 3 3" xfId="5721" xr:uid="{00000000-0005-0000-0000-0000DB1F0000}"/>
    <cellStyle name="Normal 9 3 2 3 3 3 2" xfId="15047" xr:uid="{E7D1A389-DD1C-4400-A190-DE45D2448683}"/>
    <cellStyle name="Normal 9 3 2 3 3 4" xfId="10830" xr:uid="{80F2252A-E9BE-4EB0-91CB-984B9B51219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4EA06D7E-5825-48FB-9C43-3FD52E363457}"/>
    <cellStyle name="Normal 9 3 2 3 4 2 3" xfId="13388" xr:uid="{0C9B064D-9517-4EA8-BEE4-E319CC115FE0}"/>
    <cellStyle name="Normal 9 3 2 3 4 3" xfId="6134" xr:uid="{00000000-0005-0000-0000-0000DF1F0000}"/>
    <cellStyle name="Normal 9 3 2 3 4 3 2" xfId="15460" xr:uid="{253B83CE-368A-4061-90A5-E059C7584135}"/>
    <cellStyle name="Normal 9 3 2 3 4 4" xfId="11243" xr:uid="{55A6A6BF-E5FE-4D92-82CC-F3E758DF646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0769AF5E-5A14-4051-9035-4E7364CB61E2}"/>
    <cellStyle name="Normal 9 3 2 3 5 2 3" xfId="13801" xr:uid="{C82867E4-7A52-4E80-B08E-65FD56750D4B}"/>
    <cellStyle name="Normal 9 3 2 3 5 3" xfId="6547" xr:uid="{00000000-0005-0000-0000-0000E31F0000}"/>
    <cellStyle name="Normal 9 3 2 3 5 3 2" xfId="15873" xr:uid="{C9B061D5-4A57-4B24-9444-DEC71D1D2FA6}"/>
    <cellStyle name="Normal 9 3 2 3 5 4" xfId="11656" xr:uid="{06354F82-0CD6-4027-95DB-A0D7248A1A68}"/>
    <cellStyle name="Normal 9 3 2 3 6" xfId="2677" xr:uid="{00000000-0005-0000-0000-0000E41F0000}"/>
    <cellStyle name="Normal 9 3 2 3 6 2" xfId="6960" xr:uid="{00000000-0005-0000-0000-0000E51F0000}"/>
    <cellStyle name="Normal 9 3 2 3 6 2 2" xfId="16286" xr:uid="{C214627C-6034-4ED9-B9A4-CBBFE89DCD75}"/>
    <cellStyle name="Normal 9 3 2 3 6 3" xfId="12069" xr:uid="{55965A51-8B88-49E9-8245-C60333A47E32}"/>
    <cellStyle name="Normal 9 3 2 3 7" xfId="4895" xr:uid="{00000000-0005-0000-0000-0000E61F0000}"/>
    <cellStyle name="Normal 9 3 2 3 7 2" xfId="14221" xr:uid="{2E929FAD-82A0-457F-9330-506D635F715A}"/>
    <cellStyle name="Normal 9 3 2 3 8" xfId="9047" xr:uid="{4CBBBE80-D24B-484D-910E-0072EA0E95DD}"/>
    <cellStyle name="Normal 9 3 2 3 8 2" xfId="18371" xr:uid="{6C099C8F-63D9-4FDA-8FAF-B77F654EC823}"/>
    <cellStyle name="Normal 9 3 2 3 9" xfId="10004" xr:uid="{35395844-D0CD-4288-A09D-D3B62A8DC8A7}"/>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26BDF941-9B5E-4045-965C-F2BBF8874F27}"/>
    <cellStyle name="Normal 9 3 2 4 2 3" xfId="12559" xr:uid="{E74CD095-C394-4EAF-976F-76701E5B1C34}"/>
    <cellStyle name="Normal 9 3 2 4 3" xfId="5305" xr:uid="{00000000-0005-0000-0000-0000EA1F0000}"/>
    <cellStyle name="Normal 9 3 2 4 3 2" xfId="14631" xr:uid="{B84D3816-D4F3-4532-AB99-882E72911E3B}"/>
    <cellStyle name="Normal 9 3 2 4 4" xfId="9265" xr:uid="{BF00A9B8-67BA-48F6-8D48-0E4380D60577}"/>
    <cellStyle name="Normal 9 3 2 4 4 2" xfId="18580" xr:uid="{E1E65ACB-4398-4BF8-BE2B-3537D5C05D3A}"/>
    <cellStyle name="Normal 9 3 2 4 5" xfId="10414" xr:uid="{E3F6655E-632B-49A9-9F20-9CE7B6F3AB31}"/>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13AE379F-7DB5-4D15-B2AD-53508B216953}"/>
    <cellStyle name="Normal 9 3 2 5 2 3" xfId="12972" xr:uid="{3B8234B6-0180-44D3-B0D0-AD624A32B40B}"/>
    <cellStyle name="Normal 9 3 2 5 3" xfId="5718" xr:uid="{00000000-0005-0000-0000-0000EE1F0000}"/>
    <cellStyle name="Normal 9 3 2 5 3 2" xfId="15044" xr:uid="{E3197FB0-25AD-4BE0-AE37-6C315542072F}"/>
    <cellStyle name="Normal 9 3 2 5 4" xfId="10827" xr:uid="{60B5108C-ECB3-435D-8484-6F287FE732AE}"/>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6E545F69-8434-4489-938D-35FA5C1524E4}"/>
    <cellStyle name="Normal 9 3 2 6 2 3" xfId="13385" xr:uid="{40B2925C-4E4C-45C2-AE21-FDA678184014}"/>
    <cellStyle name="Normal 9 3 2 6 3" xfId="6131" xr:uid="{00000000-0005-0000-0000-0000F21F0000}"/>
    <cellStyle name="Normal 9 3 2 6 3 2" xfId="15457" xr:uid="{70992C4B-CF89-4D80-B635-6C2235062FBA}"/>
    <cellStyle name="Normal 9 3 2 6 4" xfId="11240" xr:uid="{DAAC381A-5634-4711-A3B9-AB0BC35800CF}"/>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AB19915D-A737-4E55-9ED0-DF4B72E175B6}"/>
    <cellStyle name="Normal 9 3 2 7 2 3" xfId="13798" xr:uid="{B735E833-7E14-4EF5-8782-7C169682A443}"/>
    <cellStyle name="Normal 9 3 2 7 3" xfId="6544" xr:uid="{00000000-0005-0000-0000-0000F61F0000}"/>
    <cellStyle name="Normal 9 3 2 7 3 2" xfId="15870" xr:uid="{CEE27974-5AE1-4485-BC2B-59C8E8726713}"/>
    <cellStyle name="Normal 9 3 2 7 4" xfId="11653" xr:uid="{1EA03134-5022-4CA8-810E-B955F18C202C}"/>
    <cellStyle name="Normal 9 3 2 8" xfId="2674" xr:uid="{00000000-0005-0000-0000-0000F71F0000}"/>
    <cellStyle name="Normal 9 3 2 8 2" xfId="6957" xr:uid="{00000000-0005-0000-0000-0000F81F0000}"/>
    <cellStyle name="Normal 9 3 2 8 2 2" xfId="16283" xr:uid="{A73AAA02-4B67-452A-BFE2-60D2A08A0C70}"/>
    <cellStyle name="Normal 9 3 2 8 3" xfId="12066" xr:uid="{2F4BF548-4EC2-463B-9010-0199E70BB821}"/>
    <cellStyle name="Normal 9 3 2 9" xfId="4892" xr:uid="{00000000-0005-0000-0000-0000F91F0000}"/>
    <cellStyle name="Normal 9 3 2 9 2" xfId="14218" xr:uid="{09F32786-3DC3-48C6-9A1E-75B4640CF07B}"/>
    <cellStyle name="Normal 9 3 3" xfId="532" xr:uid="{00000000-0005-0000-0000-0000FA1F0000}"/>
    <cellStyle name="Normal 9 3 3 10" xfId="10005" xr:uid="{AB9AA530-BEF2-4A23-AF09-492572843529}"/>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177EFF6D-E15B-4C26-986B-918FAB19A3EC}"/>
    <cellStyle name="Normal 9 3 3 2 2 2 3" xfId="12564" xr:uid="{203F8FD9-A191-4E65-9D5F-AE8D3A3B1E3C}"/>
    <cellStyle name="Normal 9 3 3 2 2 3" xfId="5310" xr:uid="{00000000-0005-0000-0000-0000FF1F0000}"/>
    <cellStyle name="Normal 9 3 3 2 2 3 2" xfId="14636" xr:uid="{C8FF7E6A-669B-41BB-B5E4-D460DB32AD9E}"/>
    <cellStyle name="Normal 9 3 3 2 2 4" xfId="9512" xr:uid="{2D87B26D-94B2-43FF-B3AD-59DF0A117D21}"/>
    <cellStyle name="Normal 9 3 3 2 2 4 2" xfId="18827" xr:uid="{213E4429-E6C1-4903-8D58-C898D3ED6CD8}"/>
    <cellStyle name="Normal 9 3 3 2 2 5" xfId="10419" xr:uid="{14B66DDE-A72B-4D5A-B64B-BE81ABC5FE77}"/>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6D52DA8B-69B3-4117-A369-314BD3ABAA1B}"/>
    <cellStyle name="Normal 9 3 3 2 3 2 3" xfId="12977" xr:uid="{7C8BDE58-AF60-46BC-AD11-D74B0F6AE313}"/>
    <cellStyle name="Normal 9 3 3 2 3 3" xfId="5723" xr:uid="{00000000-0005-0000-0000-000003200000}"/>
    <cellStyle name="Normal 9 3 3 2 3 3 2" xfId="15049" xr:uid="{D5B9EB41-F802-4524-A95D-BA04144F4E39}"/>
    <cellStyle name="Normal 9 3 3 2 3 4" xfId="10832" xr:uid="{A8530134-C0A1-45B4-9522-D94F3A69CB6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4A3F6E6D-E617-4FEF-B7EB-3501CACDADC2}"/>
    <cellStyle name="Normal 9 3 3 2 4 2 3" xfId="13390" xr:uid="{19021C62-3C10-4461-9F10-EDD81B63D815}"/>
    <cellStyle name="Normal 9 3 3 2 4 3" xfId="6136" xr:uid="{00000000-0005-0000-0000-000007200000}"/>
    <cellStyle name="Normal 9 3 3 2 4 3 2" xfId="15462" xr:uid="{3161562C-F0A8-42ED-BA20-160EA6850B4B}"/>
    <cellStyle name="Normal 9 3 3 2 4 4" xfId="11245" xr:uid="{0C17BCD7-076D-48F3-8E74-9AAE007F84EC}"/>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1D0FCBED-8413-4E01-AAA3-D0DE1887C01B}"/>
    <cellStyle name="Normal 9 3 3 2 5 2 3" xfId="13803" xr:uid="{38D7BEE1-9D9C-46DB-A32F-7ADD4A944F33}"/>
    <cellStyle name="Normal 9 3 3 2 5 3" xfId="6549" xr:uid="{00000000-0005-0000-0000-00000B200000}"/>
    <cellStyle name="Normal 9 3 3 2 5 3 2" xfId="15875" xr:uid="{A37FEA8B-97ED-49CA-AD46-AFF087EAE2B7}"/>
    <cellStyle name="Normal 9 3 3 2 5 4" xfId="11658" xr:uid="{3E94245D-D6D2-400B-9E90-2FFCFDC1DAAC}"/>
    <cellStyle name="Normal 9 3 3 2 6" xfId="2679" xr:uid="{00000000-0005-0000-0000-00000C200000}"/>
    <cellStyle name="Normal 9 3 3 2 6 2" xfId="6962" xr:uid="{00000000-0005-0000-0000-00000D200000}"/>
    <cellStyle name="Normal 9 3 3 2 6 2 2" xfId="16288" xr:uid="{8067A013-C065-4976-AC3C-31DE5558646F}"/>
    <cellStyle name="Normal 9 3 3 2 6 3" xfId="12071" xr:uid="{FCBC90C3-D98F-4B02-9E22-12473C12DC76}"/>
    <cellStyle name="Normal 9 3 3 2 7" xfId="4897" xr:uid="{00000000-0005-0000-0000-00000E200000}"/>
    <cellStyle name="Normal 9 3 3 2 7 2" xfId="14223" xr:uid="{7611E0FE-1D10-479F-9C1B-08F2D5F1F2E3}"/>
    <cellStyle name="Normal 9 3 3 2 8" xfId="9087" xr:uid="{B1C8DB1F-59B6-4D6A-B3E7-0CFC4D29D9A9}"/>
    <cellStyle name="Normal 9 3 3 2 8 2" xfId="18411" xr:uid="{B8165C8A-CC2E-4755-B749-69BD79D7CD04}"/>
    <cellStyle name="Normal 9 3 3 2 9" xfId="10006" xr:uid="{056BEE21-5274-40E2-BCEC-7527E85F23F8}"/>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37D38C91-3121-480B-95A9-C1E07353AC7E}"/>
    <cellStyle name="Normal 9 3 3 3 2 3" xfId="12563" xr:uid="{DA846F43-9F00-4A11-B861-9370A42A0814}"/>
    <cellStyle name="Normal 9 3 3 3 3" xfId="5309" xr:uid="{00000000-0005-0000-0000-000012200000}"/>
    <cellStyle name="Normal 9 3 3 3 3 2" xfId="14635" xr:uid="{62C6CECF-7666-4B70-B223-8344B6092010}"/>
    <cellStyle name="Normal 9 3 3 3 4" xfId="9305" xr:uid="{F54F3A88-B268-4905-B4D1-34B996B920C6}"/>
    <cellStyle name="Normal 9 3 3 3 4 2" xfId="18620" xr:uid="{0D5A208A-0674-4967-9CC3-56A6FF89B260}"/>
    <cellStyle name="Normal 9 3 3 3 5" xfId="10418" xr:uid="{1413156B-56E4-4913-ADDC-A2809417DBFC}"/>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6C2B14AE-D833-48B5-9799-A9B86F292244}"/>
    <cellStyle name="Normal 9 3 3 4 2 3" xfId="12976" xr:uid="{4C13C26E-BAE8-4464-BE2B-AD2D92B805CA}"/>
    <cellStyle name="Normal 9 3 3 4 3" xfId="5722" xr:uid="{00000000-0005-0000-0000-000016200000}"/>
    <cellStyle name="Normal 9 3 3 4 3 2" xfId="15048" xr:uid="{F853F447-A1A7-45E2-939D-E6EAB4F1FA98}"/>
    <cellStyle name="Normal 9 3 3 4 4" xfId="10831" xr:uid="{421084E0-C1DA-42D8-9955-21B1BE97CB4B}"/>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135893D7-4BDB-43DD-BC87-BAE91CA28188}"/>
    <cellStyle name="Normal 9 3 3 5 2 3" xfId="13389" xr:uid="{D99CAFAE-80F3-4594-8A99-6C2063530E20}"/>
    <cellStyle name="Normal 9 3 3 5 3" xfId="6135" xr:uid="{00000000-0005-0000-0000-00001A200000}"/>
    <cellStyle name="Normal 9 3 3 5 3 2" xfId="15461" xr:uid="{032C673B-F550-4552-A1B2-2A947EAA9D27}"/>
    <cellStyle name="Normal 9 3 3 5 4" xfId="11244" xr:uid="{FB40BA7E-F106-443A-AD47-7F9196C07B82}"/>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2588B435-E93C-4A3A-A711-EF6EEB947ADD}"/>
    <cellStyle name="Normal 9 3 3 6 2 3" xfId="13802" xr:uid="{7BF1F5F9-76EE-4AD4-BB6C-8A40D46201D5}"/>
    <cellStyle name="Normal 9 3 3 6 3" xfId="6548" xr:uid="{00000000-0005-0000-0000-00001E200000}"/>
    <cellStyle name="Normal 9 3 3 6 3 2" xfId="15874" xr:uid="{0F663A73-E6DD-4020-BE8A-659DCB17CA12}"/>
    <cellStyle name="Normal 9 3 3 6 4" xfId="11657" xr:uid="{45680195-DCD0-4661-894B-F93F1974A629}"/>
    <cellStyle name="Normal 9 3 3 7" xfId="2678" xr:uid="{00000000-0005-0000-0000-00001F200000}"/>
    <cellStyle name="Normal 9 3 3 7 2" xfId="6961" xr:uid="{00000000-0005-0000-0000-000020200000}"/>
    <cellStyle name="Normal 9 3 3 7 2 2" xfId="16287" xr:uid="{99552E05-43B4-46E9-B9B0-E274CD83988D}"/>
    <cellStyle name="Normal 9 3 3 7 3" xfId="12070" xr:uid="{D67FBDEE-5D42-4F0A-B017-D60F978A7B3A}"/>
    <cellStyle name="Normal 9 3 3 8" xfId="4896" xr:uid="{00000000-0005-0000-0000-000021200000}"/>
    <cellStyle name="Normal 9 3 3 8 2" xfId="14222" xr:uid="{5E078C7E-9414-425B-9C0C-3EFA96B66185}"/>
    <cellStyle name="Normal 9 3 3 9" xfId="8880" xr:uid="{36521590-FD5B-45F7-80A9-41BA557EA820}"/>
    <cellStyle name="Normal 9 3 3 9 2" xfId="18204" xr:uid="{29184939-CF9A-4E59-B5A0-C394260D3B98}"/>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847DAB22-341C-425F-86C2-CFD5DEA4DC3F}"/>
    <cellStyle name="Normal 9 3 4 2 2 3" xfId="12565" xr:uid="{B20D0BB7-AD4A-43A4-91FF-CDA7D157C7C9}"/>
    <cellStyle name="Normal 9 3 4 2 3" xfId="5311" xr:uid="{00000000-0005-0000-0000-000026200000}"/>
    <cellStyle name="Normal 9 3 4 2 3 2" xfId="14637" xr:uid="{9CF6294E-EE08-4108-A6EA-DBD502827BAD}"/>
    <cellStyle name="Normal 9 3 4 2 4" xfId="9409" xr:uid="{F8EFC02C-357C-44AD-9BF7-6459F3C595DA}"/>
    <cellStyle name="Normal 9 3 4 2 4 2" xfId="18724" xr:uid="{90D20220-8A46-4745-B950-74DEAFBBA047}"/>
    <cellStyle name="Normal 9 3 4 2 5" xfId="10420" xr:uid="{DB5260BA-4C7D-48D4-B41E-6414B9DCCF04}"/>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9D25F779-86E4-4CEF-902D-7E01AC0FB150}"/>
    <cellStyle name="Normal 9 3 4 3 2 3" xfId="12978" xr:uid="{3FA64F92-F253-487A-A748-1ED9477F352F}"/>
    <cellStyle name="Normal 9 3 4 3 3" xfId="5724" xr:uid="{00000000-0005-0000-0000-00002A200000}"/>
    <cellStyle name="Normal 9 3 4 3 3 2" xfId="15050" xr:uid="{AAFD6834-27C0-436A-9B8A-13745125F40B}"/>
    <cellStyle name="Normal 9 3 4 3 4" xfId="10833" xr:uid="{F207A36E-3F9C-42CD-8F82-0371BF5852FB}"/>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6FEC84F5-92B2-40C2-8E14-703EE01347BB}"/>
    <cellStyle name="Normal 9 3 4 4 2 3" xfId="13391" xr:uid="{23EB406D-3D1B-4A5A-9F05-B697458F614B}"/>
    <cellStyle name="Normal 9 3 4 4 3" xfId="6137" xr:uid="{00000000-0005-0000-0000-00002E200000}"/>
    <cellStyle name="Normal 9 3 4 4 3 2" xfId="15463" xr:uid="{F58EC2BD-4BDE-42FA-AD34-137EC2B9B94D}"/>
    <cellStyle name="Normal 9 3 4 4 4" xfId="11246" xr:uid="{8B953116-6C62-4037-B101-34CE889EF14A}"/>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D879DA5B-25B0-4AD3-A343-6DCEED588561}"/>
    <cellStyle name="Normal 9 3 4 5 2 3" xfId="13804" xr:uid="{4BD4C1C9-F478-4BFB-B48E-DA86599B5A4F}"/>
    <cellStyle name="Normal 9 3 4 5 3" xfId="6550" xr:uid="{00000000-0005-0000-0000-000032200000}"/>
    <cellStyle name="Normal 9 3 4 5 3 2" xfId="15876" xr:uid="{4D2C3E6C-692D-4B8E-BAE9-013F4005E8C6}"/>
    <cellStyle name="Normal 9 3 4 5 4" xfId="11659" xr:uid="{FE88C486-8541-4B66-A40F-8C54053105E6}"/>
    <cellStyle name="Normal 9 3 4 6" xfId="2680" xr:uid="{00000000-0005-0000-0000-000033200000}"/>
    <cellStyle name="Normal 9 3 4 6 2" xfId="6963" xr:uid="{00000000-0005-0000-0000-000034200000}"/>
    <cellStyle name="Normal 9 3 4 6 2 2" xfId="16289" xr:uid="{15719575-5FE4-4B26-84E8-5E0A678A530D}"/>
    <cellStyle name="Normal 9 3 4 6 3" xfId="12072" xr:uid="{854918C9-2C0E-4858-8BF4-C322805D7D8A}"/>
    <cellStyle name="Normal 9 3 4 7" xfId="4898" xr:uid="{00000000-0005-0000-0000-000035200000}"/>
    <cellStyle name="Normal 9 3 4 7 2" xfId="14224" xr:uid="{964477A9-676D-4508-9C5E-D9C4BDE30060}"/>
    <cellStyle name="Normal 9 3 4 8" xfId="8984" xr:uid="{A39B104A-EAEF-4D5B-B504-6104111E924B}"/>
    <cellStyle name="Normal 9 3 4 8 2" xfId="18308" xr:uid="{09FE5277-5CC9-41D3-825C-C767DAE0FDB0}"/>
    <cellStyle name="Normal 9 3 4 9" xfId="10007" xr:uid="{7FEA7C70-3CDF-4F79-AC1C-521C5BEC5775}"/>
    <cellStyle name="Normal 9 3 5" xfId="994" xr:uid="{00000000-0005-0000-0000-000036200000}"/>
    <cellStyle name="Normal 9 3 5 2" xfId="3227" xr:uid="{00000000-0005-0000-0000-000037200000}"/>
    <cellStyle name="Normal 9 3 5 2 2" xfId="7449" xr:uid="{00000000-0005-0000-0000-000038200000}"/>
    <cellStyle name="Normal 9 3 5 2 2 2" xfId="16775" xr:uid="{982A938F-3276-45D4-9259-F53BDCD25D89}"/>
    <cellStyle name="Normal 9 3 5 2 3" xfId="12558" xr:uid="{3CFC10DE-03AD-40AD-A3AA-D54563D6B374}"/>
    <cellStyle name="Normal 9 3 5 3" xfId="5304" xr:uid="{00000000-0005-0000-0000-000039200000}"/>
    <cellStyle name="Normal 9 3 5 3 2" xfId="14630" xr:uid="{2F5BFDCF-FA38-4EA4-AE2C-AD2E9628836D}"/>
    <cellStyle name="Normal 9 3 5 4" xfId="9201" xr:uid="{46D523D7-8DEB-46FB-8F1C-8CE8C2FC3AD3}"/>
    <cellStyle name="Normal 9 3 5 4 2" xfId="18517" xr:uid="{68AE8AB0-7174-450F-B57B-F6C105C77D32}"/>
    <cellStyle name="Normal 9 3 5 5" xfId="10413" xr:uid="{1661ED05-ABA2-474D-86BB-175EEB08C364}"/>
    <cellStyle name="Normal 9 3 6" xfId="1410" xr:uid="{00000000-0005-0000-0000-00003A200000}"/>
    <cellStyle name="Normal 9 3 6 2" xfId="3640" xr:uid="{00000000-0005-0000-0000-00003B200000}"/>
    <cellStyle name="Normal 9 3 6 2 2" xfId="7862" xr:uid="{00000000-0005-0000-0000-00003C200000}"/>
    <cellStyle name="Normal 9 3 6 2 2 2" xfId="17188" xr:uid="{83C7A184-4EF9-47BD-81BD-0ABA10B92D51}"/>
    <cellStyle name="Normal 9 3 6 2 3" xfId="12971" xr:uid="{793DC3CB-E539-4D12-90AB-0B7EF02C0560}"/>
    <cellStyle name="Normal 9 3 6 3" xfId="5717" xr:uid="{00000000-0005-0000-0000-00003D200000}"/>
    <cellStyle name="Normal 9 3 6 3 2" xfId="15043" xr:uid="{AB08BCCA-DF6E-4D45-A84F-F3690899040B}"/>
    <cellStyle name="Normal 9 3 6 4" xfId="10826" xr:uid="{C4ADE328-4852-4E41-9372-0820F7254851}"/>
    <cellStyle name="Normal 9 3 7" xfId="1823" xr:uid="{00000000-0005-0000-0000-00003E200000}"/>
    <cellStyle name="Normal 9 3 7 2" xfId="4053" xr:uid="{00000000-0005-0000-0000-00003F200000}"/>
    <cellStyle name="Normal 9 3 7 2 2" xfId="8275" xr:uid="{00000000-0005-0000-0000-000040200000}"/>
    <cellStyle name="Normal 9 3 7 2 2 2" xfId="17601" xr:uid="{4AEE84EB-795E-4D20-8A83-A836BD1CC79A}"/>
    <cellStyle name="Normal 9 3 7 2 3" xfId="13384" xr:uid="{E3E189A7-E4A5-4FB0-A9E3-97B72C963D81}"/>
    <cellStyle name="Normal 9 3 7 3" xfId="6130" xr:uid="{00000000-0005-0000-0000-000041200000}"/>
    <cellStyle name="Normal 9 3 7 3 2" xfId="15456" xr:uid="{5FD06EB1-1F5F-42E0-8E4F-F68849BA5478}"/>
    <cellStyle name="Normal 9 3 7 4" xfId="11239" xr:uid="{DE2AA7BB-5C3D-4A79-AA00-1DC1406392D0}"/>
    <cellStyle name="Normal 9 3 8" xfId="2237" xr:uid="{00000000-0005-0000-0000-000042200000}"/>
    <cellStyle name="Normal 9 3 8 2" xfId="4466" xr:uid="{00000000-0005-0000-0000-000043200000}"/>
    <cellStyle name="Normal 9 3 8 2 2" xfId="8688" xr:uid="{00000000-0005-0000-0000-000044200000}"/>
    <cellStyle name="Normal 9 3 8 2 2 2" xfId="18014" xr:uid="{5E657AE1-7C81-4906-97BB-CCA47125F956}"/>
    <cellStyle name="Normal 9 3 8 2 3" xfId="13797" xr:uid="{B24B09CE-11CF-4A08-B464-261547455849}"/>
    <cellStyle name="Normal 9 3 8 3" xfId="6543" xr:uid="{00000000-0005-0000-0000-000045200000}"/>
    <cellStyle name="Normal 9 3 8 3 2" xfId="15869" xr:uid="{344A1A13-1F03-4575-A65C-42721A2D5B33}"/>
    <cellStyle name="Normal 9 3 8 4" xfId="11652" xr:uid="{B98FF75F-7248-41FD-8112-1403F475F768}"/>
    <cellStyle name="Normal 9 3 9" xfId="2673" xr:uid="{00000000-0005-0000-0000-000046200000}"/>
    <cellStyle name="Normal 9 3 9 2" xfId="6956" xr:uid="{00000000-0005-0000-0000-000047200000}"/>
    <cellStyle name="Normal 9 3 9 2 2" xfId="16282" xr:uid="{F6753099-13FE-475A-B862-47C36DDA4CD5}"/>
    <cellStyle name="Normal 9 3 9 3" xfId="12065" xr:uid="{A03C12B8-1E22-4CB8-93E4-4F9231D8E017}"/>
    <cellStyle name="Normal 9 4" xfId="535" xr:uid="{00000000-0005-0000-0000-000048200000}"/>
    <cellStyle name="Normal 9 4 2" xfId="1002" xr:uid="{00000000-0005-0000-0000-000049200000}"/>
    <cellStyle name="Normal 9 5" xfId="536" xr:uid="{00000000-0005-0000-0000-00004A200000}"/>
    <cellStyle name="Normal 9 5 10" xfId="10008" xr:uid="{363C896D-A502-4A4E-82EA-7DA42CD07FA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D26DC9E1-C781-498A-8272-35FD5961AB40}"/>
    <cellStyle name="Normal 9 5 2 2 2 3" xfId="12567" xr:uid="{892D7B26-858E-4094-A71E-49BC3F66BE96}"/>
    <cellStyle name="Normal 9 5 2 2 3" xfId="5313" xr:uid="{00000000-0005-0000-0000-00004F200000}"/>
    <cellStyle name="Normal 9 5 2 2 3 2" xfId="14639" xr:uid="{BD6DFBF7-4089-41E1-AA82-82731E84E3E8}"/>
    <cellStyle name="Normal 9 5 2 2 4" xfId="9480" xr:uid="{BC9702BE-C2B3-450A-99DF-6FFE7C7A82FD}"/>
    <cellStyle name="Normal 9 5 2 2 4 2" xfId="18795" xr:uid="{50940CBB-A924-4497-A80E-26FFC28B25AD}"/>
    <cellStyle name="Normal 9 5 2 2 5" xfId="10422" xr:uid="{5B2F65C0-C65E-4974-8F8F-914EB774C815}"/>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1419B783-8BFE-4417-9BFD-230F96F11B1C}"/>
    <cellStyle name="Normal 9 5 2 3 2 3" xfId="12980" xr:uid="{1976D617-FB86-48D9-A7BE-37AD24F30ADE}"/>
    <cellStyle name="Normal 9 5 2 3 3" xfId="5726" xr:uid="{00000000-0005-0000-0000-000053200000}"/>
    <cellStyle name="Normal 9 5 2 3 3 2" xfId="15052" xr:uid="{129DD74A-E19D-4E8C-AF0C-736C7C4CA848}"/>
    <cellStyle name="Normal 9 5 2 3 4" xfId="10835" xr:uid="{6B197D7B-BE36-4C57-8BFD-9D1341D18E94}"/>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35144B5B-33F9-4216-BA23-C82DE24992EA}"/>
    <cellStyle name="Normal 9 5 2 4 2 3" xfId="13393" xr:uid="{DB27C480-FFF2-4CC6-97F9-1A9A19769BFF}"/>
    <cellStyle name="Normal 9 5 2 4 3" xfId="6139" xr:uid="{00000000-0005-0000-0000-000057200000}"/>
    <cellStyle name="Normal 9 5 2 4 3 2" xfId="15465" xr:uid="{6AD4824B-8BFB-4BAA-A9EF-73AC59F584E1}"/>
    <cellStyle name="Normal 9 5 2 4 4" xfId="11248" xr:uid="{BA3A881E-A042-4E1E-9431-C432F5B7E3B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65BE706F-E766-47EB-AA4C-DCC0B332D629}"/>
    <cellStyle name="Normal 9 5 2 5 2 3" xfId="13806" xr:uid="{9B7AE998-0C59-4CEF-ADC1-1CDFA66A8620}"/>
    <cellStyle name="Normal 9 5 2 5 3" xfId="6552" xr:uid="{00000000-0005-0000-0000-00005B200000}"/>
    <cellStyle name="Normal 9 5 2 5 3 2" xfId="15878" xr:uid="{AD383408-7694-41FC-9029-F83B6713EB72}"/>
    <cellStyle name="Normal 9 5 2 5 4" xfId="11661" xr:uid="{17290D8E-18E8-4C0A-A0B6-7E8D78F63F01}"/>
    <cellStyle name="Normal 9 5 2 6" xfId="2682" xr:uid="{00000000-0005-0000-0000-00005C200000}"/>
    <cellStyle name="Normal 9 5 2 6 2" xfId="6965" xr:uid="{00000000-0005-0000-0000-00005D200000}"/>
    <cellStyle name="Normal 9 5 2 6 2 2" xfId="16291" xr:uid="{3E8DCA7D-9071-4D0F-A8AC-543A7B372902}"/>
    <cellStyle name="Normal 9 5 2 6 3" xfId="12074" xr:uid="{6FD17E67-7F76-47C8-A9BB-1F3B2CF388D3}"/>
    <cellStyle name="Normal 9 5 2 7" xfId="4900" xr:uid="{00000000-0005-0000-0000-00005E200000}"/>
    <cellStyle name="Normal 9 5 2 7 2" xfId="14226" xr:uid="{62BDB009-F14E-400A-A348-3DC6D3304C9D}"/>
    <cellStyle name="Normal 9 5 2 8" xfId="9055" xr:uid="{3DD071E2-A4B3-45E3-9F20-3C2D5AEE5CB2}"/>
    <cellStyle name="Normal 9 5 2 8 2" xfId="18379" xr:uid="{629C21B4-BEAB-430E-9727-788A3D357D66}"/>
    <cellStyle name="Normal 9 5 2 9" xfId="10009" xr:uid="{EF43C8F7-4CEB-49D1-AA42-830FE2C63538}"/>
    <cellStyle name="Normal 9 5 3" xfId="1003" xr:uid="{00000000-0005-0000-0000-00005F200000}"/>
    <cellStyle name="Normal 9 5 3 2" xfId="3235" xr:uid="{00000000-0005-0000-0000-000060200000}"/>
    <cellStyle name="Normal 9 5 3 2 2" xfId="7457" xr:uid="{00000000-0005-0000-0000-000061200000}"/>
    <cellStyle name="Normal 9 5 3 2 2 2" xfId="16783" xr:uid="{3001270A-09A7-48C2-BD16-24C79F0E6CBC}"/>
    <cellStyle name="Normal 9 5 3 2 3" xfId="12566" xr:uid="{A5CF2037-CFC1-48BB-86A9-E8EB2431FB03}"/>
    <cellStyle name="Normal 9 5 3 3" xfId="5312" xr:uid="{00000000-0005-0000-0000-000062200000}"/>
    <cellStyle name="Normal 9 5 3 3 2" xfId="14638" xr:uid="{3A3CA473-4CDF-4874-AE74-206D12A1D4F6}"/>
    <cellStyle name="Normal 9 5 3 4" xfId="9273" xr:uid="{AE6CB61B-02C5-436E-A328-3B2AC8AC9E53}"/>
    <cellStyle name="Normal 9 5 3 4 2" xfId="18588" xr:uid="{7D8A5298-AED0-47DC-9B07-1C3404C4AD6A}"/>
    <cellStyle name="Normal 9 5 3 5" xfId="10421" xr:uid="{26C598A8-39FB-44E2-97F2-B6C3B52CA58B}"/>
    <cellStyle name="Normal 9 5 4" xfId="1418" xr:uid="{00000000-0005-0000-0000-000063200000}"/>
    <cellStyle name="Normal 9 5 4 2" xfId="3648" xr:uid="{00000000-0005-0000-0000-000064200000}"/>
    <cellStyle name="Normal 9 5 4 2 2" xfId="7870" xr:uid="{00000000-0005-0000-0000-000065200000}"/>
    <cellStyle name="Normal 9 5 4 2 2 2" xfId="17196" xr:uid="{9657EA3E-2159-406E-809A-E618CAB0F08B}"/>
    <cellStyle name="Normal 9 5 4 2 3" xfId="12979" xr:uid="{A249DB57-3EDB-4C84-9ED2-6AB9BE361A13}"/>
    <cellStyle name="Normal 9 5 4 3" xfId="5725" xr:uid="{00000000-0005-0000-0000-000066200000}"/>
    <cellStyle name="Normal 9 5 4 3 2" xfId="15051" xr:uid="{60C5DF3B-BB54-46FB-BD64-E3841303FCDF}"/>
    <cellStyle name="Normal 9 5 4 4" xfId="10834" xr:uid="{5132349D-7EF8-4711-9558-F26E6E72EDE7}"/>
    <cellStyle name="Normal 9 5 5" xfId="1831" xr:uid="{00000000-0005-0000-0000-000067200000}"/>
    <cellStyle name="Normal 9 5 5 2" xfId="4061" xr:uid="{00000000-0005-0000-0000-000068200000}"/>
    <cellStyle name="Normal 9 5 5 2 2" xfId="8283" xr:uid="{00000000-0005-0000-0000-000069200000}"/>
    <cellStyle name="Normal 9 5 5 2 2 2" xfId="17609" xr:uid="{395F2F75-E554-4650-8B91-91586E30FC48}"/>
    <cellStyle name="Normal 9 5 5 2 3" xfId="13392" xr:uid="{3F814AC5-6E3A-4A55-9F5B-3BE160DB8B5E}"/>
    <cellStyle name="Normal 9 5 5 3" xfId="6138" xr:uid="{00000000-0005-0000-0000-00006A200000}"/>
    <cellStyle name="Normal 9 5 5 3 2" xfId="15464" xr:uid="{6172527F-3094-4B24-8E72-CAC8C04B2EF0}"/>
    <cellStyle name="Normal 9 5 5 4" xfId="11247" xr:uid="{7E6CF134-64E5-450F-8263-3C46087A418B}"/>
    <cellStyle name="Normal 9 5 6" xfId="2245" xr:uid="{00000000-0005-0000-0000-00006B200000}"/>
    <cellStyle name="Normal 9 5 6 2" xfId="4474" xr:uid="{00000000-0005-0000-0000-00006C200000}"/>
    <cellStyle name="Normal 9 5 6 2 2" xfId="8696" xr:uid="{00000000-0005-0000-0000-00006D200000}"/>
    <cellStyle name="Normal 9 5 6 2 2 2" xfId="18022" xr:uid="{467070CF-7CA2-4419-8815-ECC2CC1A1DDA}"/>
    <cellStyle name="Normal 9 5 6 2 3" xfId="13805" xr:uid="{34A83467-15FA-4759-A17B-60FE9B7AB08D}"/>
    <cellStyle name="Normal 9 5 6 3" xfId="6551" xr:uid="{00000000-0005-0000-0000-00006E200000}"/>
    <cellStyle name="Normal 9 5 6 3 2" xfId="15877" xr:uid="{BCF08BCE-A464-4C01-BA24-44B882563736}"/>
    <cellStyle name="Normal 9 5 6 4" xfId="11660" xr:uid="{64F4B5B8-B7F0-4AE0-9DB5-F8F66316DC8E}"/>
    <cellStyle name="Normal 9 5 7" xfId="2681" xr:uid="{00000000-0005-0000-0000-00006F200000}"/>
    <cellStyle name="Normal 9 5 7 2" xfId="6964" xr:uid="{00000000-0005-0000-0000-000070200000}"/>
    <cellStyle name="Normal 9 5 7 2 2" xfId="16290" xr:uid="{213E0B51-EE04-459F-84DE-DCF42F4A9A6F}"/>
    <cellStyle name="Normal 9 5 7 3" xfId="12073" xr:uid="{3CBEE615-DA9D-436F-91DE-4B98467E2895}"/>
    <cellStyle name="Normal 9 5 8" xfId="4899" xr:uid="{00000000-0005-0000-0000-000071200000}"/>
    <cellStyle name="Normal 9 5 8 2" xfId="14225" xr:uid="{F95BD664-C75A-4E04-B76D-A1166C23A6E9}"/>
    <cellStyle name="Normal 9 5 9" xfId="8848" xr:uid="{B1BE5F70-14E5-42B6-9EBA-D267F3B60A08}"/>
    <cellStyle name="Normal 9 5 9 2" xfId="18172" xr:uid="{0B356751-F902-4698-BF1E-3DED12FE428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1214998C-0984-4741-9F06-B08F8CBFB7FE}"/>
    <cellStyle name="Normal 9 6 2 2 3" xfId="12568" xr:uid="{17DAB4B1-B9E5-4AB2-9B08-190BF188D006}"/>
    <cellStyle name="Normal 9 6 2 3" xfId="5314" xr:uid="{00000000-0005-0000-0000-000076200000}"/>
    <cellStyle name="Normal 9 6 2 3 2" xfId="14640" xr:uid="{85C6E227-5FA3-46C1-9BAC-AF0670BFB65A}"/>
    <cellStyle name="Normal 9 6 2 4" xfId="9389" xr:uid="{2A0458F6-466A-4C3B-BA39-FF09FD770FDD}"/>
    <cellStyle name="Normal 9 6 2 4 2" xfId="18704" xr:uid="{654CC607-9B6E-47F5-A52C-FA35F54A01DE}"/>
    <cellStyle name="Normal 9 6 2 5" xfId="10423" xr:uid="{CD87C82A-FD68-4A73-8F1D-208D4E4A9313}"/>
    <cellStyle name="Normal 9 6 3" xfId="1420" xr:uid="{00000000-0005-0000-0000-000077200000}"/>
    <cellStyle name="Normal 9 6 3 2" xfId="3650" xr:uid="{00000000-0005-0000-0000-000078200000}"/>
    <cellStyle name="Normal 9 6 3 2 2" xfId="7872" xr:uid="{00000000-0005-0000-0000-000079200000}"/>
    <cellStyle name="Normal 9 6 3 2 2 2" xfId="17198" xr:uid="{C46E52DE-292C-44F4-A161-CC0992A9BEA1}"/>
    <cellStyle name="Normal 9 6 3 2 3" xfId="12981" xr:uid="{C1920F88-D442-43CF-8B3B-F96F503B3BCC}"/>
    <cellStyle name="Normal 9 6 3 3" xfId="5727" xr:uid="{00000000-0005-0000-0000-00007A200000}"/>
    <cellStyle name="Normal 9 6 3 3 2" xfId="15053" xr:uid="{0D3ECC27-5636-4BE6-9BD0-7824754CE9FE}"/>
    <cellStyle name="Normal 9 6 3 4" xfId="10836" xr:uid="{1A9A9796-E915-43E7-A43E-6F53AE82447F}"/>
    <cellStyle name="Normal 9 6 4" xfId="1833" xr:uid="{00000000-0005-0000-0000-00007B200000}"/>
    <cellStyle name="Normal 9 6 4 2" xfId="4063" xr:uid="{00000000-0005-0000-0000-00007C200000}"/>
    <cellStyle name="Normal 9 6 4 2 2" xfId="8285" xr:uid="{00000000-0005-0000-0000-00007D200000}"/>
    <cellStyle name="Normal 9 6 4 2 2 2" xfId="17611" xr:uid="{F3156DCD-2A8C-480F-95F8-3772212928E6}"/>
    <cellStyle name="Normal 9 6 4 2 3" xfId="13394" xr:uid="{F84EDB4C-5FDC-42AA-BD25-E8930A809411}"/>
    <cellStyle name="Normal 9 6 4 3" xfId="6140" xr:uid="{00000000-0005-0000-0000-00007E200000}"/>
    <cellStyle name="Normal 9 6 4 3 2" xfId="15466" xr:uid="{EDC48811-5806-4242-9266-83F4B2F3E2F3}"/>
    <cellStyle name="Normal 9 6 4 4" xfId="11249" xr:uid="{79505060-C59D-47CE-AE92-C35EA8CB99B2}"/>
    <cellStyle name="Normal 9 6 5" xfId="2247" xr:uid="{00000000-0005-0000-0000-00007F200000}"/>
    <cellStyle name="Normal 9 6 5 2" xfId="4476" xr:uid="{00000000-0005-0000-0000-000080200000}"/>
    <cellStyle name="Normal 9 6 5 2 2" xfId="8698" xr:uid="{00000000-0005-0000-0000-000081200000}"/>
    <cellStyle name="Normal 9 6 5 2 2 2" xfId="18024" xr:uid="{F5186407-5AAE-4AD9-B59C-D71AD8BE85FF}"/>
    <cellStyle name="Normal 9 6 5 2 3" xfId="13807" xr:uid="{BB19ABC0-C495-4233-BB2A-EAD6AB5F138A}"/>
    <cellStyle name="Normal 9 6 5 3" xfId="6553" xr:uid="{00000000-0005-0000-0000-000082200000}"/>
    <cellStyle name="Normal 9 6 5 3 2" xfId="15879" xr:uid="{6FCD6AAC-29AF-46DD-BD50-E69E741F2EE4}"/>
    <cellStyle name="Normal 9 6 5 4" xfId="11662" xr:uid="{81F57AF7-6A22-4CE8-B679-BC83F90CC3F5}"/>
    <cellStyle name="Normal 9 6 6" xfId="2683" xr:uid="{00000000-0005-0000-0000-000083200000}"/>
    <cellStyle name="Normal 9 6 6 2" xfId="6966" xr:uid="{00000000-0005-0000-0000-000084200000}"/>
    <cellStyle name="Normal 9 6 6 2 2" xfId="16292" xr:uid="{F5467E0A-416F-498B-8FD7-515DCD0A6DF3}"/>
    <cellStyle name="Normal 9 6 6 3" xfId="12075" xr:uid="{83FB6735-BAB4-473B-A205-607381D1FC23}"/>
    <cellStyle name="Normal 9 6 7" xfId="4901" xr:uid="{00000000-0005-0000-0000-000085200000}"/>
    <cellStyle name="Normal 9 6 7 2" xfId="14227" xr:uid="{94EF1BA6-2DBB-41B7-9313-FBB65C2099FE}"/>
    <cellStyle name="Normal 9 6 8" xfId="8964" xr:uid="{9BBC9C46-7A3A-4BC9-9542-DC33DFA165C2}"/>
    <cellStyle name="Normal 9 6 8 2" xfId="18288" xr:uid="{44F8020B-C6B7-4121-B0B4-29BF998117F3}"/>
    <cellStyle name="Normal 9 6 9" xfId="10010" xr:uid="{C2FFD7B6-ACFC-40CA-B448-0E438EAEEC8B}"/>
    <cellStyle name="Normal 9 7" xfId="977" xr:uid="{00000000-0005-0000-0000-000086200000}"/>
    <cellStyle name="Normal 9 7 2" xfId="9609" xr:uid="{1246D22D-2382-4FAF-A8D6-CB26E2B9F9CE}"/>
    <cellStyle name="Normal 9 7 3" xfId="9167" xr:uid="{F9EED645-1D44-43CF-99A5-77176BA4CE36}"/>
    <cellStyle name="Normal 9 7 3 2" xfId="18485" xr:uid="{C1CF32B1-4F17-4611-9C4A-C705973D2DAB}"/>
    <cellStyle name="Normal 9 8" xfId="8745" xr:uid="{C1852A12-4F74-491B-976C-56AD8D4478B4}"/>
    <cellStyle name="Normal 9 8 2" xfId="18069" xr:uid="{B323FCCF-C9A5-42A9-BA68-F60EFBBC0533}"/>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81F84E90-F523-44D3-99E2-6A44EEA066AE}"/>
    <cellStyle name="Note 2 2 10 3" xfId="12156" xr:uid="{849A85B9-E2F1-4B07-B6CB-9CB90601297E}"/>
    <cellStyle name="Note 2 2 11" xfId="4902" xr:uid="{00000000-0005-0000-0000-000094200000}"/>
    <cellStyle name="Note 2 2 11 2" xfId="14228" xr:uid="{6C94B74F-C07E-4C75-A3F8-1C07EE5DC4AA}"/>
    <cellStyle name="Note 2 2 12" xfId="8841" xr:uid="{E94E1FD8-31C4-4718-9658-C7A587CBF323}"/>
    <cellStyle name="Note 2 2 12 2" xfId="18165" xr:uid="{6C052460-4132-4DFE-A482-8153CBAE216E}"/>
    <cellStyle name="Note 2 2 13" xfId="10011" xr:uid="{C2295994-5966-4CBF-843D-3EC9875AC8D3}"/>
    <cellStyle name="Note 2 2 2" xfId="546" xr:uid="{00000000-0005-0000-0000-000095200000}"/>
    <cellStyle name="Note 2 2 2 10" xfId="4903" xr:uid="{00000000-0005-0000-0000-000096200000}"/>
    <cellStyle name="Note 2 2 2 10 2" xfId="14229" xr:uid="{FAA9AA7D-7811-4C5D-A74A-061C13748AF5}"/>
    <cellStyle name="Note 2 2 2 11" xfId="8944" xr:uid="{B75A3404-A4A3-41D6-B6C3-54560C6DD592}"/>
    <cellStyle name="Note 2 2 2 11 2" xfId="18268" xr:uid="{EAE9831D-244F-4EB0-82B4-F1F38949C5EC}"/>
    <cellStyle name="Note 2 2 2 12" xfId="10012" xr:uid="{13205598-8FBD-43D0-B0CB-6881F01C4526}"/>
    <cellStyle name="Note 2 2 2 2" xfId="547" xr:uid="{00000000-0005-0000-0000-000097200000}"/>
    <cellStyle name="Note 2 2 2 2 10" xfId="9151" xr:uid="{DE810DD8-00EC-4339-9CFC-C84D5E182971}"/>
    <cellStyle name="Note 2 2 2 2 10 2" xfId="18475" xr:uid="{751156AC-55DD-458E-89FF-6447C14C7466}"/>
    <cellStyle name="Note 2 2 2 2 11" xfId="10013" xr:uid="{8CBC5A49-9443-44D3-8A0D-613A74C6ED12}"/>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D1246C5A-59E4-4B32-94C1-9C8E130F6D95}"/>
    <cellStyle name="Note 2 2 2 2 2 2 3" xfId="12571" xr:uid="{5B07206B-AEB1-43D9-AB00-923DD4F53AD2}"/>
    <cellStyle name="Note 2 2 2 2 2 3" xfId="5317" xr:uid="{00000000-0005-0000-0000-00009B200000}"/>
    <cellStyle name="Note 2 2 2 2 2 3 2" xfId="14643" xr:uid="{FD5E4E98-0FC8-4D2A-9F75-07E041A26A10}"/>
    <cellStyle name="Note 2 2 2 2 2 4" xfId="9576" xr:uid="{375E296C-598F-454E-B7C4-9E851CE02ED2}"/>
    <cellStyle name="Note 2 2 2 2 2 4 2" xfId="18891" xr:uid="{32BB74A9-0FA2-4DD0-88F2-14E632A276C6}"/>
    <cellStyle name="Note 2 2 2 2 2 5" xfId="10426" xr:uid="{4F305AF5-F617-40CE-865B-D34345E8E38A}"/>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F5E8682D-1E7A-4543-8924-C50EA3595AD0}"/>
    <cellStyle name="Note 2 2 2 2 3 2 3" xfId="12984" xr:uid="{511A749A-73BB-4438-A794-32BD5C136490}"/>
    <cellStyle name="Note 2 2 2 2 3 3" xfId="5730" xr:uid="{00000000-0005-0000-0000-00009F200000}"/>
    <cellStyle name="Note 2 2 2 2 3 3 2" xfId="15056" xr:uid="{C1167A6A-CCD0-4727-BFA7-164A02B8B81D}"/>
    <cellStyle name="Note 2 2 2 2 3 4" xfId="10839" xr:uid="{A707D5F6-6C55-4BAA-98F0-1706BAAFB9D8}"/>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8D89F264-CD1A-4899-9574-6C4DCF4B7D56}"/>
    <cellStyle name="Note 2 2 2 2 4 2 3" xfId="13397" xr:uid="{34C816FA-D75A-494B-98E8-12D10F20DDA4}"/>
    <cellStyle name="Note 2 2 2 2 4 3" xfId="6143" xr:uid="{00000000-0005-0000-0000-0000A3200000}"/>
    <cellStyle name="Note 2 2 2 2 4 3 2" xfId="15469" xr:uid="{E115D9EA-1E27-4F69-A5DB-7766F76602F2}"/>
    <cellStyle name="Note 2 2 2 2 4 4" xfId="11252" xr:uid="{0A3240B9-FECA-4BD7-A8E1-964679653548}"/>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35C085FF-0348-40CA-BF48-5C0BC4BE16ED}"/>
    <cellStyle name="Note 2 2 2 2 5 2 3" xfId="13810" xr:uid="{665613DE-E21D-4C72-BE41-BFD653941723}"/>
    <cellStyle name="Note 2 2 2 2 5 3" xfId="6556" xr:uid="{00000000-0005-0000-0000-0000A7200000}"/>
    <cellStyle name="Note 2 2 2 2 5 3 2" xfId="15882" xr:uid="{25A155C3-1AC4-41C6-944D-7A3814285584}"/>
    <cellStyle name="Note 2 2 2 2 5 4" xfId="11665" xr:uid="{5BECBC00-0B03-4AF3-8D19-17678189E1B9}"/>
    <cellStyle name="Note 2 2 2 2 6" xfId="2686" xr:uid="{00000000-0005-0000-0000-0000A8200000}"/>
    <cellStyle name="Note 2 2 2 2 6 2" xfId="6969" xr:uid="{00000000-0005-0000-0000-0000A9200000}"/>
    <cellStyle name="Note 2 2 2 2 6 2 2" xfId="16295" xr:uid="{1D965123-6113-4E5C-87B7-8923205378B1}"/>
    <cellStyle name="Note 2 2 2 2 6 3" xfId="12078" xr:uid="{9B43877F-451D-4C8A-82EF-7DAFFDB79B3A}"/>
    <cellStyle name="Note 2 2 2 2 7" xfId="2745" xr:uid="{00000000-0005-0000-0000-0000AA200000}"/>
    <cellStyle name="Note 2 2 2 2 8" xfId="2826" xr:uid="{00000000-0005-0000-0000-0000AB200000}"/>
    <cellStyle name="Note 2 2 2 2 8 2" xfId="7049" xr:uid="{00000000-0005-0000-0000-0000AC200000}"/>
    <cellStyle name="Note 2 2 2 2 8 2 2" xfId="16375" xr:uid="{8FAD2AF2-73A4-4AD0-BADC-A0E413256A4A}"/>
    <cellStyle name="Note 2 2 2 2 8 3" xfId="12158" xr:uid="{5038679D-64A1-4997-9A81-CBBD585CDC63}"/>
    <cellStyle name="Note 2 2 2 2 9" xfId="4904" xr:uid="{00000000-0005-0000-0000-0000AD200000}"/>
    <cellStyle name="Note 2 2 2 2 9 2" xfId="14230" xr:uid="{9B44F0C9-F428-43B1-BF7B-52C257768020}"/>
    <cellStyle name="Note 2 2 2 3" xfId="1007" xr:uid="{00000000-0005-0000-0000-0000AE200000}"/>
    <cellStyle name="Note 2 2 2 3 2" xfId="3239" xr:uid="{00000000-0005-0000-0000-0000AF200000}"/>
    <cellStyle name="Note 2 2 2 3 2 2" xfId="7461" xr:uid="{00000000-0005-0000-0000-0000B0200000}"/>
    <cellStyle name="Note 2 2 2 3 2 2 2" xfId="16787" xr:uid="{25A3C3E6-FB94-422D-B98A-15BD9404EE65}"/>
    <cellStyle name="Note 2 2 2 3 2 3" xfId="12570" xr:uid="{30A854E2-39D1-4B52-A035-4980F9D3E0AD}"/>
    <cellStyle name="Note 2 2 2 3 3" xfId="5316" xr:uid="{00000000-0005-0000-0000-0000B1200000}"/>
    <cellStyle name="Note 2 2 2 3 3 2" xfId="14642" xr:uid="{0F261031-8CB2-4E35-94B2-CC65E87F2CA3}"/>
    <cellStyle name="Note 2 2 2 3 4" xfId="9369" xr:uid="{37FCA23B-964B-404F-A343-B489211FDCDC}"/>
    <cellStyle name="Note 2 2 2 3 4 2" xfId="18684" xr:uid="{2F722168-1216-4E69-9A5B-E54ADFCC3F39}"/>
    <cellStyle name="Note 2 2 2 3 5" xfId="10425" xr:uid="{062C52BA-6E05-4A4A-93C6-973B9D2C375C}"/>
    <cellStyle name="Note 2 2 2 4" xfId="1422" xr:uid="{00000000-0005-0000-0000-0000B2200000}"/>
    <cellStyle name="Note 2 2 2 4 2" xfId="3652" xr:uid="{00000000-0005-0000-0000-0000B3200000}"/>
    <cellStyle name="Note 2 2 2 4 2 2" xfId="7874" xr:uid="{00000000-0005-0000-0000-0000B4200000}"/>
    <cellStyle name="Note 2 2 2 4 2 2 2" xfId="17200" xr:uid="{B8BF2648-AD4B-4FF2-B22F-BD67B7C6ECC1}"/>
    <cellStyle name="Note 2 2 2 4 2 3" xfId="12983" xr:uid="{CCCD36D9-F9D3-4FC6-A1B8-C577185999E2}"/>
    <cellStyle name="Note 2 2 2 4 3" xfId="5729" xr:uid="{00000000-0005-0000-0000-0000B5200000}"/>
    <cellStyle name="Note 2 2 2 4 3 2" xfId="15055" xr:uid="{E9D9B4D5-B872-4BD1-B0E7-8D0F41F329F3}"/>
    <cellStyle name="Note 2 2 2 4 4" xfId="10838" xr:uid="{3DDE133A-4077-4B05-87A6-A2D8670AEFB5}"/>
    <cellStyle name="Note 2 2 2 5" xfId="1836" xr:uid="{00000000-0005-0000-0000-0000B6200000}"/>
    <cellStyle name="Note 2 2 2 5 2" xfId="4065" xr:uid="{00000000-0005-0000-0000-0000B7200000}"/>
    <cellStyle name="Note 2 2 2 5 2 2" xfId="8287" xr:uid="{00000000-0005-0000-0000-0000B8200000}"/>
    <cellStyle name="Note 2 2 2 5 2 2 2" xfId="17613" xr:uid="{6FF736EB-FABF-4D46-969C-B6EDC0C100DD}"/>
    <cellStyle name="Note 2 2 2 5 2 3" xfId="13396" xr:uid="{94A5D62C-E99A-41BA-80A2-149E51A353FD}"/>
    <cellStyle name="Note 2 2 2 5 3" xfId="6142" xr:uid="{00000000-0005-0000-0000-0000B9200000}"/>
    <cellStyle name="Note 2 2 2 5 3 2" xfId="15468" xr:uid="{8A4D8C44-8BF2-4741-97C8-334C85519BC6}"/>
    <cellStyle name="Note 2 2 2 5 4" xfId="11251" xr:uid="{2C3B95A3-B0D4-4F87-9F0E-1731F94B2EE5}"/>
    <cellStyle name="Note 2 2 2 6" xfId="2249" xr:uid="{00000000-0005-0000-0000-0000BA200000}"/>
    <cellStyle name="Note 2 2 2 6 2" xfId="4478" xr:uid="{00000000-0005-0000-0000-0000BB200000}"/>
    <cellStyle name="Note 2 2 2 6 2 2" xfId="8700" xr:uid="{00000000-0005-0000-0000-0000BC200000}"/>
    <cellStyle name="Note 2 2 2 6 2 2 2" xfId="18026" xr:uid="{83B6E5EB-91FE-409C-B198-D5D47304A637}"/>
    <cellStyle name="Note 2 2 2 6 2 3" xfId="13809" xr:uid="{3281D15E-D372-4B10-A2DA-83025870F972}"/>
    <cellStyle name="Note 2 2 2 6 3" xfId="6555" xr:uid="{00000000-0005-0000-0000-0000BD200000}"/>
    <cellStyle name="Note 2 2 2 6 3 2" xfId="15881" xr:uid="{0582455E-FF91-44FC-9F66-916E5D3CBF4F}"/>
    <cellStyle name="Note 2 2 2 6 4" xfId="11664" xr:uid="{73DD453B-BDA5-4E21-9776-FA2E145E4313}"/>
    <cellStyle name="Note 2 2 2 7" xfId="2685" xr:uid="{00000000-0005-0000-0000-0000BE200000}"/>
    <cellStyle name="Note 2 2 2 7 2" xfId="6968" xr:uid="{00000000-0005-0000-0000-0000BF200000}"/>
    <cellStyle name="Note 2 2 2 7 2 2" xfId="16294" xr:uid="{99971BA7-B881-40F1-8743-968572EB1FDD}"/>
    <cellStyle name="Note 2 2 2 7 3" xfId="12077" xr:uid="{4CF978D6-B49F-4159-BD3A-9EC4F02757FD}"/>
    <cellStyle name="Note 2 2 2 8" xfId="2744" xr:uid="{00000000-0005-0000-0000-0000C0200000}"/>
    <cellStyle name="Note 2 2 2 9" xfId="2825" xr:uid="{00000000-0005-0000-0000-0000C1200000}"/>
    <cellStyle name="Note 2 2 2 9 2" xfId="7048" xr:uid="{00000000-0005-0000-0000-0000C2200000}"/>
    <cellStyle name="Note 2 2 2 9 2 2" xfId="16374" xr:uid="{5143124A-48AF-4CF5-BB3E-D934C703B53D}"/>
    <cellStyle name="Note 2 2 2 9 3" xfId="12157" xr:uid="{A9016DBD-45E1-4B5A-B968-9F64F9F6A927}"/>
    <cellStyle name="Note 2 2 3" xfId="548" xr:uid="{00000000-0005-0000-0000-0000C3200000}"/>
    <cellStyle name="Note 2 2 3 10" xfId="9048" xr:uid="{894401FF-B7D8-49E8-91E6-A1C42DD04D54}"/>
    <cellStyle name="Note 2 2 3 10 2" xfId="18372" xr:uid="{FF2D7EA4-3415-491B-A102-76EB22FAF071}"/>
    <cellStyle name="Note 2 2 3 11" xfId="10014" xr:uid="{937A79B0-6767-4815-847B-D1255D05FA27}"/>
    <cellStyle name="Note 2 2 3 2" xfId="1009" xr:uid="{00000000-0005-0000-0000-0000C4200000}"/>
    <cellStyle name="Note 2 2 3 2 2" xfId="3241" xr:uid="{00000000-0005-0000-0000-0000C5200000}"/>
    <cellStyle name="Note 2 2 3 2 2 2" xfId="7463" xr:uid="{00000000-0005-0000-0000-0000C6200000}"/>
    <cellStyle name="Note 2 2 3 2 2 2 2" xfId="16789" xr:uid="{81F53B47-A10A-45CA-9850-F139F91271FF}"/>
    <cellStyle name="Note 2 2 3 2 2 3" xfId="12572" xr:uid="{307A46C2-1683-48B5-B49F-E52FC0C47483}"/>
    <cellStyle name="Note 2 2 3 2 3" xfId="5318" xr:uid="{00000000-0005-0000-0000-0000C7200000}"/>
    <cellStyle name="Note 2 2 3 2 3 2" xfId="14644" xr:uid="{F0192558-7737-400F-8D74-6CEE7C06EB5C}"/>
    <cellStyle name="Note 2 2 3 2 4" xfId="9473" xr:uid="{7711F4E0-385B-44CD-ACEA-5E9D7E4CD8DC}"/>
    <cellStyle name="Note 2 2 3 2 4 2" xfId="18788" xr:uid="{4770A46C-4DC6-4F03-BB5B-67A1C96844B2}"/>
    <cellStyle name="Note 2 2 3 2 5" xfId="10427" xr:uid="{C73BF2C2-2CFC-41ED-9AD6-0C015E5CACE9}"/>
    <cellStyle name="Note 2 2 3 3" xfId="1424" xr:uid="{00000000-0005-0000-0000-0000C8200000}"/>
    <cellStyle name="Note 2 2 3 3 2" xfId="3654" xr:uid="{00000000-0005-0000-0000-0000C9200000}"/>
    <cellStyle name="Note 2 2 3 3 2 2" xfId="7876" xr:uid="{00000000-0005-0000-0000-0000CA200000}"/>
    <cellStyle name="Note 2 2 3 3 2 2 2" xfId="17202" xr:uid="{94370146-0BD1-43B5-B858-011161DF6FD6}"/>
    <cellStyle name="Note 2 2 3 3 2 3" xfId="12985" xr:uid="{79810E5D-8C63-4AB3-9F80-4108E2D11A51}"/>
    <cellStyle name="Note 2 2 3 3 3" xfId="5731" xr:uid="{00000000-0005-0000-0000-0000CB200000}"/>
    <cellStyle name="Note 2 2 3 3 3 2" xfId="15057" xr:uid="{BD8665B5-57FA-4CE2-B19E-32C94E5E4EF6}"/>
    <cellStyle name="Note 2 2 3 3 4" xfId="10840" xr:uid="{7458E50F-4C4A-48BD-8A4F-1C8918D878F9}"/>
    <cellStyle name="Note 2 2 3 4" xfId="1838" xr:uid="{00000000-0005-0000-0000-0000CC200000}"/>
    <cellStyle name="Note 2 2 3 4 2" xfId="4067" xr:uid="{00000000-0005-0000-0000-0000CD200000}"/>
    <cellStyle name="Note 2 2 3 4 2 2" xfId="8289" xr:uid="{00000000-0005-0000-0000-0000CE200000}"/>
    <cellStyle name="Note 2 2 3 4 2 2 2" xfId="17615" xr:uid="{9BA33155-61D1-447F-A1CA-96CE2922A478}"/>
    <cellStyle name="Note 2 2 3 4 2 3" xfId="13398" xr:uid="{7B6B7DCB-FDFA-4DD4-9759-E3A9D832DD90}"/>
    <cellStyle name="Note 2 2 3 4 3" xfId="6144" xr:uid="{00000000-0005-0000-0000-0000CF200000}"/>
    <cellStyle name="Note 2 2 3 4 3 2" xfId="15470" xr:uid="{D6DF3705-F399-4C26-8F2B-FDAD03985AFF}"/>
    <cellStyle name="Note 2 2 3 4 4" xfId="11253" xr:uid="{1260A56C-6FD9-4477-9906-81300F148391}"/>
    <cellStyle name="Note 2 2 3 5" xfId="2251" xr:uid="{00000000-0005-0000-0000-0000D0200000}"/>
    <cellStyle name="Note 2 2 3 5 2" xfId="4480" xr:uid="{00000000-0005-0000-0000-0000D1200000}"/>
    <cellStyle name="Note 2 2 3 5 2 2" xfId="8702" xr:uid="{00000000-0005-0000-0000-0000D2200000}"/>
    <cellStyle name="Note 2 2 3 5 2 2 2" xfId="18028" xr:uid="{EFEC8F7E-3A91-4103-9F16-DBCA454D45CE}"/>
    <cellStyle name="Note 2 2 3 5 2 3" xfId="13811" xr:uid="{DD7414E2-3F94-4E90-B518-98A78982C153}"/>
    <cellStyle name="Note 2 2 3 5 3" xfId="6557" xr:uid="{00000000-0005-0000-0000-0000D3200000}"/>
    <cellStyle name="Note 2 2 3 5 3 2" xfId="15883" xr:uid="{BFFDA075-1910-49D8-906D-09A3AC061C29}"/>
    <cellStyle name="Note 2 2 3 5 4" xfId="11666" xr:uid="{9721E896-3D81-416C-9E64-60463D45A063}"/>
    <cellStyle name="Note 2 2 3 6" xfId="2687" xr:uid="{00000000-0005-0000-0000-0000D4200000}"/>
    <cellStyle name="Note 2 2 3 6 2" xfId="6970" xr:uid="{00000000-0005-0000-0000-0000D5200000}"/>
    <cellStyle name="Note 2 2 3 6 2 2" xfId="16296" xr:uid="{EBF80869-934F-4F90-B5DC-937A1F04A8D0}"/>
    <cellStyle name="Note 2 2 3 6 3" xfId="12079" xr:uid="{E8C42AE4-68F2-402F-A46B-16940F15DC2C}"/>
    <cellStyle name="Note 2 2 3 7" xfId="2746" xr:uid="{00000000-0005-0000-0000-0000D6200000}"/>
    <cellStyle name="Note 2 2 3 8" xfId="2827" xr:uid="{00000000-0005-0000-0000-0000D7200000}"/>
    <cellStyle name="Note 2 2 3 8 2" xfId="7050" xr:uid="{00000000-0005-0000-0000-0000D8200000}"/>
    <cellStyle name="Note 2 2 3 8 2 2" xfId="16376" xr:uid="{ED63F054-881D-43F7-9BE1-620B0902009A}"/>
    <cellStyle name="Note 2 2 3 8 3" xfId="12159" xr:uid="{62A0D8AD-4127-4CA4-BCE7-AFF7DC4DDB5F}"/>
    <cellStyle name="Note 2 2 3 9" xfId="4905" xr:uid="{00000000-0005-0000-0000-0000D9200000}"/>
    <cellStyle name="Note 2 2 3 9 2" xfId="14231" xr:uid="{0A063677-3EBF-497F-B0FE-79FE15679F3D}"/>
    <cellStyle name="Note 2 2 4" xfId="1006" xr:uid="{00000000-0005-0000-0000-0000DA200000}"/>
    <cellStyle name="Note 2 2 4 2" xfId="3238" xr:uid="{00000000-0005-0000-0000-0000DB200000}"/>
    <cellStyle name="Note 2 2 4 2 2" xfId="7460" xr:uid="{00000000-0005-0000-0000-0000DC200000}"/>
    <cellStyle name="Note 2 2 4 2 2 2" xfId="16786" xr:uid="{AF01D3C4-ACDC-4C27-B042-C62EEB4523DF}"/>
    <cellStyle name="Note 2 2 4 2 3" xfId="12569" xr:uid="{10175A17-581B-42EA-9ED6-9E626822E170}"/>
    <cellStyle name="Note 2 2 4 3" xfId="5315" xr:uid="{00000000-0005-0000-0000-0000DD200000}"/>
    <cellStyle name="Note 2 2 4 3 2" xfId="14641" xr:uid="{2F91B17D-17BE-4991-B5F9-AAC7884FE71C}"/>
    <cellStyle name="Note 2 2 4 4" xfId="9266" xr:uid="{8B6F7B8D-50FA-47DA-836F-17B0F9492E54}"/>
    <cellStyle name="Note 2 2 4 4 2" xfId="18581" xr:uid="{F5276796-15FE-4F43-9AB0-F76E54FBAC40}"/>
    <cellStyle name="Note 2 2 4 5" xfId="10424" xr:uid="{B87693CB-D4A6-40A1-AF6A-6BEE7EBF47C9}"/>
    <cellStyle name="Note 2 2 5" xfId="1421" xr:uid="{00000000-0005-0000-0000-0000DE200000}"/>
    <cellStyle name="Note 2 2 5 2" xfId="3651" xr:uid="{00000000-0005-0000-0000-0000DF200000}"/>
    <cellStyle name="Note 2 2 5 2 2" xfId="7873" xr:uid="{00000000-0005-0000-0000-0000E0200000}"/>
    <cellStyle name="Note 2 2 5 2 2 2" xfId="17199" xr:uid="{4C57279A-874B-4C5A-9F33-1065C77E3254}"/>
    <cellStyle name="Note 2 2 5 2 3" xfId="12982" xr:uid="{8FADD62A-4035-4740-8DD9-89F27FC1D276}"/>
    <cellStyle name="Note 2 2 5 3" xfId="5728" xr:uid="{00000000-0005-0000-0000-0000E1200000}"/>
    <cellStyle name="Note 2 2 5 3 2" xfId="15054" xr:uid="{7C4D331D-CF8C-48D6-A744-AE51165CCBC4}"/>
    <cellStyle name="Note 2 2 5 4" xfId="10837" xr:uid="{27290DC5-6D02-4BC8-8C97-D7D99CFF4864}"/>
    <cellStyle name="Note 2 2 6" xfId="1835" xr:uid="{00000000-0005-0000-0000-0000E2200000}"/>
    <cellStyle name="Note 2 2 6 2" xfId="4064" xr:uid="{00000000-0005-0000-0000-0000E3200000}"/>
    <cellStyle name="Note 2 2 6 2 2" xfId="8286" xr:uid="{00000000-0005-0000-0000-0000E4200000}"/>
    <cellStyle name="Note 2 2 6 2 2 2" xfId="17612" xr:uid="{ED56C970-BFC2-4053-A398-BEC29D7CF8ED}"/>
    <cellStyle name="Note 2 2 6 2 3" xfId="13395" xr:uid="{61DD620D-36A0-4278-AE57-7B953422B7D2}"/>
    <cellStyle name="Note 2 2 6 3" xfId="6141" xr:uid="{00000000-0005-0000-0000-0000E5200000}"/>
    <cellStyle name="Note 2 2 6 3 2" xfId="15467" xr:uid="{5D0AB2E4-BCA3-42AC-9C61-201FF5AC6B58}"/>
    <cellStyle name="Note 2 2 6 4" xfId="11250" xr:uid="{47A887EE-0325-47B8-A46A-9029E4A697B8}"/>
    <cellStyle name="Note 2 2 7" xfId="2248" xr:uid="{00000000-0005-0000-0000-0000E6200000}"/>
    <cellStyle name="Note 2 2 7 2" xfId="4477" xr:uid="{00000000-0005-0000-0000-0000E7200000}"/>
    <cellStyle name="Note 2 2 7 2 2" xfId="8699" xr:uid="{00000000-0005-0000-0000-0000E8200000}"/>
    <cellStyle name="Note 2 2 7 2 2 2" xfId="18025" xr:uid="{65156246-03E3-4269-B09E-A881364DD468}"/>
    <cellStyle name="Note 2 2 7 2 3" xfId="13808" xr:uid="{43816D8B-6BCD-40CB-BFBE-53D74A35F17B}"/>
    <cellStyle name="Note 2 2 7 3" xfId="6554" xr:uid="{00000000-0005-0000-0000-0000E9200000}"/>
    <cellStyle name="Note 2 2 7 3 2" xfId="15880" xr:uid="{53FDEC87-E79A-43B2-89EC-4F30CCD8FF3B}"/>
    <cellStyle name="Note 2 2 7 4" xfId="11663" xr:uid="{6A59E452-79F2-4E15-9AD3-C7D9F4CB91DA}"/>
    <cellStyle name="Note 2 2 8" xfId="2684" xr:uid="{00000000-0005-0000-0000-0000EA200000}"/>
    <cellStyle name="Note 2 2 8 2" xfId="6967" xr:uid="{00000000-0005-0000-0000-0000EB200000}"/>
    <cellStyle name="Note 2 2 8 2 2" xfId="16293" xr:uid="{58AFC3DE-D0C7-438E-87B0-516F7FBE88E5}"/>
    <cellStyle name="Note 2 2 8 3" xfId="12076" xr:uid="{B67CDECB-7044-447D-8B72-56C9281E0849}"/>
    <cellStyle name="Note 2 2 9" xfId="2743" xr:uid="{00000000-0005-0000-0000-0000EC200000}"/>
    <cellStyle name="Note 2 3" xfId="549" xr:uid="{00000000-0005-0000-0000-0000ED200000}"/>
    <cellStyle name="Note 2 3 10" xfId="4906" xr:uid="{00000000-0005-0000-0000-0000EE200000}"/>
    <cellStyle name="Note 2 3 10 2" xfId="14232" xr:uid="{0BC0FC97-FD1B-4284-91A6-A6C0D2A13D26}"/>
    <cellStyle name="Note 2 3 11" xfId="8894" xr:uid="{2BFFE8D0-DA42-4876-8895-58F80713E965}"/>
    <cellStyle name="Note 2 3 11 2" xfId="18218" xr:uid="{B407687A-7A81-44BD-A080-2D1207F0E9B6}"/>
    <cellStyle name="Note 2 3 12" xfId="10015" xr:uid="{DEE36915-33D5-4F29-B8B5-EFB05639222D}"/>
    <cellStyle name="Note 2 3 2" xfId="550" xr:uid="{00000000-0005-0000-0000-0000EF200000}"/>
    <cellStyle name="Note 2 3 2 10" xfId="9101" xr:uid="{1822EEA2-225E-465E-B4CD-D4615440EC62}"/>
    <cellStyle name="Note 2 3 2 10 2" xfId="18425" xr:uid="{91865601-49A8-487A-95F6-717AFF740D64}"/>
    <cellStyle name="Note 2 3 2 11" xfId="10016" xr:uid="{4254A970-004C-49DA-AD4A-3870E2890682}"/>
    <cellStyle name="Note 2 3 2 2" xfId="1011" xr:uid="{00000000-0005-0000-0000-0000F0200000}"/>
    <cellStyle name="Note 2 3 2 2 2" xfId="3243" xr:uid="{00000000-0005-0000-0000-0000F1200000}"/>
    <cellStyle name="Note 2 3 2 2 2 2" xfId="7465" xr:uid="{00000000-0005-0000-0000-0000F2200000}"/>
    <cellStyle name="Note 2 3 2 2 2 2 2" xfId="16791" xr:uid="{35DECAE9-0352-40AB-8A81-B089D0F1A89B}"/>
    <cellStyle name="Note 2 3 2 2 2 3" xfId="12574" xr:uid="{615D92E4-A583-4CE6-9C4C-06B5FF75D06C}"/>
    <cellStyle name="Note 2 3 2 2 3" xfId="5320" xr:uid="{00000000-0005-0000-0000-0000F3200000}"/>
    <cellStyle name="Note 2 3 2 2 3 2" xfId="14646" xr:uid="{39838E4D-C494-43AF-B8AE-52F8008F883B}"/>
    <cellStyle name="Note 2 3 2 2 4" xfId="9526" xr:uid="{1C428179-0C82-4F5D-9FE4-E11D597F9E89}"/>
    <cellStyle name="Note 2 3 2 2 4 2" xfId="18841" xr:uid="{4BCD5853-F741-4E2F-B6F3-14373CAE72BE}"/>
    <cellStyle name="Note 2 3 2 2 5" xfId="10429" xr:uid="{69265694-5EF9-4844-BC1F-110058573952}"/>
    <cellStyle name="Note 2 3 2 3" xfId="1426" xr:uid="{00000000-0005-0000-0000-0000F4200000}"/>
    <cellStyle name="Note 2 3 2 3 2" xfId="3656" xr:uid="{00000000-0005-0000-0000-0000F5200000}"/>
    <cellStyle name="Note 2 3 2 3 2 2" xfId="7878" xr:uid="{00000000-0005-0000-0000-0000F6200000}"/>
    <cellStyle name="Note 2 3 2 3 2 2 2" xfId="17204" xr:uid="{93068F82-ECCB-4693-BA92-587D094C5B77}"/>
    <cellStyle name="Note 2 3 2 3 2 3" xfId="12987" xr:uid="{BF75BD75-E3E6-4477-876D-69AAB622CE45}"/>
    <cellStyle name="Note 2 3 2 3 3" xfId="5733" xr:uid="{00000000-0005-0000-0000-0000F7200000}"/>
    <cellStyle name="Note 2 3 2 3 3 2" xfId="15059" xr:uid="{C359FF6D-917A-483F-B662-230F4A313567}"/>
    <cellStyle name="Note 2 3 2 3 4" xfId="10842" xr:uid="{60A3301E-96BD-4FCC-A765-F3B681DD92A3}"/>
    <cellStyle name="Note 2 3 2 4" xfId="1840" xr:uid="{00000000-0005-0000-0000-0000F8200000}"/>
    <cellStyle name="Note 2 3 2 4 2" xfId="4069" xr:uid="{00000000-0005-0000-0000-0000F9200000}"/>
    <cellStyle name="Note 2 3 2 4 2 2" xfId="8291" xr:uid="{00000000-0005-0000-0000-0000FA200000}"/>
    <cellStyle name="Note 2 3 2 4 2 2 2" xfId="17617" xr:uid="{B4000162-17ED-4470-AD7C-668487065A31}"/>
    <cellStyle name="Note 2 3 2 4 2 3" xfId="13400" xr:uid="{63B150C6-373F-430B-B08A-88DD84FA3F77}"/>
    <cellStyle name="Note 2 3 2 4 3" xfId="6146" xr:uid="{00000000-0005-0000-0000-0000FB200000}"/>
    <cellStyle name="Note 2 3 2 4 3 2" xfId="15472" xr:uid="{F2E96D30-79AD-4B5D-9083-482E6231B96B}"/>
    <cellStyle name="Note 2 3 2 4 4" xfId="11255" xr:uid="{DAFDC07D-9B1C-453C-96AA-AFE9066373D1}"/>
    <cellStyle name="Note 2 3 2 5" xfId="2253" xr:uid="{00000000-0005-0000-0000-0000FC200000}"/>
    <cellStyle name="Note 2 3 2 5 2" xfId="4482" xr:uid="{00000000-0005-0000-0000-0000FD200000}"/>
    <cellStyle name="Note 2 3 2 5 2 2" xfId="8704" xr:uid="{00000000-0005-0000-0000-0000FE200000}"/>
    <cellStyle name="Note 2 3 2 5 2 2 2" xfId="18030" xr:uid="{BD52D310-ADC1-4336-A784-2DB9EA028D09}"/>
    <cellStyle name="Note 2 3 2 5 2 3" xfId="13813" xr:uid="{C511A50A-7676-4312-A003-08FC706891F0}"/>
    <cellStyle name="Note 2 3 2 5 3" xfId="6559" xr:uid="{00000000-0005-0000-0000-0000FF200000}"/>
    <cellStyle name="Note 2 3 2 5 3 2" xfId="15885" xr:uid="{CB223939-1969-4752-9E03-0158DE0FE2CE}"/>
    <cellStyle name="Note 2 3 2 5 4" xfId="11668" xr:uid="{8E304936-FBDE-4073-A3C4-EBF9D842A5F0}"/>
    <cellStyle name="Note 2 3 2 6" xfId="2689" xr:uid="{00000000-0005-0000-0000-000000210000}"/>
    <cellStyle name="Note 2 3 2 6 2" xfId="6972" xr:uid="{00000000-0005-0000-0000-000001210000}"/>
    <cellStyle name="Note 2 3 2 6 2 2" xfId="16298" xr:uid="{C9FE571E-1C9F-46C1-A904-3399A0A16C32}"/>
    <cellStyle name="Note 2 3 2 6 3" xfId="12081" xr:uid="{0BABE129-879E-4617-A4FF-16822FEFE29E}"/>
    <cellStyle name="Note 2 3 2 7" xfId="2748" xr:uid="{00000000-0005-0000-0000-000002210000}"/>
    <cellStyle name="Note 2 3 2 8" xfId="2829" xr:uid="{00000000-0005-0000-0000-000003210000}"/>
    <cellStyle name="Note 2 3 2 8 2" xfId="7052" xr:uid="{00000000-0005-0000-0000-000004210000}"/>
    <cellStyle name="Note 2 3 2 8 2 2" xfId="16378" xr:uid="{509B6273-DE07-489B-B6F3-BCAD0E18E560}"/>
    <cellStyle name="Note 2 3 2 8 3" xfId="12161" xr:uid="{A96B6FDC-3DF8-46AB-8183-27306AE96466}"/>
    <cellStyle name="Note 2 3 2 9" xfId="4907" xr:uid="{00000000-0005-0000-0000-000005210000}"/>
    <cellStyle name="Note 2 3 2 9 2" xfId="14233" xr:uid="{22C09EA7-0DD5-413E-A2DE-7D16E0AC3F36}"/>
    <cellStyle name="Note 2 3 3" xfId="1010" xr:uid="{00000000-0005-0000-0000-000006210000}"/>
    <cellStyle name="Note 2 3 3 2" xfId="3242" xr:uid="{00000000-0005-0000-0000-000007210000}"/>
    <cellStyle name="Note 2 3 3 2 2" xfId="7464" xr:uid="{00000000-0005-0000-0000-000008210000}"/>
    <cellStyle name="Note 2 3 3 2 2 2" xfId="16790" xr:uid="{B4152B28-5316-477F-A0E1-1709DE040C32}"/>
    <cellStyle name="Note 2 3 3 2 3" xfId="12573" xr:uid="{C2FC1C87-0BEC-4272-B30A-8CB222CFECB5}"/>
    <cellStyle name="Note 2 3 3 3" xfId="5319" xr:uid="{00000000-0005-0000-0000-000009210000}"/>
    <cellStyle name="Note 2 3 3 3 2" xfId="14645" xr:uid="{BC844AF0-165C-4876-9747-276704288372}"/>
    <cellStyle name="Note 2 3 3 4" xfId="9319" xr:uid="{06E4A3C6-5CAA-4424-B4C3-41162F21AE7D}"/>
    <cellStyle name="Note 2 3 3 4 2" xfId="18634" xr:uid="{475ADB4A-AA58-4BAB-BDC1-28DAE9AC6EE7}"/>
    <cellStyle name="Note 2 3 3 5" xfId="10428" xr:uid="{0F0B4D2E-250C-4492-909B-C6206792D87B}"/>
    <cellStyle name="Note 2 3 4" xfId="1425" xr:uid="{00000000-0005-0000-0000-00000A210000}"/>
    <cellStyle name="Note 2 3 4 2" xfId="3655" xr:uid="{00000000-0005-0000-0000-00000B210000}"/>
    <cellStyle name="Note 2 3 4 2 2" xfId="7877" xr:uid="{00000000-0005-0000-0000-00000C210000}"/>
    <cellStyle name="Note 2 3 4 2 2 2" xfId="17203" xr:uid="{0D47037D-922B-4D8F-B7E3-6F41A2E62C14}"/>
    <cellStyle name="Note 2 3 4 2 3" xfId="12986" xr:uid="{FAF51F83-F24E-4648-A376-BF4CB416116D}"/>
    <cellStyle name="Note 2 3 4 3" xfId="5732" xr:uid="{00000000-0005-0000-0000-00000D210000}"/>
    <cellStyle name="Note 2 3 4 3 2" xfId="15058" xr:uid="{40E2643B-74AA-40A4-8E68-DAEC15A1E42C}"/>
    <cellStyle name="Note 2 3 4 4" xfId="10841" xr:uid="{6B6032E0-8674-4F23-949B-CDE97E9245E5}"/>
    <cellStyle name="Note 2 3 5" xfId="1839" xr:uid="{00000000-0005-0000-0000-00000E210000}"/>
    <cellStyle name="Note 2 3 5 2" xfId="4068" xr:uid="{00000000-0005-0000-0000-00000F210000}"/>
    <cellStyle name="Note 2 3 5 2 2" xfId="8290" xr:uid="{00000000-0005-0000-0000-000010210000}"/>
    <cellStyle name="Note 2 3 5 2 2 2" xfId="17616" xr:uid="{7EE84302-3A50-478A-A1CF-74A70DD1086A}"/>
    <cellStyle name="Note 2 3 5 2 3" xfId="13399" xr:uid="{37884E82-7306-40CB-B753-C59567F270D8}"/>
    <cellStyle name="Note 2 3 5 3" xfId="6145" xr:uid="{00000000-0005-0000-0000-000011210000}"/>
    <cellStyle name="Note 2 3 5 3 2" xfId="15471" xr:uid="{18532329-F6C9-46E5-B50B-BC8979D71C26}"/>
    <cellStyle name="Note 2 3 5 4" xfId="11254" xr:uid="{732554E9-EA3A-4AA0-B9A9-17F39CFBCAF3}"/>
    <cellStyle name="Note 2 3 6" xfId="2252" xr:uid="{00000000-0005-0000-0000-000012210000}"/>
    <cellStyle name="Note 2 3 6 2" xfId="4481" xr:uid="{00000000-0005-0000-0000-000013210000}"/>
    <cellStyle name="Note 2 3 6 2 2" xfId="8703" xr:uid="{00000000-0005-0000-0000-000014210000}"/>
    <cellStyle name="Note 2 3 6 2 2 2" xfId="18029" xr:uid="{ED9C41CB-81E5-44D8-A4ED-B3E2A639CEFD}"/>
    <cellStyle name="Note 2 3 6 2 3" xfId="13812" xr:uid="{F4C0977E-B5A9-494E-87CF-F55786A01AEB}"/>
    <cellStyle name="Note 2 3 6 3" xfId="6558" xr:uid="{00000000-0005-0000-0000-000015210000}"/>
    <cellStyle name="Note 2 3 6 3 2" xfId="15884" xr:uid="{E1ED2E33-D698-4A43-A928-87CCD3926062}"/>
    <cellStyle name="Note 2 3 6 4" xfId="11667" xr:uid="{C9E329F8-0C16-4E50-85A2-482642DB67B5}"/>
    <cellStyle name="Note 2 3 7" xfId="2688" xr:uid="{00000000-0005-0000-0000-000016210000}"/>
    <cellStyle name="Note 2 3 7 2" xfId="6971" xr:uid="{00000000-0005-0000-0000-000017210000}"/>
    <cellStyle name="Note 2 3 7 2 2" xfId="16297" xr:uid="{A86CBFF5-39AC-48BC-ADBC-A083A7B71440}"/>
    <cellStyle name="Note 2 3 7 3" xfId="12080" xr:uid="{DF045D68-E6CD-4D3A-8135-A598AD5A242B}"/>
    <cellStyle name="Note 2 3 8" xfId="2747" xr:uid="{00000000-0005-0000-0000-000018210000}"/>
    <cellStyle name="Note 2 3 9" xfId="2828" xr:uid="{00000000-0005-0000-0000-000019210000}"/>
    <cellStyle name="Note 2 3 9 2" xfId="7051" xr:uid="{00000000-0005-0000-0000-00001A210000}"/>
    <cellStyle name="Note 2 3 9 2 2" xfId="16377" xr:uid="{885FF01C-2078-4816-A093-2ED85C68845B}"/>
    <cellStyle name="Note 2 3 9 3" xfId="12160" xr:uid="{3A208825-C3B7-4CCC-ACFE-70386A048A3F}"/>
    <cellStyle name="Note 2 4" xfId="551" xr:uid="{00000000-0005-0000-0000-00001B210000}"/>
    <cellStyle name="Note 2 4 10" xfId="8998" xr:uid="{AC87C288-14A9-4FB3-A26C-1706964E6651}"/>
    <cellStyle name="Note 2 4 10 2" xfId="18322" xr:uid="{4D224CA8-8DD3-4963-90FD-0DC3942FCE67}"/>
    <cellStyle name="Note 2 4 11" xfId="10017" xr:uid="{3AAE8832-CD65-4746-9177-30EFDC585399}"/>
    <cellStyle name="Note 2 4 2" xfId="1012" xr:uid="{00000000-0005-0000-0000-00001C210000}"/>
    <cellStyle name="Note 2 4 2 2" xfId="3244" xr:uid="{00000000-0005-0000-0000-00001D210000}"/>
    <cellStyle name="Note 2 4 2 2 2" xfId="7466" xr:uid="{00000000-0005-0000-0000-00001E210000}"/>
    <cellStyle name="Note 2 4 2 2 2 2" xfId="16792" xr:uid="{B1A7EE08-F0C0-4896-B418-BED087D2E76C}"/>
    <cellStyle name="Note 2 4 2 2 3" xfId="12575" xr:uid="{E614DEC6-B38D-4933-9090-943CE868B833}"/>
    <cellStyle name="Note 2 4 2 3" xfId="5321" xr:uid="{00000000-0005-0000-0000-00001F210000}"/>
    <cellStyle name="Note 2 4 2 3 2" xfId="14647" xr:uid="{BE7CDFDE-45A0-4C28-A06F-1E5BBC8FC97B}"/>
    <cellStyle name="Note 2 4 2 4" xfId="9423" xr:uid="{43B93802-BE55-43D9-BEBC-4095E3C1FF74}"/>
    <cellStyle name="Note 2 4 2 4 2" xfId="18738" xr:uid="{20EBA612-57C7-483E-998B-23FA82A3A9C9}"/>
    <cellStyle name="Note 2 4 2 5" xfId="10430" xr:uid="{7F1B3753-4FE2-496F-BEFD-111C1769F6D4}"/>
    <cellStyle name="Note 2 4 3" xfId="1427" xr:uid="{00000000-0005-0000-0000-000020210000}"/>
    <cellStyle name="Note 2 4 3 2" xfId="3657" xr:uid="{00000000-0005-0000-0000-000021210000}"/>
    <cellStyle name="Note 2 4 3 2 2" xfId="7879" xr:uid="{00000000-0005-0000-0000-000022210000}"/>
    <cellStyle name="Note 2 4 3 2 2 2" xfId="17205" xr:uid="{F2E356E5-3971-4695-BE44-160FAD9878CA}"/>
    <cellStyle name="Note 2 4 3 2 3" xfId="12988" xr:uid="{60719562-F5E4-427F-9C03-5EB5B4851A4E}"/>
    <cellStyle name="Note 2 4 3 3" xfId="5734" xr:uid="{00000000-0005-0000-0000-000023210000}"/>
    <cellStyle name="Note 2 4 3 3 2" xfId="15060" xr:uid="{DDB425BB-E2DB-4231-8BBB-F036F548B6D2}"/>
    <cellStyle name="Note 2 4 3 4" xfId="10843" xr:uid="{FE0DA761-4553-4483-B07B-57123C48B66A}"/>
    <cellStyle name="Note 2 4 4" xfId="1841" xr:uid="{00000000-0005-0000-0000-000024210000}"/>
    <cellStyle name="Note 2 4 4 2" xfId="4070" xr:uid="{00000000-0005-0000-0000-000025210000}"/>
    <cellStyle name="Note 2 4 4 2 2" xfId="8292" xr:uid="{00000000-0005-0000-0000-000026210000}"/>
    <cellStyle name="Note 2 4 4 2 2 2" xfId="17618" xr:uid="{C4F6353C-32A4-46FF-9106-F7A6DFDD9432}"/>
    <cellStyle name="Note 2 4 4 2 3" xfId="13401" xr:uid="{78EDB79F-8379-40D4-858C-B996DD962CE9}"/>
    <cellStyle name="Note 2 4 4 3" xfId="6147" xr:uid="{00000000-0005-0000-0000-000027210000}"/>
    <cellStyle name="Note 2 4 4 3 2" xfId="15473" xr:uid="{D6B29FAE-D521-4F87-B8CC-8F9029D397A4}"/>
    <cellStyle name="Note 2 4 4 4" xfId="11256" xr:uid="{5ADDB702-373D-4ABE-8210-4590075D55DB}"/>
    <cellStyle name="Note 2 4 5" xfId="2254" xr:uid="{00000000-0005-0000-0000-000028210000}"/>
    <cellStyle name="Note 2 4 5 2" xfId="4483" xr:uid="{00000000-0005-0000-0000-000029210000}"/>
    <cellStyle name="Note 2 4 5 2 2" xfId="8705" xr:uid="{00000000-0005-0000-0000-00002A210000}"/>
    <cellStyle name="Note 2 4 5 2 2 2" xfId="18031" xr:uid="{C89C0127-0BDD-4DC3-9007-DA7FDAE86477}"/>
    <cellStyle name="Note 2 4 5 2 3" xfId="13814" xr:uid="{80E03E8B-863E-4B2B-A7D6-4F44FA2EF887}"/>
    <cellStyle name="Note 2 4 5 3" xfId="6560" xr:uid="{00000000-0005-0000-0000-00002B210000}"/>
    <cellStyle name="Note 2 4 5 3 2" xfId="15886" xr:uid="{3E60A839-45A4-462A-AF99-617421FE50CC}"/>
    <cellStyle name="Note 2 4 5 4" xfId="11669" xr:uid="{ECF7ACCF-525E-41B6-B179-17F7AF66ABFE}"/>
    <cellStyle name="Note 2 4 6" xfId="2690" xr:uid="{00000000-0005-0000-0000-00002C210000}"/>
    <cellStyle name="Note 2 4 6 2" xfId="6973" xr:uid="{00000000-0005-0000-0000-00002D210000}"/>
    <cellStyle name="Note 2 4 6 2 2" xfId="16299" xr:uid="{D10C77F1-7C0E-4E85-BEC4-68D979A60D0D}"/>
    <cellStyle name="Note 2 4 6 3" xfId="12082" xr:uid="{65FDD5F3-CCAF-4B71-9961-A6F892415767}"/>
    <cellStyle name="Note 2 4 7" xfId="2749" xr:uid="{00000000-0005-0000-0000-00002E210000}"/>
    <cellStyle name="Note 2 4 8" xfId="2830" xr:uid="{00000000-0005-0000-0000-00002F210000}"/>
    <cellStyle name="Note 2 4 8 2" xfId="7053" xr:uid="{00000000-0005-0000-0000-000030210000}"/>
    <cellStyle name="Note 2 4 8 2 2" xfId="16379" xr:uid="{6AFDB913-E36A-47B4-9D27-2BA06FE86E4F}"/>
    <cellStyle name="Note 2 4 8 3" xfId="12162" xr:uid="{7F625516-1662-49B7-84AF-7152FC7E14C5}"/>
    <cellStyle name="Note 2 4 9" xfId="4908" xr:uid="{00000000-0005-0000-0000-000031210000}"/>
    <cellStyle name="Note 2 4 9 2" xfId="14234" xr:uid="{2A22CE68-7A98-4BD9-BF10-E70CF9BF3C20}"/>
    <cellStyle name="Note 2 5" xfId="552" xr:uid="{00000000-0005-0000-0000-000032210000}"/>
    <cellStyle name="Note 2 5 10" xfId="9215" xr:uid="{69947D86-0683-476F-9E74-96CA08091560}"/>
    <cellStyle name="Note 2 5 10 2" xfId="18531" xr:uid="{2C7FA57F-6DC7-4146-AC82-A98D3C5137D8}"/>
    <cellStyle name="Note 2 5 11" xfId="10018" xr:uid="{A1595202-A8F5-49F2-B4D8-D94EDC2949D8}"/>
    <cellStyle name="Note 2 5 2" xfId="1013" xr:uid="{00000000-0005-0000-0000-000033210000}"/>
    <cellStyle name="Note 2 5 2 2" xfId="3245" xr:uid="{00000000-0005-0000-0000-000034210000}"/>
    <cellStyle name="Note 2 5 2 2 2" xfId="7467" xr:uid="{00000000-0005-0000-0000-000035210000}"/>
    <cellStyle name="Note 2 5 2 2 2 2" xfId="16793" xr:uid="{A8D5FF3B-DD99-412F-94D6-4B46ECAD3719}"/>
    <cellStyle name="Note 2 5 2 2 3" xfId="12576" xr:uid="{1847F27D-1561-4113-BD41-E789D29BEFC4}"/>
    <cellStyle name="Note 2 5 2 3" xfId="5322" xr:uid="{00000000-0005-0000-0000-000036210000}"/>
    <cellStyle name="Note 2 5 2 3 2" xfId="14648" xr:uid="{449DB6DB-99F5-45D9-95AF-96C1809F8C31}"/>
    <cellStyle name="Note 2 5 2 4" xfId="9610" xr:uid="{26530D10-1DF8-4FA4-8FC9-4C945AA92A94}"/>
    <cellStyle name="Note 2 5 2 4 2" xfId="18910" xr:uid="{784D605A-F479-44B9-BA4D-BAAD050BDBAA}"/>
    <cellStyle name="Note 2 5 2 5" xfId="10431" xr:uid="{46494893-427B-4D3F-88AD-0CE74D64DB2A}"/>
    <cellStyle name="Note 2 5 3" xfId="1428" xr:uid="{00000000-0005-0000-0000-000037210000}"/>
    <cellStyle name="Note 2 5 3 2" xfId="3658" xr:uid="{00000000-0005-0000-0000-000038210000}"/>
    <cellStyle name="Note 2 5 3 2 2" xfId="7880" xr:uid="{00000000-0005-0000-0000-000039210000}"/>
    <cellStyle name="Note 2 5 3 2 2 2" xfId="17206" xr:uid="{78D2070B-ECD7-42B9-9416-87530E65FE75}"/>
    <cellStyle name="Note 2 5 3 2 3" xfId="12989" xr:uid="{42C83C3D-BFF8-4144-885E-894728158057}"/>
    <cellStyle name="Note 2 5 3 3" xfId="5735" xr:uid="{00000000-0005-0000-0000-00003A210000}"/>
    <cellStyle name="Note 2 5 3 3 2" xfId="15061" xr:uid="{01B68358-854D-4463-8895-91EF546ECD6B}"/>
    <cellStyle name="Note 2 5 3 4" xfId="10844" xr:uid="{B6D05AFE-C388-4EA3-8538-C42A90364510}"/>
    <cellStyle name="Note 2 5 4" xfId="1842" xr:uid="{00000000-0005-0000-0000-00003B210000}"/>
    <cellStyle name="Note 2 5 4 2" xfId="4071" xr:uid="{00000000-0005-0000-0000-00003C210000}"/>
    <cellStyle name="Note 2 5 4 2 2" xfId="8293" xr:uid="{00000000-0005-0000-0000-00003D210000}"/>
    <cellStyle name="Note 2 5 4 2 2 2" xfId="17619" xr:uid="{BE851A84-F017-45FE-AA98-BFA0F362E9BB}"/>
    <cellStyle name="Note 2 5 4 2 3" xfId="13402" xr:uid="{2AFA7E70-4C0A-4BBB-AEE2-71ECFCEE1E56}"/>
    <cellStyle name="Note 2 5 4 3" xfId="6148" xr:uid="{00000000-0005-0000-0000-00003E210000}"/>
    <cellStyle name="Note 2 5 4 3 2" xfId="15474" xr:uid="{348924AC-9630-42C0-BFE9-D595A8A3ACD5}"/>
    <cellStyle name="Note 2 5 4 4" xfId="11257" xr:uid="{DE6744D4-FCB0-40B2-8978-B92B3B240505}"/>
    <cellStyle name="Note 2 5 5" xfId="2255" xr:uid="{00000000-0005-0000-0000-00003F210000}"/>
    <cellStyle name="Note 2 5 5 2" xfId="4484" xr:uid="{00000000-0005-0000-0000-000040210000}"/>
    <cellStyle name="Note 2 5 5 2 2" xfId="8706" xr:uid="{00000000-0005-0000-0000-000041210000}"/>
    <cellStyle name="Note 2 5 5 2 2 2" xfId="18032" xr:uid="{592A5130-8FA0-48DD-B552-1F44FF710F91}"/>
    <cellStyle name="Note 2 5 5 2 3" xfId="13815" xr:uid="{A84B78F5-312F-4B00-905F-D6A4CB7D8380}"/>
    <cellStyle name="Note 2 5 5 3" xfId="6561" xr:uid="{00000000-0005-0000-0000-000042210000}"/>
    <cellStyle name="Note 2 5 5 3 2" xfId="15887" xr:uid="{D4EFC4F7-FFE9-4DEF-AFC3-B1154741BF9E}"/>
    <cellStyle name="Note 2 5 5 4" xfId="11670" xr:uid="{FEA465FA-939E-4159-8BFC-9DAD9F96AA12}"/>
    <cellStyle name="Note 2 5 6" xfId="2691" xr:uid="{00000000-0005-0000-0000-000043210000}"/>
    <cellStyle name="Note 2 5 6 2" xfId="6974" xr:uid="{00000000-0005-0000-0000-000044210000}"/>
    <cellStyle name="Note 2 5 6 2 2" xfId="16300" xr:uid="{5C8D3215-755A-4001-86C0-B754C631E9BA}"/>
    <cellStyle name="Note 2 5 6 3" xfId="12083" xr:uid="{C647879C-BE1F-4EB9-AA16-8C653C55354C}"/>
    <cellStyle name="Note 2 5 7" xfId="2750" xr:uid="{00000000-0005-0000-0000-000045210000}"/>
    <cellStyle name="Note 2 5 8" xfId="2831" xr:uid="{00000000-0005-0000-0000-000046210000}"/>
    <cellStyle name="Note 2 5 8 2" xfId="7054" xr:uid="{00000000-0005-0000-0000-000047210000}"/>
    <cellStyle name="Note 2 5 8 2 2" xfId="16380" xr:uid="{5A90FF21-A3A9-430E-9091-FD2E43E76883}"/>
    <cellStyle name="Note 2 5 8 3" xfId="12163" xr:uid="{742ED225-8911-4AE3-A5BA-DBEEF1BE511B}"/>
    <cellStyle name="Note 2 5 9" xfId="4909" xr:uid="{00000000-0005-0000-0000-000048210000}"/>
    <cellStyle name="Note 2 5 9 2" xfId="14235" xr:uid="{9BFF6BC7-379E-494C-A2C2-B3FBF804B63C}"/>
    <cellStyle name="Note 2 6" xfId="9587" xr:uid="{DE0DCBC9-1C06-4AD6-BDCF-10B3C6A625B6}"/>
    <cellStyle name="Note 2 7" xfId="8791" xr:uid="{7AC3614D-154D-4BB0-B207-B3151ECF2433}"/>
    <cellStyle name="Note 2 7 2" xfId="18115" xr:uid="{DDDFD199-9217-4CB4-A3B5-0DA54C4B4BDA}"/>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B34AB042-2C57-4997-85B3-CA75129731B0}"/>
    <cellStyle name="Note 3 2 10 3" xfId="12164" xr:uid="{621468B9-BDF3-4A96-8A26-524E3E7E7BB2}"/>
    <cellStyle name="Note 3 2 11" xfId="4910" xr:uid="{00000000-0005-0000-0000-00004D210000}"/>
    <cellStyle name="Note 3 2 11 2" xfId="14236" xr:uid="{A9E47E28-2646-4EF5-9E48-AA65D9ECE5B9}"/>
    <cellStyle name="Note 3 2 12" xfId="8842" xr:uid="{646587AC-B7A9-43E2-AC1E-1B77745805D8}"/>
    <cellStyle name="Note 3 2 12 2" xfId="18166" xr:uid="{F8520EFD-8F5A-4390-9A53-EFCC173DF435}"/>
    <cellStyle name="Note 3 2 13" xfId="10019" xr:uid="{17A17085-A6BF-4411-9764-3ADED7B2FDE0}"/>
    <cellStyle name="Note 3 2 2" xfId="555" xr:uid="{00000000-0005-0000-0000-00004E210000}"/>
    <cellStyle name="Note 3 2 2 10" xfId="4911" xr:uid="{00000000-0005-0000-0000-00004F210000}"/>
    <cellStyle name="Note 3 2 2 10 2" xfId="14237" xr:uid="{C2F2DC3B-2C04-4FBF-A87C-A0A26D2951B9}"/>
    <cellStyle name="Note 3 2 2 11" xfId="8945" xr:uid="{D320AF38-4F47-4266-9CB9-3BD7E15BFDAE}"/>
    <cellStyle name="Note 3 2 2 11 2" xfId="18269" xr:uid="{04AEF7A8-2757-4A56-B3E7-4B81E0D512FE}"/>
    <cellStyle name="Note 3 2 2 12" xfId="10020" xr:uid="{9A926D50-46B0-4FD9-8645-9EC043A315A8}"/>
    <cellStyle name="Note 3 2 2 2" xfId="556" xr:uid="{00000000-0005-0000-0000-000050210000}"/>
    <cellStyle name="Note 3 2 2 2 10" xfId="9152" xr:uid="{24874F5B-4700-44ED-9556-84C4E89A274D}"/>
    <cellStyle name="Note 3 2 2 2 10 2" xfId="18476" xr:uid="{277620C6-8246-47CE-BFB9-E1F7A47E8ACE}"/>
    <cellStyle name="Note 3 2 2 2 11" xfId="10021" xr:uid="{F1D27DBC-D277-45D6-BD04-7D6EE6CDE6BB}"/>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91C156DB-44D6-4AB8-B195-0BAE4C6B3DF3}"/>
    <cellStyle name="Note 3 2 2 2 2 2 3" xfId="12579" xr:uid="{3949BF7A-3B9A-4CC5-837C-CC1CC8AE1534}"/>
    <cellStyle name="Note 3 2 2 2 2 3" xfId="5325" xr:uid="{00000000-0005-0000-0000-000054210000}"/>
    <cellStyle name="Note 3 2 2 2 2 3 2" xfId="14651" xr:uid="{06F5D935-02C5-4557-A895-BE895510318F}"/>
    <cellStyle name="Note 3 2 2 2 2 4" xfId="9577" xr:uid="{7C0C89D7-CA14-4942-89B2-D584AC810EDC}"/>
    <cellStyle name="Note 3 2 2 2 2 4 2" xfId="18892" xr:uid="{96A8F742-A9FA-4408-BD2F-B626A4083F47}"/>
    <cellStyle name="Note 3 2 2 2 2 5" xfId="10434" xr:uid="{A32273DC-8939-4825-93F7-4EF7BB206217}"/>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DE9AB2A6-045F-46C4-A1DF-E0B5FE1E8C35}"/>
    <cellStyle name="Note 3 2 2 2 3 2 3" xfId="12992" xr:uid="{9C05A6A2-0D2E-4DB4-872F-E9F05EDA164D}"/>
    <cellStyle name="Note 3 2 2 2 3 3" xfId="5738" xr:uid="{00000000-0005-0000-0000-000058210000}"/>
    <cellStyle name="Note 3 2 2 2 3 3 2" xfId="15064" xr:uid="{9302AF99-A4AD-48DB-9511-A169F2FE1FB1}"/>
    <cellStyle name="Note 3 2 2 2 3 4" xfId="10847" xr:uid="{E7209C23-FFB9-4C43-9B92-8C8079FA9A8C}"/>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A6B6753F-AD61-48FE-B40D-DF95DF057264}"/>
    <cellStyle name="Note 3 2 2 2 4 2 3" xfId="13405" xr:uid="{E27ED3AB-F1A7-442C-8E4E-98BB789A2822}"/>
    <cellStyle name="Note 3 2 2 2 4 3" xfId="6151" xr:uid="{00000000-0005-0000-0000-00005C210000}"/>
    <cellStyle name="Note 3 2 2 2 4 3 2" xfId="15477" xr:uid="{D7764956-C7F6-4586-A3EF-96B275D3B3DA}"/>
    <cellStyle name="Note 3 2 2 2 4 4" xfId="11260" xr:uid="{0E419FF1-03EC-4376-9A91-87C2193A590C}"/>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A59C9259-638D-4D79-8416-C5764A64D9D7}"/>
    <cellStyle name="Note 3 2 2 2 5 2 3" xfId="13818" xr:uid="{4918BF62-0311-4F2B-BACA-EECEDF295EB0}"/>
    <cellStyle name="Note 3 2 2 2 5 3" xfId="6564" xr:uid="{00000000-0005-0000-0000-000060210000}"/>
    <cellStyle name="Note 3 2 2 2 5 3 2" xfId="15890" xr:uid="{A7C7C377-F171-4441-975C-03C960796088}"/>
    <cellStyle name="Note 3 2 2 2 5 4" xfId="11673" xr:uid="{7BE17255-C0F1-48A9-870E-C8D9A221D2BF}"/>
    <cellStyle name="Note 3 2 2 2 6" xfId="2694" xr:uid="{00000000-0005-0000-0000-000061210000}"/>
    <cellStyle name="Note 3 2 2 2 6 2" xfId="6977" xr:uid="{00000000-0005-0000-0000-000062210000}"/>
    <cellStyle name="Note 3 2 2 2 6 2 2" xfId="16303" xr:uid="{9FC7E87B-7048-4E4D-8078-C30232A90447}"/>
    <cellStyle name="Note 3 2 2 2 6 3" xfId="12086" xr:uid="{1AF05ED1-0BC0-4E18-AFDC-1B9A9E6B43CD}"/>
    <cellStyle name="Note 3 2 2 2 7" xfId="2753" xr:uid="{00000000-0005-0000-0000-000063210000}"/>
    <cellStyle name="Note 3 2 2 2 8" xfId="2834" xr:uid="{00000000-0005-0000-0000-000064210000}"/>
    <cellStyle name="Note 3 2 2 2 8 2" xfId="7057" xr:uid="{00000000-0005-0000-0000-000065210000}"/>
    <cellStyle name="Note 3 2 2 2 8 2 2" xfId="16383" xr:uid="{2F7FFBDB-F12A-4373-B4E3-54254B7953DF}"/>
    <cellStyle name="Note 3 2 2 2 8 3" xfId="12166" xr:uid="{EB63BB42-0847-4B4E-B8E4-D68057221F11}"/>
    <cellStyle name="Note 3 2 2 2 9" xfId="4912" xr:uid="{00000000-0005-0000-0000-000066210000}"/>
    <cellStyle name="Note 3 2 2 2 9 2" xfId="14238" xr:uid="{F5E4940C-FFBA-4955-8B7C-1F8A79D75E35}"/>
    <cellStyle name="Note 3 2 2 3" xfId="1015" xr:uid="{00000000-0005-0000-0000-000067210000}"/>
    <cellStyle name="Note 3 2 2 3 2" xfId="3247" xr:uid="{00000000-0005-0000-0000-000068210000}"/>
    <cellStyle name="Note 3 2 2 3 2 2" xfId="7469" xr:uid="{00000000-0005-0000-0000-000069210000}"/>
    <cellStyle name="Note 3 2 2 3 2 2 2" xfId="16795" xr:uid="{939D811E-EFBA-41A0-A7C9-9A8C908E7F5E}"/>
    <cellStyle name="Note 3 2 2 3 2 3" xfId="12578" xr:uid="{9CDB4EB5-2713-42D5-A57E-48B442339618}"/>
    <cellStyle name="Note 3 2 2 3 3" xfId="5324" xr:uid="{00000000-0005-0000-0000-00006A210000}"/>
    <cellStyle name="Note 3 2 2 3 3 2" xfId="14650" xr:uid="{1426D7CB-5268-4480-8DEA-75889C2C3D44}"/>
    <cellStyle name="Note 3 2 2 3 4" xfId="9370" xr:uid="{7A803908-679B-4EF0-9BD4-89724B1FB321}"/>
    <cellStyle name="Note 3 2 2 3 4 2" xfId="18685" xr:uid="{6C0E3246-9D92-4990-AAE3-109F2FD59A0D}"/>
    <cellStyle name="Note 3 2 2 3 5" xfId="10433" xr:uid="{826DA7F2-19D0-45B7-96F8-F02D749ABAB6}"/>
    <cellStyle name="Note 3 2 2 4" xfId="1430" xr:uid="{00000000-0005-0000-0000-00006B210000}"/>
    <cellStyle name="Note 3 2 2 4 2" xfId="3660" xr:uid="{00000000-0005-0000-0000-00006C210000}"/>
    <cellStyle name="Note 3 2 2 4 2 2" xfId="7882" xr:uid="{00000000-0005-0000-0000-00006D210000}"/>
    <cellStyle name="Note 3 2 2 4 2 2 2" xfId="17208" xr:uid="{2F602657-D8FF-4D28-A01E-EACBEE11E6F3}"/>
    <cellStyle name="Note 3 2 2 4 2 3" xfId="12991" xr:uid="{5092B89D-4634-4C3F-9F8E-94320536DFF9}"/>
    <cellStyle name="Note 3 2 2 4 3" xfId="5737" xr:uid="{00000000-0005-0000-0000-00006E210000}"/>
    <cellStyle name="Note 3 2 2 4 3 2" xfId="15063" xr:uid="{947383A2-9A8A-407D-9681-FF2C675F8549}"/>
    <cellStyle name="Note 3 2 2 4 4" xfId="10846" xr:uid="{15D5189D-CDEA-44A1-A0D7-E783F9329C2B}"/>
    <cellStyle name="Note 3 2 2 5" xfId="1844" xr:uid="{00000000-0005-0000-0000-00006F210000}"/>
    <cellStyle name="Note 3 2 2 5 2" xfId="4073" xr:uid="{00000000-0005-0000-0000-000070210000}"/>
    <cellStyle name="Note 3 2 2 5 2 2" xfId="8295" xr:uid="{00000000-0005-0000-0000-000071210000}"/>
    <cellStyle name="Note 3 2 2 5 2 2 2" xfId="17621" xr:uid="{327F041F-AFC7-4C5D-A0B2-F4E8BD9E6E65}"/>
    <cellStyle name="Note 3 2 2 5 2 3" xfId="13404" xr:uid="{492F02C9-80FB-43CD-A4CC-8F7B9FEE5A62}"/>
    <cellStyle name="Note 3 2 2 5 3" xfId="6150" xr:uid="{00000000-0005-0000-0000-000072210000}"/>
    <cellStyle name="Note 3 2 2 5 3 2" xfId="15476" xr:uid="{2F033CEA-1052-4D24-BECF-04F14B734232}"/>
    <cellStyle name="Note 3 2 2 5 4" xfId="11259" xr:uid="{F68009A2-C0B4-4A3D-A315-DD1049A7CEC4}"/>
    <cellStyle name="Note 3 2 2 6" xfId="2257" xr:uid="{00000000-0005-0000-0000-000073210000}"/>
    <cellStyle name="Note 3 2 2 6 2" xfId="4486" xr:uid="{00000000-0005-0000-0000-000074210000}"/>
    <cellStyle name="Note 3 2 2 6 2 2" xfId="8708" xr:uid="{00000000-0005-0000-0000-000075210000}"/>
    <cellStyle name="Note 3 2 2 6 2 2 2" xfId="18034" xr:uid="{EEE2BBF3-6B6D-4CE2-B1FE-20F6BDDE0B53}"/>
    <cellStyle name="Note 3 2 2 6 2 3" xfId="13817" xr:uid="{574A9B58-A44A-412E-A17A-DE073FA83E71}"/>
    <cellStyle name="Note 3 2 2 6 3" xfId="6563" xr:uid="{00000000-0005-0000-0000-000076210000}"/>
    <cellStyle name="Note 3 2 2 6 3 2" xfId="15889" xr:uid="{C44A6991-711A-4704-842F-1EF39B322618}"/>
    <cellStyle name="Note 3 2 2 6 4" xfId="11672" xr:uid="{4B1C0DA1-3F6E-4688-91CC-9D46930A39C9}"/>
    <cellStyle name="Note 3 2 2 7" xfId="2693" xr:uid="{00000000-0005-0000-0000-000077210000}"/>
    <cellStyle name="Note 3 2 2 7 2" xfId="6976" xr:uid="{00000000-0005-0000-0000-000078210000}"/>
    <cellStyle name="Note 3 2 2 7 2 2" xfId="16302" xr:uid="{C507C859-8605-4C4D-86EC-33000B4066D6}"/>
    <cellStyle name="Note 3 2 2 7 3" xfId="12085" xr:uid="{7E385AE5-831D-4B6F-90B1-0E5EF828AF56}"/>
    <cellStyle name="Note 3 2 2 8" xfId="2752" xr:uid="{00000000-0005-0000-0000-000079210000}"/>
    <cellStyle name="Note 3 2 2 9" xfId="2833" xr:uid="{00000000-0005-0000-0000-00007A210000}"/>
    <cellStyle name="Note 3 2 2 9 2" xfId="7056" xr:uid="{00000000-0005-0000-0000-00007B210000}"/>
    <cellStyle name="Note 3 2 2 9 2 2" xfId="16382" xr:uid="{DBDD34D5-3C7A-47CC-A584-82A07AA67FE9}"/>
    <cellStyle name="Note 3 2 2 9 3" xfId="12165" xr:uid="{5362FA34-C54C-4EA0-816E-90149E3AB0C6}"/>
    <cellStyle name="Note 3 2 3" xfId="557" xr:uid="{00000000-0005-0000-0000-00007C210000}"/>
    <cellStyle name="Note 3 2 3 10" xfId="9049" xr:uid="{98DA21AE-8EED-4AF2-A5D5-94394E9C9EFE}"/>
    <cellStyle name="Note 3 2 3 10 2" xfId="18373" xr:uid="{6C1C18D9-2BA6-47F4-AF19-9A0899CC2C5D}"/>
    <cellStyle name="Note 3 2 3 11" xfId="10022" xr:uid="{D6F1E6ED-548E-4881-AB10-9442B6BCB018}"/>
    <cellStyle name="Note 3 2 3 2" xfId="1017" xr:uid="{00000000-0005-0000-0000-00007D210000}"/>
    <cellStyle name="Note 3 2 3 2 2" xfId="3249" xr:uid="{00000000-0005-0000-0000-00007E210000}"/>
    <cellStyle name="Note 3 2 3 2 2 2" xfId="7471" xr:uid="{00000000-0005-0000-0000-00007F210000}"/>
    <cellStyle name="Note 3 2 3 2 2 2 2" xfId="16797" xr:uid="{2376606B-94B9-4194-B9BA-DDBBDA54C71F}"/>
    <cellStyle name="Note 3 2 3 2 2 3" xfId="12580" xr:uid="{9FA22C1A-C52C-478C-9C7D-13947FA7069D}"/>
    <cellStyle name="Note 3 2 3 2 3" xfId="5326" xr:uid="{00000000-0005-0000-0000-000080210000}"/>
    <cellStyle name="Note 3 2 3 2 3 2" xfId="14652" xr:uid="{5177C594-DC6A-43EE-B56C-11BA3CFE0E9E}"/>
    <cellStyle name="Note 3 2 3 2 4" xfId="9474" xr:uid="{8827394E-7DCF-4E58-BF45-94E8587F7D91}"/>
    <cellStyle name="Note 3 2 3 2 4 2" xfId="18789" xr:uid="{4276E153-1025-4FDD-B72C-1286419B4EFF}"/>
    <cellStyle name="Note 3 2 3 2 5" xfId="10435" xr:uid="{C26DC36D-20BD-48A6-865C-A55381B95B13}"/>
    <cellStyle name="Note 3 2 3 3" xfId="1432" xr:uid="{00000000-0005-0000-0000-000081210000}"/>
    <cellStyle name="Note 3 2 3 3 2" xfId="3662" xr:uid="{00000000-0005-0000-0000-000082210000}"/>
    <cellStyle name="Note 3 2 3 3 2 2" xfId="7884" xr:uid="{00000000-0005-0000-0000-000083210000}"/>
    <cellStyle name="Note 3 2 3 3 2 2 2" xfId="17210" xr:uid="{A68E740C-EFF1-40F1-9069-95EC3E738EF0}"/>
    <cellStyle name="Note 3 2 3 3 2 3" xfId="12993" xr:uid="{0C30FC71-DCCF-4832-959E-426DB2858C22}"/>
    <cellStyle name="Note 3 2 3 3 3" xfId="5739" xr:uid="{00000000-0005-0000-0000-000084210000}"/>
    <cellStyle name="Note 3 2 3 3 3 2" xfId="15065" xr:uid="{5F25F024-270F-4579-9281-310B7F2450F5}"/>
    <cellStyle name="Note 3 2 3 3 4" xfId="10848" xr:uid="{134FBEC5-3532-436E-B592-BDDBCD891332}"/>
    <cellStyle name="Note 3 2 3 4" xfId="1846" xr:uid="{00000000-0005-0000-0000-000085210000}"/>
    <cellStyle name="Note 3 2 3 4 2" xfId="4075" xr:uid="{00000000-0005-0000-0000-000086210000}"/>
    <cellStyle name="Note 3 2 3 4 2 2" xfId="8297" xr:uid="{00000000-0005-0000-0000-000087210000}"/>
    <cellStyle name="Note 3 2 3 4 2 2 2" xfId="17623" xr:uid="{5E430366-61B2-423B-B5A5-476AB588F5D9}"/>
    <cellStyle name="Note 3 2 3 4 2 3" xfId="13406" xr:uid="{84A23E32-CF0E-4EEF-86B0-EFF4E1E5BB6B}"/>
    <cellStyle name="Note 3 2 3 4 3" xfId="6152" xr:uid="{00000000-0005-0000-0000-000088210000}"/>
    <cellStyle name="Note 3 2 3 4 3 2" xfId="15478" xr:uid="{BFBC0205-07A4-4334-BEB4-A9E6320E2B18}"/>
    <cellStyle name="Note 3 2 3 4 4" xfId="11261" xr:uid="{15CC8BCB-B81D-4A1E-AC1F-AC0B6D52D792}"/>
    <cellStyle name="Note 3 2 3 5" xfId="2259" xr:uid="{00000000-0005-0000-0000-000089210000}"/>
    <cellStyle name="Note 3 2 3 5 2" xfId="4488" xr:uid="{00000000-0005-0000-0000-00008A210000}"/>
    <cellStyle name="Note 3 2 3 5 2 2" xfId="8710" xr:uid="{00000000-0005-0000-0000-00008B210000}"/>
    <cellStyle name="Note 3 2 3 5 2 2 2" xfId="18036" xr:uid="{65D77409-E766-46E7-8D78-B1F8E292D2FE}"/>
    <cellStyle name="Note 3 2 3 5 2 3" xfId="13819" xr:uid="{CEED6968-CB56-49F7-B58A-1D4E7973971F}"/>
    <cellStyle name="Note 3 2 3 5 3" xfId="6565" xr:uid="{00000000-0005-0000-0000-00008C210000}"/>
    <cellStyle name="Note 3 2 3 5 3 2" xfId="15891" xr:uid="{40B54E5E-0F11-4B12-87A3-E022A3F001DE}"/>
    <cellStyle name="Note 3 2 3 5 4" xfId="11674" xr:uid="{7B7697A4-BCF9-4350-B2F4-E514769545EC}"/>
    <cellStyle name="Note 3 2 3 6" xfId="2695" xr:uid="{00000000-0005-0000-0000-00008D210000}"/>
    <cellStyle name="Note 3 2 3 6 2" xfId="6978" xr:uid="{00000000-0005-0000-0000-00008E210000}"/>
    <cellStyle name="Note 3 2 3 6 2 2" xfId="16304" xr:uid="{EB5A3CC3-01C9-453F-A752-4DE28A895632}"/>
    <cellStyle name="Note 3 2 3 6 3" xfId="12087" xr:uid="{1C468321-9EC8-4931-928A-46BF58792CC0}"/>
    <cellStyle name="Note 3 2 3 7" xfId="2754" xr:uid="{00000000-0005-0000-0000-00008F210000}"/>
    <cellStyle name="Note 3 2 3 8" xfId="2835" xr:uid="{00000000-0005-0000-0000-000090210000}"/>
    <cellStyle name="Note 3 2 3 8 2" xfId="7058" xr:uid="{00000000-0005-0000-0000-000091210000}"/>
    <cellStyle name="Note 3 2 3 8 2 2" xfId="16384" xr:uid="{1EF82CCF-8D88-4D73-8691-6B29CA05F873}"/>
    <cellStyle name="Note 3 2 3 8 3" xfId="12167" xr:uid="{2F70846F-F723-4D72-95FF-A24705FB034E}"/>
    <cellStyle name="Note 3 2 3 9" xfId="4913" xr:uid="{00000000-0005-0000-0000-000092210000}"/>
    <cellStyle name="Note 3 2 3 9 2" xfId="14239" xr:uid="{84EDFCDA-2F57-43A5-8318-3650AAD0D379}"/>
    <cellStyle name="Note 3 2 4" xfId="1014" xr:uid="{00000000-0005-0000-0000-000093210000}"/>
    <cellStyle name="Note 3 2 4 2" xfId="3246" xr:uid="{00000000-0005-0000-0000-000094210000}"/>
    <cellStyle name="Note 3 2 4 2 2" xfId="7468" xr:uid="{00000000-0005-0000-0000-000095210000}"/>
    <cellStyle name="Note 3 2 4 2 2 2" xfId="16794" xr:uid="{52C72736-7334-4A75-BEE3-8990EFCC0AEF}"/>
    <cellStyle name="Note 3 2 4 2 3" xfId="12577" xr:uid="{A2BAEC98-1E91-4097-ACB7-282158E37839}"/>
    <cellStyle name="Note 3 2 4 3" xfId="5323" xr:uid="{00000000-0005-0000-0000-000096210000}"/>
    <cellStyle name="Note 3 2 4 3 2" xfId="14649" xr:uid="{F25E52CB-377C-41A1-A96C-71774925EC15}"/>
    <cellStyle name="Note 3 2 4 4" xfId="9267" xr:uid="{1291CED5-E18E-4F1A-8856-A132B18F5C81}"/>
    <cellStyle name="Note 3 2 4 4 2" xfId="18582" xr:uid="{9D85003D-8DED-4882-9845-92451B75C211}"/>
    <cellStyle name="Note 3 2 4 5" xfId="10432" xr:uid="{FFB14A3C-1B1B-4C41-9060-EE1BE1BBB2D8}"/>
    <cellStyle name="Note 3 2 5" xfId="1429" xr:uid="{00000000-0005-0000-0000-000097210000}"/>
    <cellStyle name="Note 3 2 5 2" xfId="3659" xr:uid="{00000000-0005-0000-0000-000098210000}"/>
    <cellStyle name="Note 3 2 5 2 2" xfId="7881" xr:uid="{00000000-0005-0000-0000-000099210000}"/>
    <cellStyle name="Note 3 2 5 2 2 2" xfId="17207" xr:uid="{592DCAC5-932F-4477-8438-B86D3C26948B}"/>
    <cellStyle name="Note 3 2 5 2 3" xfId="12990" xr:uid="{15B9C590-522F-43E6-A208-AE774A6D5A6F}"/>
    <cellStyle name="Note 3 2 5 3" xfId="5736" xr:uid="{00000000-0005-0000-0000-00009A210000}"/>
    <cellStyle name="Note 3 2 5 3 2" xfId="15062" xr:uid="{E1B75127-A358-4028-9EFE-B36F31378428}"/>
    <cellStyle name="Note 3 2 5 4" xfId="10845" xr:uid="{1A3ADE6B-6504-4DB4-8A17-9BBA51A42A3F}"/>
    <cellStyle name="Note 3 2 6" xfId="1843" xr:uid="{00000000-0005-0000-0000-00009B210000}"/>
    <cellStyle name="Note 3 2 6 2" xfId="4072" xr:uid="{00000000-0005-0000-0000-00009C210000}"/>
    <cellStyle name="Note 3 2 6 2 2" xfId="8294" xr:uid="{00000000-0005-0000-0000-00009D210000}"/>
    <cellStyle name="Note 3 2 6 2 2 2" xfId="17620" xr:uid="{34B1C036-96D6-4F44-AE62-F3DF635E0931}"/>
    <cellStyle name="Note 3 2 6 2 3" xfId="13403" xr:uid="{CA2AE0E6-5FB9-41AA-B9FF-43F2EE81D198}"/>
    <cellStyle name="Note 3 2 6 3" xfId="6149" xr:uid="{00000000-0005-0000-0000-00009E210000}"/>
    <cellStyle name="Note 3 2 6 3 2" xfId="15475" xr:uid="{BE061829-4F44-41EC-A6F3-34D4C21E7502}"/>
    <cellStyle name="Note 3 2 6 4" xfId="11258" xr:uid="{641A372B-4D35-4210-A6FE-6E9CEE75E61D}"/>
    <cellStyle name="Note 3 2 7" xfId="2256" xr:uid="{00000000-0005-0000-0000-00009F210000}"/>
    <cellStyle name="Note 3 2 7 2" xfId="4485" xr:uid="{00000000-0005-0000-0000-0000A0210000}"/>
    <cellStyle name="Note 3 2 7 2 2" xfId="8707" xr:uid="{00000000-0005-0000-0000-0000A1210000}"/>
    <cellStyle name="Note 3 2 7 2 2 2" xfId="18033" xr:uid="{178ED7E6-4513-448B-9407-26E736D4FD53}"/>
    <cellStyle name="Note 3 2 7 2 3" xfId="13816" xr:uid="{6FD2025D-B531-4100-B469-6AE9F5725599}"/>
    <cellStyle name="Note 3 2 7 3" xfId="6562" xr:uid="{00000000-0005-0000-0000-0000A2210000}"/>
    <cellStyle name="Note 3 2 7 3 2" xfId="15888" xr:uid="{BB54CFAD-2639-4D54-AC0C-38C773324F34}"/>
    <cellStyle name="Note 3 2 7 4" xfId="11671" xr:uid="{DCAAB8E6-DDB7-41E0-80E9-B52A3DE738F4}"/>
    <cellStyle name="Note 3 2 8" xfId="2692" xr:uid="{00000000-0005-0000-0000-0000A3210000}"/>
    <cellStyle name="Note 3 2 8 2" xfId="6975" xr:uid="{00000000-0005-0000-0000-0000A4210000}"/>
    <cellStyle name="Note 3 2 8 2 2" xfId="16301" xr:uid="{6D864134-12E1-4A18-8E2A-3D64B82AFFF6}"/>
    <cellStyle name="Note 3 2 8 3" xfId="12084" xr:uid="{5802D2B7-70BD-42BB-B559-FCC3F1C4168C}"/>
    <cellStyle name="Note 3 2 9" xfId="2751" xr:uid="{00000000-0005-0000-0000-0000A5210000}"/>
    <cellStyle name="Note 3 3" xfId="558" xr:uid="{00000000-0005-0000-0000-0000A6210000}"/>
    <cellStyle name="Note 3 3 10" xfId="4914" xr:uid="{00000000-0005-0000-0000-0000A7210000}"/>
    <cellStyle name="Note 3 3 10 2" xfId="14240" xr:uid="{A29F6ABB-3797-4E55-8206-8531487B0297}"/>
    <cellStyle name="Note 3 3 11" xfId="8892" xr:uid="{8511F94A-7472-4DD0-A9AB-40754FEE5F47}"/>
    <cellStyle name="Note 3 3 11 2" xfId="18216" xr:uid="{8AFF87D9-0772-4E4B-A7DD-233C18B127AC}"/>
    <cellStyle name="Note 3 3 12" xfId="10023" xr:uid="{56A944F0-2E41-4461-9C08-2E044FAA777F}"/>
    <cellStyle name="Note 3 3 2" xfId="559" xr:uid="{00000000-0005-0000-0000-0000A8210000}"/>
    <cellStyle name="Note 3 3 2 10" xfId="9099" xr:uid="{29F3AC20-D296-4B59-BA53-0A5C025B0569}"/>
    <cellStyle name="Note 3 3 2 10 2" xfId="18423" xr:uid="{3F9C1009-402A-44B8-B818-0D34721E200E}"/>
    <cellStyle name="Note 3 3 2 11" xfId="10024" xr:uid="{CB782B9D-2D06-4DED-951D-DD65DD368A66}"/>
    <cellStyle name="Note 3 3 2 2" xfId="1019" xr:uid="{00000000-0005-0000-0000-0000A9210000}"/>
    <cellStyle name="Note 3 3 2 2 2" xfId="3251" xr:uid="{00000000-0005-0000-0000-0000AA210000}"/>
    <cellStyle name="Note 3 3 2 2 2 2" xfId="7473" xr:uid="{00000000-0005-0000-0000-0000AB210000}"/>
    <cellStyle name="Note 3 3 2 2 2 2 2" xfId="16799" xr:uid="{2F98555A-064F-4BB0-954F-94222132B0CA}"/>
    <cellStyle name="Note 3 3 2 2 2 3" xfId="12582" xr:uid="{89F7E63D-0008-4633-AE25-E15C2A453C1C}"/>
    <cellStyle name="Note 3 3 2 2 3" xfId="5328" xr:uid="{00000000-0005-0000-0000-0000AC210000}"/>
    <cellStyle name="Note 3 3 2 2 3 2" xfId="14654" xr:uid="{A191FB96-9F85-4848-BD7C-170AF44112C9}"/>
    <cellStyle name="Note 3 3 2 2 4" xfId="9524" xr:uid="{D03F5DE7-D9AB-48C0-A1E3-0A929D2C18C5}"/>
    <cellStyle name="Note 3 3 2 2 4 2" xfId="18839" xr:uid="{32A867BA-1BFD-4F74-8DA1-FDDD01EBCBFF}"/>
    <cellStyle name="Note 3 3 2 2 5" xfId="10437" xr:uid="{6694B24D-5B28-4BDF-9389-FA2002191518}"/>
    <cellStyle name="Note 3 3 2 3" xfId="1434" xr:uid="{00000000-0005-0000-0000-0000AD210000}"/>
    <cellStyle name="Note 3 3 2 3 2" xfId="3664" xr:uid="{00000000-0005-0000-0000-0000AE210000}"/>
    <cellStyle name="Note 3 3 2 3 2 2" xfId="7886" xr:uid="{00000000-0005-0000-0000-0000AF210000}"/>
    <cellStyle name="Note 3 3 2 3 2 2 2" xfId="17212" xr:uid="{87337CA6-1EDE-4039-ABE9-356CA6B5BCF3}"/>
    <cellStyle name="Note 3 3 2 3 2 3" xfId="12995" xr:uid="{A9343FEE-3909-42A0-A672-F10DE3E9C3CC}"/>
    <cellStyle name="Note 3 3 2 3 3" xfId="5741" xr:uid="{00000000-0005-0000-0000-0000B0210000}"/>
    <cellStyle name="Note 3 3 2 3 3 2" xfId="15067" xr:uid="{1DF65EE0-B9E0-4E74-858F-66705157499E}"/>
    <cellStyle name="Note 3 3 2 3 4" xfId="10850" xr:uid="{5BC6A233-3864-440D-B066-94EC60A80A02}"/>
    <cellStyle name="Note 3 3 2 4" xfId="1848" xr:uid="{00000000-0005-0000-0000-0000B1210000}"/>
    <cellStyle name="Note 3 3 2 4 2" xfId="4077" xr:uid="{00000000-0005-0000-0000-0000B2210000}"/>
    <cellStyle name="Note 3 3 2 4 2 2" xfId="8299" xr:uid="{00000000-0005-0000-0000-0000B3210000}"/>
    <cellStyle name="Note 3 3 2 4 2 2 2" xfId="17625" xr:uid="{6757C59C-A7C0-4606-9861-8E3CD74DD161}"/>
    <cellStyle name="Note 3 3 2 4 2 3" xfId="13408" xr:uid="{9C328E96-E2EC-42E9-8763-89DE1BEC0F87}"/>
    <cellStyle name="Note 3 3 2 4 3" xfId="6154" xr:uid="{00000000-0005-0000-0000-0000B4210000}"/>
    <cellStyle name="Note 3 3 2 4 3 2" xfId="15480" xr:uid="{4D900EC2-B6C8-4BC0-AFF6-EDCABD4529FA}"/>
    <cellStyle name="Note 3 3 2 4 4" xfId="11263" xr:uid="{53FB4270-9466-4F6E-8083-1D0D11264E1E}"/>
    <cellStyle name="Note 3 3 2 5" xfId="2261" xr:uid="{00000000-0005-0000-0000-0000B5210000}"/>
    <cellStyle name="Note 3 3 2 5 2" xfId="4490" xr:uid="{00000000-0005-0000-0000-0000B6210000}"/>
    <cellStyle name="Note 3 3 2 5 2 2" xfId="8712" xr:uid="{00000000-0005-0000-0000-0000B7210000}"/>
    <cellStyle name="Note 3 3 2 5 2 2 2" xfId="18038" xr:uid="{8398821A-B5F3-4C55-B42E-FA7C1E4438A0}"/>
    <cellStyle name="Note 3 3 2 5 2 3" xfId="13821" xr:uid="{6721F00C-DBBD-423B-9990-2A2C3249935D}"/>
    <cellStyle name="Note 3 3 2 5 3" xfId="6567" xr:uid="{00000000-0005-0000-0000-0000B8210000}"/>
    <cellStyle name="Note 3 3 2 5 3 2" xfId="15893" xr:uid="{02E3839F-052C-466F-B7F3-E4EFF96F5269}"/>
    <cellStyle name="Note 3 3 2 5 4" xfId="11676" xr:uid="{A20204B0-BB35-4DAF-80A8-DC3C7BC673F8}"/>
    <cellStyle name="Note 3 3 2 6" xfId="2697" xr:uid="{00000000-0005-0000-0000-0000B9210000}"/>
    <cellStyle name="Note 3 3 2 6 2" xfId="6980" xr:uid="{00000000-0005-0000-0000-0000BA210000}"/>
    <cellStyle name="Note 3 3 2 6 2 2" xfId="16306" xr:uid="{D5A58489-271A-4595-9829-336130913EE3}"/>
    <cellStyle name="Note 3 3 2 6 3" xfId="12089" xr:uid="{A75C1A99-3482-444E-B227-D5206DFD5343}"/>
    <cellStyle name="Note 3 3 2 7" xfId="2756" xr:uid="{00000000-0005-0000-0000-0000BB210000}"/>
    <cellStyle name="Note 3 3 2 8" xfId="2837" xr:uid="{00000000-0005-0000-0000-0000BC210000}"/>
    <cellStyle name="Note 3 3 2 8 2" xfId="7060" xr:uid="{00000000-0005-0000-0000-0000BD210000}"/>
    <cellStyle name="Note 3 3 2 8 2 2" xfId="16386" xr:uid="{673F1561-43A2-438B-807F-93AC231E1C24}"/>
    <cellStyle name="Note 3 3 2 8 3" xfId="12169" xr:uid="{A0DEDBF6-DEF7-40DC-8147-3F1595C6BB80}"/>
    <cellStyle name="Note 3 3 2 9" xfId="4915" xr:uid="{00000000-0005-0000-0000-0000BE210000}"/>
    <cellStyle name="Note 3 3 2 9 2" xfId="14241" xr:uid="{510DA050-0142-4FCA-BEF2-845B1FDA1EAD}"/>
    <cellStyle name="Note 3 3 3" xfId="1018" xr:uid="{00000000-0005-0000-0000-0000BF210000}"/>
    <cellStyle name="Note 3 3 3 2" xfId="3250" xr:uid="{00000000-0005-0000-0000-0000C0210000}"/>
    <cellStyle name="Note 3 3 3 2 2" xfId="7472" xr:uid="{00000000-0005-0000-0000-0000C1210000}"/>
    <cellStyle name="Note 3 3 3 2 2 2" xfId="16798" xr:uid="{26A25E49-C20F-483B-B4D9-5446DA1151C3}"/>
    <cellStyle name="Note 3 3 3 2 3" xfId="12581" xr:uid="{C2260E7D-9A0E-41EB-9F35-D7CDC2D13F11}"/>
    <cellStyle name="Note 3 3 3 3" xfId="5327" xr:uid="{00000000-0005-0000-0000-0000C2210000}"/>
    <cellStyle name="Note 3 3 3 3 2" xfId="14653" xr:uid="{1928484F-812E-4F90-A8B0-1534E75DC7A0}"/>
    <cellStyle name="Note 3 3 3 4" xfId="9317" xr:uid="{171D8024-554D-4F15-BFD3-81CBE1A601EA}"/>
    <cellStyle name="Note 3 3 3 4 2" xfId="18632" xr:uid="{660E6BE2-AD37-4A2B-A377-655CABD5B6F7}"/>
    <cellStyle name="Note 3 3 3 5" xfId="10436" xr:uid="{02D237B5-1423-4E1E-A87F-4B2CC5C94AED}"/>
    <cellStyle name="Note 3 3 4" xfId="1433" xr:uid="{00000000-0005-0000-0000-0000C3210000}"/>
    <cellStyle name="Note 3 3 4 2" xfId="3663" xr:uid="{00000000-0005-0000-0000-0000C4210000}"/>
    <cellStyle name="Note 3 3 4 2 2" xfId="7885" xr:uid="{00000000-0005-0000-0000-0000C5210000}"/>
    <cellStyle name="Note 3 3 4 2 2 2" xfId="17211" xr:uid="{5B2F8C32-B018-45DB-A26B-94731F737989}"/>
    <cellStyle name="Note 3 3 4 2 3" xfId="12994" xr:uid="{CDB843CC-572B-4679-9A91-10048E3465A1}"/>
    <cellStyle name="Note 3 3 4 3" xfId="5740" xr:uid="{00000000-0005-0000-0000-0000C6210000}"/>
    <cellStyle name="Note 3 3 4 3 2" xfId="15066" xr:uid="{4321EF47-B5F6-4578-98D6-5FE0908A030A}"/>
    <cellStyle name="Note 3 3 4 4" xfId="10849" xr:uid="{52043984-A803-45F3-9CAD-F6323100F48E}"/>
    <cellStyle name="Note 3 3 5" xfId="1847" xr:uid="{00000000-0005-0000-0000-0000C7210000}"/>
    <cellStyle name="Note 3 3 5 2" xfId="4076" xr:uid="{00000000-0005-0000-0000-0000C8210000}"/>
    <cellStyle name="Note 3 3 5 2 2" xfId="8298" xr:uid="{00000000-0005-0000-0000-0000C9210000}"/>
    <cellStyle name="Note 3 3 5 2 2 2" xfId="17624" xr:uid="{64A3AE8F-4563-4069-A070-79BF6442FB0B}"/>
    <cellStyle name="Note 3 3 5 2 3" xfId="13407" xr:uid="{ABDE241D-5C37-48BA-9605-5F3E6C9B6F67}"/>
    <cellStyle name="Note 3 3 5 3" xfId="6153" xr:uid="{00000000-0005-0000-0000-0000CA210000}"/>
    <cellStyle name="Note 3 3 5 3 2" xfId="15479" xr:uid="{7FDC6832-73FC-4E91-AA58-E8378959BD77}"/>
    <cellStyle name="Note 3 3 5 4" xfId="11262" xr:uid="{DD0FD7EA-9DA6-4857-AD18-DED0E8D64040}"/>
    <cellStyle name="Note 3 3 6" xfId="2260" xr:uid="{00000000-0005-0000-0000-0000CB210000}"/>
    <cellStyle name="Note 3 3 6 2" xfId="4489" xr:uid="{00000000-0005-0000-0000-0000CC210000}"/>
    <cellStyle name="Note 3 3 6 2 2" xfId="8711" xr:uid="{00000000-0005-0000-0000-0000CD210000}"/>
    <cellStyle name="Note 3 3 6 2 2 2" xfId="18037" xr:uid="{49463B92-3EFD-46B1-B3E5-886B42F4E57A}"/>
    <cellStyle name="Note 3 3 6 2 3" xfId="13820" xr:uid="{5757579E-C269-4831-A949-9CD766E7AFFC}"/>
    <cellStyle name="Note 3 3 6 3" xfId="6566" xr:uid="{00000000-0005-0000-0000-0000CE210000}"/>
    <cellStyle name="Note 3 3 6 3 2" xfId="15892" xr:uid="{340764B9-DC32-476B-89BA-A252A5416F3D}"/>
    <cellStyle name="Note 3 3 6 4" xfId="11675" xr:uid="{F8367D67-B6AD-44FB-99AC-55F582B1F04D}"/>
    <cellStyle name="Note 3 3 7" xfId="2696" xr:uid="{00000000-0005-0000-0000-0000CF210000}"/>
    <cellStyle name="Note 3 3 7 2" xfId="6979" xr:uid="{00000000-0005-0000-0000-0000D0210000}"/>
    <cellStyle name="Note 3 3 7 2 2" xfId="16305" xr:uid="{2E485F09-6267-4ADF-A93B-D778B89A2822}"/>
    <cellStyle name="Note 3 3 7 3" xfId="12088" xr:uid="{0B1AC99F-F433-45DD-907B-D049CF612E88}"/>
    <cellStyle name="Note 3 3 8" xfId="2755" xr:uid="{00000000-0005-0000-0000-0000D1210000}"/>
    <cellStyle name="Note 3 3 9" xfId="2836" xr:uid="{00000000-0005-0000-0000-0000D2210000}"/>
    <cellStyle name="Note 3 3 9 2" xfId="7059" xr:uid="{00000000-0005-0000-0000-0000D3210000}"/>
    <cellStyle name="Note 3 3 9 2 2" xfId="16385" xr:uid="{A72A3495-CBED-420D-A463-25F2B8668A34}"/>
    <cellStyle name="Note 3 3 9 3" xfId="12168" xr:uid="{243C6C75-6A32-469B-9FCF-96ABBA5D0751}"/>
    <cellStyle name="Note 3 4" xfId="560" xr:uid="{00000000-0005-0000-0000-0000D4210000}"/>
    <cellStyle name="Note 3 4 10" xfId="8996" xr:uid="{0D704BEA-0820-4E61-9EA3-F4C1E73C6543}"/>
    <cellStyle name="Note 3 4 10 2" xfId="18320" xr:uid="{274E784B-AA1D-4C65-9CDB-F7ACC3F13800}"/>
    <cellStyle name="Note 3 4 11" xfId="10025" xr:uid="{C075BCD6-87AD-4CDB-833E-2568298A8490}"/>
    <cellStyle name="Note 3 4 2" xfId="1020" xr:uid="{00000000-0005-0000-0000-0000D5210000}"/>
    <cellStyle name="Note 3 4 2 2" xfId="3252" xr:uid="{00000000-0005-0000-0000-0000D6210000}"/>
    <cellStyle name="Note 3 4 2 2 2" xfId="7474" xr:uid="{00000000-0005-0000-0000-0000D7210000}"/>
    <cellStyle name="Note 3 4 2 2 2 2" xfId="16800" xr:uid="{9217E502-0616-4087-BA12-B53BFEB1ACB5}"/>
    <cellStyle name="Note 3 4 2 2 3" xfId="12583" xr:uid="{554B2861-6FE9-43C9-92B2-44F98E99C41E}"/>
    <cellStyle name="Note 3 4 2 3" xfId="5329" xr:uid="{00000000-0005-0000-0000-0000D8210000}"/>
    <cellStyle name="Note 3 4 2 3 2" xfId="14655" xr:uid="{234115F9-211B-4D0A-8BE5-87D9A92B2F5C}"/>
    <cellStyle name="Note 3 4 2 4" xfId="9421" xr:uid="{EC0A57E0-416C-4EC5-866A-A09E44531CB5}"/>
    <cellStyle name="Note 3 4 2 4 2" xfId="18736" xr:uid="{5DBE2824-2646-41D1-9FCE-0038F1C21907}"/>
    <cellStyle name="Note 3 4 2 5" xfId="10438" xr:uid="{1D6181A9-87CA-45FA-BF6F-F320F0FEB392}"/>
    <cellStyle name="Note 3 4 3" xfId="1435" xr:uid="{00000000-0005-0000-0000-0000D9210000}"/>
    <cellStyle name="Note 3 4 3 2" xfId="3665" xr:uid="{00000000-0005-0000-0000-0000DA210000}"/>
    <cellStyle name="Note 3 4 3 2 2" xfId="7887" xr:uid="{00000000-0005-0000-0000-0000DB210000}"/>
    <cellStyle name="Note 3 4 3 2 2 2" xfId="17213" xr:uid="{0BADFBA8-B159-4937-B4BF-122EC12081AD}"/>
    <cellStyle name="Note 3 4 3 2 3" xfId="12996" xr:uid="{E7514C21-2083-45D9-B963-FAE045D05F84}"/>
    <cellStyle name="Note 3 4 3 3" xfId="5742" xr:uid="{00000000-0005-0000-0000-0000DC210000}"/>
    <cellStyle name="Note 3 4 3 3 2" xfId="15068" xr:uid="{3F6B793A-E7EF-4C27-86BC-127A9D3D5634}"/>
    <cellStyle name="Note 3 4 3 4" xfId="10851" xr:uid="{1EB7B28B-A164-40D0-96AC-A2D0006D4374}"/>
    <cellStyle name="Note 3 4 4" xfId="1849" xr:uid="{00000000-0005-0000-0000-0000DD210000}"/>
    <cellStyle name="Note 3 4 4 2" xfId="4078" xr:uid="{00000000-0005-0000-0000-0000DE210000}"/>
    <cellStyle name="Note 3 4 4 2 2" xfId="8300" xr:uid="{00000000-0005-0000-0000-0000DF210000}"/>
    <cellStyle name="Note 3 4 4 2 2 2" xfId="17626" xr:uid="{C6855F78-2637-4FCD-A813-D5B872A82452}"/>
    <cellStyle name="Note 3 4 4 2 3" xfId="13409" xr:uid="{C41496CE-02B2-4D56-A9A3-DD18753348B3}"/>
    <cellStyle name="Note 3 4 4 3" xfId="6155" xr:uid="{00000000-0005-0000-0000-0000E0210000}"/>
    <cellStyle name="Note 3 4 4 3 2" xfId="15481" xr:uid="{E757A613-3358-428E-9AF1-DCFBE1230703}"/>
    <cellStyle name="Note 3 4 4 4" xfId="11264" xr:uid="{860505AD-FC85-4C8D-B6E6-7BBA25BB281A}"/>
    <cellStyle name="Note 3 4 5" xfId="2262" xr:uid="{00000000-0005-0000-0000-0000E1210000}"/>
    <cellStyle name="Note 3 4 5 2" xfId="4491" xr:uid="{00000000-0005-0000-0000-0000E2210000}"/>
    <cellStyle name="Note 3 4 5 2 2" xfId="8713" xr:uid="{00000000-0005-0000-0000-0000E3210000}"/>
    <cellStyle name="Note 3 4 5 2 2 2" xfId="18039" xr:uid="{C9B3A094-0F20-462E-A4C6-7A8C98CAB18A}"/>
    <cellStyle name="Note 3 4 5 2 3" xfId="13822" xr:uid="{75347773-DC1A-4114-89BE-A78D8C369465}"/>
    <cellStyle name="Note 3 4 5 3" xfId="6568" xr:uid="{00000000-0005-0000-0000-0000E4210000}"/>
    <cellStyle name="Note 3 4 5 3 2" xfId="15894" xr:uid="{525947FE-2E42-405B-8538-2F037EE1D89F}"/>
    <cellStyle name="Note 3 4 5 4" xfId="11677" xr:uid="{F73EBE16-E0A4-469E-9875-A400FB065070}"/>
    <cellStyle name="Note 3 4 6" xfId="2698" xr:uid="{00000000-0005-0000-0000-0000E5210000}"/>
    <cellStyle name="Note 3 4 6 2" xfId="6981" xr:uid="{00000000-0005-0000-0000-0000E6210000}"/>
    <cellStyle name="Note 3 4 6 2 2" xfId="16307" xr:uid="{B6058F4C-1988-4B06-8E18-1EA3669A792A}"/>
    <cellStyle name="Note 3 4 6 3" xfId="12090" xr:uid="{65CA29DA-588A-4427-A2B8-8180FD6D8724}"/>
    <cellStyle name="Note 3 4 7" xfId="2757" xr:uid="{00000000-0005-0000-0000-0000E7210000}"/>
    <cellStyle name="Note 3 4 8" xfId="2838" xr:uid="{00000000-0005-0000-0000-0000E8210000}"/>
    <cellStyle name="Note 3 4 8 2" xfId="7061" xr:uid="{00000000-0005-0000-0000-0000E9210000}"/>
    <cellStyle name="Note 3 4 8 2 2" xfId="16387" xr:uid="{B17DF3E7-E71F-4192-915A-8FF802717CD9}"/>
    <cellStyle name="Note 3 4 8 3" xfId="12170" xr:uid="{E007F96F-A358-4DFD-8034-F5B03D27557B}"/>
    <cellStyle name="Note 3 4 9" xfId="4916" xr:uid="{00000000-0005-0000-0000-0000EA210000}"/>
    <cellStyle name="Note 3 4 9 2" xfId="14242" xr:uid="{2DC0AC95-E729-4095-B655-EAE5F2CF4F46}"/>
    <cellStyle name="Note 3 5" xfId="561" xr:uid="{00000000-0005-0000-0000-0000EB210000}"/>
    <cellStyle name="Note 3 5 10" xfId="9213" xr:uid="{D9D7FB9A-B03C-4A97-A778-36731B43DF3F}"/>
    <cellStyle name="Note 3 5 10 2" xfId="18529" xr:uid="{F6F7D067-1F7E-4DD8-A29B-1D5FF1437048}"/>
    <cellStyle name="Note 3 5 11" xfId="10026" xr:uid="{E065C86A-B72F-4375-899D-131B7C1C5B1C}"/>
    <cellStyle name="Note 3 5 2" xfId="1021" xr:uid="{00000000-0005-0000-0000-0000EC210000}"/>
    <cellStyle name="Note 3 5 2 2" xfId="3253" xr:uid="{00000000-0005-0000-0000-0000ED210000}"/>
    <cellStyle name="Note 3 5 2 2 2" xfId="7475" xr:uid="{00000000-0005-0000-0000-0000EE210000}"/>
    <cellStyle name="Note 3 5 2 2 2 2" xfId="16801" xr:uid="{6BDD714D-6772-4F72-B299-8F3FA30A0AF8}"/>
    <cellStyle name="Note 3 5 2 2 3" xfId="12584" xr:uid="{0821CFBD-6CD1-4E74-9BDC-2E81F70215AA}"/>
    <cellStyle name="Note 3 5 2 3" xfId="5330" xr:uid="{00000000-0005-0000-0000-0000EF210000}"/>
    <cellStyle name="Note 3 5 2 3 2" xfId="14656" xr:uid="{2C3E8D9D-5BE6-4EA4-A4E2-6ED451FC4522}"/>
    <cellStyle name="Note 3 5 2 4" xfId="9611" xr:uid="{74765414-66B3-4FDA-BA21-3BFFEF98E338}"/>
    <cellStyle name="Note 3 5 2 4 2" xfId="18911" xr:uid="{E4E66762-046A-45F2-932A-E0FBE44A548D}"/>
    <cellStyle name="Note 3 5 2 5" xfId="10439" xr:uid="{272C8BEE-1A0C-4ED6-ABAC-3F0516C20EB7}"/>
    <cellStyle name="Note 3 5 3" xfId="1436" xr:uid="{00000000-0005-0000-0000-0000F0210000}"/>
    <cellStyle name="Note 3 5 3 2" xfId="3666" xr:uid="{00000000-0005-0000-0000-0000F1210000}"/>
    <cellStyle name="Note 3 5 3 2 2" xfId="7888" xr:uid="{00000000-0005-0000-0000-0000F2210000}"/>
    <cellStyle name="Note 3 5 3 2 2 2" xfId="17214" xr:uid="{CC9DB479-03A3-4DBC-82BB-2212CF721E1A}"/>
    <cellStyle name="Note 3 5 3 2 3" xfId="12997" xr:uid="{7FE7B95B-EB11-443B-B21A-FC92000675E5}"/>
    <cellStyle name="Note 3 5 3 3" xfId="5743" xr:uid="{00000000-0005-0000-0000-0000F3210000}"/>
    <cellStyle name="Note 3 5 3 3 2" xfId="15069" xr:uid="{FD2A7A22-6E2E-47B8-B807-8092F6AA8431}"/>
    <cellStyle name="Note 3 5 3 4" xfId="10852" xr:uid="{DC44DDB1-01F7-4E35-822B-B983D93900FC}"/>
    <cellStyle name="Note 3 5 4" xfId="1850" xr:uid="{00000000-0005-0000-0000-0000F4210000}"/>
    <cellStyle name="Note 3 5 4 2" xfId="4079" xr:uid="{00000000-0005-0000-0000-0000F5210000}"/>
    <cellStyle name="Note 3 5 4 2 2" xfId="8301" xr:uid="{00000000-0005-0000-0000-0000F6210000}"/>
    <cellStyle name="Note 3 5 4 2 2 2" xfId="17627" xr:uid="{BD78AE49-4CAE-4184-A057-DB8B30D48DBB}"/>
    <cellStyle name="Note 3 5 4 2 3" xfId="13410" xr:uid="{4E673486-0C76-4269-A985-8F6C68216D55}"/>
    <cellStyle name="Note 3 5 4 3" xfId="6156" xr:uid="{00000000-0005-0000-0000-0000F7210000}"/>
    <cellStyle name="Note 3 5 4 3 2" xfId="15482" xr:uid="{E0199C3E-A9AE-47FC-BF9F-5911145DCC4B}"/>
    <cellStyle name="Note 3 5 4 4" xfId="11265" xr:uid="{5203F4AB-E5C8-46E1-995A-2FD9D188D3DE}"/>
    <cellStyle name="Note 3 5 5" xfId="2263" xr:uid="{00000000-0005-0000-0000-0000F8210000}"/>
    <cellStyle name="Note 3 5 5 2" xfId="4492" xr:uid="{00000000-0005-0000-0000-0000F9210000}"/>
    <cellStyle name="Note 3 5 5 2 2" xfId="8714" xr:uid="{00000000-0005-0000-0000-0000FA210000}"/>
    <cellStyle name="Note 3 5 5 2 2 2" xfId="18040" xr:uid="{AA9353F7-78D9-4445-B717-1891879111AF}"/>
    <cellStyle name="Note 3 5 5 2 3" xfId="13823" xr:uid="{33C948B8-A07B-48FF-A770-893EBC2673D2}"/>
    <cellStyle name="Note 3 5 5 3" xfId="6569" xr:uid="{00000000-0005-0000-0000-0000FB210000}"/>
    <cellStyle name="Note 3 5 5 3 2" xfId="15895" xr:uid="{34881EA0-8312-483A-ADE6-74F9BA9D6FF1}"/>
    <cellStyle name="Note 3 5 5 4" xfId="11678" xr:uid="{CC1B67D8-08E4-4D52-B6F5-574349254320}"/>
    <cellStyle name="Note 3 5 6" xfId="2699" xr:uid="{00000000-0005-0000-0000-0000FC210000}"/>
    <cellStyle name="Note 3 5 6 2" xfId="6982" xr:uid="{00000000-0005-0000-0000-0000FD210000}"/>
    <cellStyle name="Note 3 5 6 2 2" xfId="16308" xr:uid="{7EB9D0D0-C8A6-4E9C-8CEF-0C630A7339C7}"/>
    <cellStyle name="Note 3 5 6 3" xfId="12091" xr:uid="{DA0AD49B-EFFA-4E79-A948-6A0F4782CAE8}"/>
    <cellStyle name="Note 3 5 7" xfId="2758" xr:uid="{00000000-0005-0000-0000-0000FE210000}"/>
    <cellStyle name="Note 3 5 8" xfId="2839" xr:uid="{00000000-0005-0000-0000-0000FF210000}"/>
    <cellStyle name="Note 3 5 8 2" xfId="7062" xr:uid="{00000000-0005-0000-0000-000000220000}"/>
    <cellStyle name="Note 3 5 8 2 2" xfId="16388" xr:uid="{BB1910D3-D7E1-466B-8DD9-6DE67DE8AA0B}"/>
    <cellStyle name="Note 3 5 8 3" xfId="12171" xr:uid="{5341D9DE-AB8E-4B19-A3DF-7096F5A49309}"/>
    <cellStyle name="Note 3 5 9" xfId="4917" xr:uid="{00000000-0005-0000-0000-000001220000}"/>
    <cellStyle name="Note 3 5 9 2" xfId="14243" xr:uid="{FA02A14A-D205-4D93-911E-210FBD86B05B}"/>
    <cellStyle name="Note 3 6" xfId="9588" xr:uid="{4A2A2C5B-BA67-4FBC-A2F1-7546BE1E0E7F}"/>
    <cellStyle name="Note 3 7" xfId="8789" xr:uid="{EE6BC007-A514-4F23-A927-A69B937DFEC6}"/>
    <cellStyle name="Note 3 7 2" xfId="18113" xr:uid="{F0A9630F-C01C-4DE2-AEEC-657A08D20CC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CC56D0DA-B84F-404D-98C4-93399BBC8BD2}"/>
    <cellStyle name="Percent 3 3" xfId="13826" xr:uid="{E3E95F16-E61C-49CE-A97F-99B6AF7F62F1}"/>
    <cellStyle name="Percent 4" xfId="4502" xr:uid="{00000000-0005-0000-0000-000007220000}"/>
    <cellStyle name="Percent 4 2" xfId="8717" xr:uid="{00000000-0005-0000-0000-000008220000}"/>
    <cellStyle name="Percent 4 2 2" xfId="18043" xr:uid="{BDE35663-E999-46F7-B0C0-610F3BB2518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4A5CD6E0-5EDB-4C11-BDA6-97BF44AFF829}"/>
    <cellStyle name="Percent 4 3 2 2 2 2 3" xfId="18059" xr:uid="{668CA597-28DF-4CFE-8A6B-CBA8D9BE0AA3}"/>
    <cellStyle name="Percent 4 3 2 2 2 3" xfId="18056" xr:uid="{47796992-C5A4-43AB-9EA6-3E676223CDCD}"/>
    <cellStyle name="Percent 4 3 2 2 3" xfId="18052" xr:uid="{6694C365-DF93-4F55-A708-E635A8248B7A}"/>
    <cellStyle name="Percent 4 3 2 3" xfId="18049" xr:uid="{C5D7CA93-38E2-4C96-8F46-DE6C15F472F0}"/>
    <cellStyle name="Percent 4 3 3" xfId="18046" xr:uid="{C95B060B-3067-425B-88B7-F5D6476B4282}"/>
    <cellStyle name="Percent 4 4" xfId="13829" xr:uid="{AB83B335-6C52-4978-BF01-C6AA3E68355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78468</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8" width="2.54296875" customWidth="1"/>
    <col min="39" max="16384" width="2.5429687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9" t="s">
        <v>1995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ht="13">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ht="13">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9" t="s">
        <v>1996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ht="13">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ht="13">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9" t="s">
        <v>2531</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4"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ht="13">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ht="13">
      <c r="A18" s="204"/>
      <c r="B18" s="204"/>
      <c r="C18" s="205"/>
      <c r="D18" s="519" t="s">
        <v>2530</v>
      </c>
      <c r="E18" s="441"/>
      <c r="G18" s="441"/>
      <c r="H18" s="441"/>
      <c r="I18" s="441"/>
      <c r="J18" s="1271" t="s">
        <v>2529</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9" t="s">
        <v>1997</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ht="13">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ht="13">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4"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ht="13">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ht="13">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ht="13">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ht="13">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ht="13">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9" t="s">
        <v>1998</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ht="13">
      <c r="A31" s="204"/>
      <c r="B31" s="204"/>
      <c r="C31" s="205"/>
      <c r="D31" s="455"/>
      <c r="E31" s="1277" t="s">
        <v>2609</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ht="13">
      <c r="A32" s="4"/>
      <c r="C32" s="2"/>
    </row>
    <row r="33" spans="1:38">
      <c r="A33" s="4"/>
      <c r="D33" s="1270" t="s">
        <v>2098</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76" t="s">
        <v>2610</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ht="13">
      <c r="A36" s="4"/>
      <c r="D36" s="120"/>
      <c r="E36" s="1276" t="s">
        <v>2611</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4" customHeight="1">
      <c r="A40" s="4"/>
      <c r="B40"/>
      <c r="C40" s="2"/>
      <c r="D40" s="4"/>
      <c r="E40" s="4" t="s">
        <v>653</v>
      </c>
      <c r="F40" s="1269" t="s">
        <v>1164</v>
      </c>
    </row>
    <row r="41" spans="1:38" s="1269" customFormat="1" ht="13.4"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ht="13">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4"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ht="13">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9" t="s">
        <v>2000</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ht="13">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ht="13">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4"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9" t="s">
        <v>1166</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ht="13">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ht="13">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4" customHeight="1">
      <c r="A67" s="4"/>
      <c r="C67" s="2"/>
      <c r="D67" s="4"/>
      <c r="E67" s="4"/>
      <c r="F67" t="s">
        <v>509</v>
      </c>
      <c r="G67" s="1269" t="s">
        <v>1167</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ht="13">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9" t="s">
        <v>1168</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ht="13">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ht="13">
      <c r="A72" s="4"/>
      <c r="C72" s="2"/>
      <c r="D72" s="4"/>
      <c r="E72" s="4"/>
      <c r="F72" s="8" t="s">
        <v>509</v>
      </c>
      <c r="G72" s="1269" t="s">
        <v>1169</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ht="13">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9" t="s">
        <v>1170</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ht="13">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ht="13">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9" t="s">
        <v>1171</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ht="13">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ht="13">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9" t="s">
        <v>1172</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ht="13">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ht="13">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9" t="s">
        <v>1173</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9" t="s">
        <v>1174</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ht="13">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ht="13">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ht="13">
      <c r="A98" s="4"/>
      <c r="D98" s="99"/>
      <c r="E98" s="1280" t="s">
        <v>1175</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ht="13">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2002</v>
      </c>
      <c r="F138" s="2"/>
      <c r="G138" s="2"/>
      <c r="H138" s="2"/>
    </row>
    <row r="139" spans="4:37">
      <c r="E139" t="s">
        <v>112</v>
      </c>
      <c r="F139" t="s">
        <v>52</v>
      </c>
    </row>
    <row r="140" spans="4:37">
      <c r="E140" t="s">
        <v>113</v>
      </c>
      <c r="F140" t="s">
        <v>466</v>
      </c>
    </row>
    <row r="141" spans="4:37"/>
    <row r="142" spans="4:37" ht="13">
      <c r="D142" s="2" t="s">
        <v>429</v>
      </c>
      <c r="E142" s="2" t="s">
        <v>2003</v>
      </c>
    </row>
    <row r="143" spans="4:37">
      <c r="E143" s="204" t="s">
        <v>2004</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9" t="s">
        <v>1176</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ht="13">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9" t="s">
        <v>1155</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ht="13">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ht="13">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4"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9" t="s">
        <v>1237</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ht="13">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ht="13">
      <c r="B350" s="2"/>
      <c r="E350" s="3" t="s">
        <v>113</v>
      </c>
      <c r="F350" s="1269" t="s">
        <v>1236</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ht="13">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ht="13">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ht="13">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ht="13">
      <c r="A367"/>
      <c r="B367" s="2"/>
      <c r="C367"/>
      <c r="D367"/>
      <c r="E367" s="1274" t="s">
        <v>1258</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9" t="s">
        <v>1269</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ht="13">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ht="13">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4"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8" workbookViewId="0">
      <selection activeCell="G136" sqref="G136:H138"/>
    </sheetView>
  </sheetViews>
  <sheetFormatPr defaultColWidth="9.1796875" defaultRowHeight="14"/>
  <cols>
    <col min="1" max="1" width="2.453125" style="1039" customWidth="1"/>
    <col min="2" max="9" width="14.54296875" style="1039" customWidth="1"/>
    <col min="10" max="10" width="2.453125" style="1039" customWidth="1"/>
    <col min="11" max="11" width="11.81640625" style="1040" customWidth="1"/>
    <col min="12" max="12" width="10.5429687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29542728</v>
      </c>
      <c r="I3" s="1099"/>
    </row>
    <row r="4" spans="1:13" s="1046" customFormat="1" ht="20.149999999999999" customHeight="1">
      <c r="B4" s="1088"/>
      <c r="D4" s="1102"/>
      <c r="F4" s="1087" t="s">
        <v>1965</v>
      </c>
      <c r="G4" s="1086" t="s">
        <v>1964</v>
      </c>
      <c r="H4" s="1201">
        <f>I18</f>
        <v>21005523.830000002</v>
      </c>
      <c r="I4" s="1089"/>
      <c r="K4" s="1050"/>
    </row>
    <row r="5" spans="1:13" s="1046" customFormat="1" ht="20.149999999999999" customHeight="1" thickBot="1">
      <c r="B5" s="1090"/>
      <c r="C5" s="1091"/>
      <c r="D5" s="1103"/>
      <c r="E5" s="1092"/>
      <c r="F5" s="1103" t="s">
        <v>1915</v>
      </c>
      <c r="G5" s="1104"/>
      <c r="H5" s="1100">
        <f>IFERROR(H3/H4,0)</f>
        <v>1.4064266256386904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1913</v>
      </c>
      <c r="C8" s="2664"/>
      <c r="D8" s="2664"/>
      <c r="E8" s="2665"/>
      <c r="G8" s="2666" t="s">
        <v>1914</v>
      </c>
      <c r="H8" s="2667"/>
      <c r="I8" s="2668"/>
      <c r="K8" s="1052"/>
    </row>
    <row r="9" spans="1:13" ht="15" customHeight="1">
      <c r="A9" s="1041"/>
      <c r="B9" s="2661" t="s">
        <v>1947</v>
      </c>
      <c r="C9" s="2661"/>
      <c r="D9" s="2661"/>
      <c r="E9" s="1054">
        <f>G33</f>
        <v>5415000.0000000009</v>
      </c>
      <c r="G9" s="2657" t="s">
        <v>1945</v>
      </c>
      <c r="H9" s="2657"/>
      <c r="I9" s="1055">
        <f>MAX(SUMIF(Application!M562:M573,"Loan, Tax-Exempt",Application!AM562:AM573),27.5%*SUM('Sources and Uses Budget'!C8,'Sources and Uses Budget'!S105,'Sources and Uses Budget'!T105))</f>
        <v>23773112.000000004</v>
      </c>
      <c r="K9" s="1056"/>
      <c r="M9" s="1057"/>
    </row>
    <row r="10" spans="1:13" ht="15" customHeight="1" thickBot="1">
      <c r="A10" s="1041"/>
      <c r="B10" s="2661" t="s">
        <v>1948</v>
      </c>
      <c r="C10" s="2661"/>
      <c r="D10" s="2661"/>
      <c r="E10" s="1055">
        <f>G47</f>
        <v>13455827.999999998</v>
      </c>
      <c r="G10" s="2659" t="s">
        <v>1916</v>
      </c>
      <c r="H10" s="2659"/>
      <c r="I10" s="1134">
        <f>IF(OR(Application!Z205="State Farmworker Credit",Application!Z205="$500M (Farmworker Housing)"),0,'Basis &amp; Credits'!AB78)</f>
        <v>4422222</v>
      </c>
      <c r="M10" s="1057"/>
    </row>
    <row r="11" spans="1:13" ht="15" customHeight="1">
      <c r="A11" s="1041"/>
      <c r="B11" s="2670" t="s">
        <v>2212</v>
      </c>
      <c r="C11" s="2671"/>
      <c r="D11" s="2672"/>
      <c r="E11" s="1055">
        <f>SUM(E13,E12)</f>
        <v>600000</v>
      </c>
      <c r="G11" s="2669" t="s">
        <v>1956</v>
      </c>
      <c r="H11" s="2669"/>
      <c r="I11" s="1133">
        <f>I9+I10</f>
        <v>28195334.000000004</v>
      </c>
      <c r="M11" s="1057"/>
    </row>
    <row r="12" spans="1:13" ht="15" customHeight="1">
      <c r="A12" s="1058"/>
      <c r="B12" s="2662" t="s">
        <v>2575</v>
      </c>
      <c r="C12" s="2662"/>
      <c r="D12" s="2662"/>
      <c r="E12" s="1158">
        <f>G56</f>
        <v>600000</v>
      </c>
      <c r="M12" s="1057"/>
    </row>
    <row r="13" spans="1:13" ht="15" customHeight="1">
      <c r="A13" s="1044"/>
      <c r="B13" s="2662" t="s">
        <v>2576</v>
      </c>
      <c r="C13" s="2662"/>
      <c r="D13" s="2662"/>
      <c r="E13" s="1158">
        <f>IF(G67,MAX(G65,G79),G65)</f>
        <v>0</v>
      </c>
      <c r="G13" s="2666" t="s">
        <v>1979</v>
      </c>
      <c r="H13" s="2667"/>
      <c r="I13" s="2668"/>
    </row>
    <row r="14" spans="1:13" ht="15" customHeight="1">
      <c r="A14" s="1044"/>
      <c r="B14" s="2670" t="s">
        <v>2213</v>
      </c>
      <c r="C14" s="2671"/>
      <c r="D14" s="2672"/>
      <c r="E14" s="1160">
        <f>MAX(E15,E16)+E17</f>
        <v>10071900</v>
      </c>
      <c r="G14" s="2657" t="s">
        <v>2592</v>
      </c>
      <c r="H14" s="2657"/>
      <c r="I14" s="1059">
        <f>IF(AND(G134="Yes",G136&lt;&gt;""),IF(OR(G141="Yes",G145="Yes"),18%,15%),0)</f>
        <v>0.15</v>
      </c>
      <c r="M14" s="1057"/>
    </row>
    <row r="15" spans="1:13" ht="15" customHeight="1">
      <c r="A15" s="1044"/>
      <c r="B15" s="2673" t="s">
        <v>2589</v>
      </c>
      <c r="C15" s="2674"/>
      <c r="D15" s="2675"/>
      <c r="E15" s="1158">
        <f>G94</f>
        <v>2166000</v>
      </c>
      <c r="G15" s="1131" t="s">
        <v>1957</v>
      </c>
      <c r="H15" s="1131"/>
      <c r="I15" s="1059">
        <f>IF(Application!AJ1041&gt;0,10%,IF(Application!AJ1045&gt;0,5%,0))</f>
        <v>0.05</v>
      </c>
      <c r="M15" s="1057"/>
    </row>
    <row r="16" spans="1:13" ht="15" customHeight="1">
      <c r="A16" s="1044"/>
      <c r="B16" s="2673" t="s">
        <v>2590</v>
      </c>
      <c r="C16" s="2674"/>
      <c r="D16" s="2675"/>
      <c r="E16" s="1158">
        <f>G104</f>
        <v>0</v>
      </c>
      <c r="G16" s="2657" t="s">
        <v>1958</v>
      </c>
      <c r="H16" s="2657"/>
      <c r="I16" s="1059">
        <f>G155</f>
        <v>5.5E-2</v>
      </c>
    </row>
    <row r="17" spans="1:21" ht="15" customHeight="1" thickBot="1">
      <c r="A17" s="1044"/>
      <c r="B17" s="2673" t="s">
        <v>2591</v>
      </c>
      <c r="C17" s="2674"/>
      <c r="D17" s="2675"/>
      <c r="E17" s="1158">
        <f>G129</f>
        <v>7905900</v>
      </c>
      <c r="G17" s="2657" t="s">
        <v>2221</v>
      </c>
      <c r="H17" s="2657"/>
      <c r="I17" s="1059">
        <f>IF(AND(G161="Yes",G159),IF(G165&gt;15%,15%,G165),0)</f>
        <v>0</v>
      </c>
    </row>
    <row r="18" spans="1:21" ht="15" customHeight="1">
      <c r="A18" s="1041"/>
      <c r="B18" s="2658" t="s">
        <v>1912</v>
      </c>
      <c r="C18" s="2658"/>
      <c r="D18" s="2658"/>
      <c r="E18" s="1105">
        <f>SUM(E9:E11,E14)</f>
        <v>29542728</v>
      </c>
      <c r="G18" s="1132" t="s">
        <v>1946</v>
      </c>
      <c r="H18" s="1132"/>
      <c r="I18" s="1106">
        <f>I11-((I11*I14)+(I11*I15)+(I11*I16)+(I11*I17))</f>
        <v>21005523.830000002</v>
      </c>
      <c r="M18" s="1060">
        <f>SUM(Cdlac[Quantity])</f>
        <v>95</v>
      </c>
      <c r="O18" s="1079" t="s">
        <v>582</v>
      </c>
      <c r="P18" s="1039">
        <f>MATCH(Application!T189,Application!CB160:CB217,0)</f>
        <v>1</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26</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9</v>
      </c>
      <c r="N21" s="1066">
        <f>Application!AC727</f>
        <v>0.4</v>
      </c>
      <c r="O21" s="1066">
        <f>IF(Cdlac[[#This Row],[Quantity]]&gt;0,IF(Cdlac[[#This Row],[Federal]],30%,IF(AND(OR(NOT($G$38),$G$38=""),$G$43),40%,Cdlac[[#This Row],[iAMI]])),"")</f>
        <v>0.4</v>
      </c>
      <c r="P21" s="1060" cm="1">
        <f t="array" ref="P21">IF(Cdlac[[#This Row],[Quantity]]&gt;0,INDEX(TcacRents,$P$18,Cdlac[[#This Row],[Bedrooms]]+1)*Cdlac[[#This Row],[AMI]],"")</f>
        <v>1118.4000000000001</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818.59999999999991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2536</v>
      </c>
      <c r="G22" s="2647" t="s">
        <v>1959</v>
      </c>
      <c r="H22" s="1065"/>
      <c r="I22" s="1064"/>
      <c r="L22" s="1039">
        <f>IFERROR(MIN(4,MATCH(Application!B728,UnitSizes,0)-1),"")</f>
        <v>0</v>
      </c>
      <c r="M22" s="1060">
        <f>Application!G728</f>
        <v>9</v>
      </c>
      <c r="N22" s="1066">
        <f>Application!AC728</f>
        <v>0.5</v>
      </c>
      <c r="O22" s="1066">
        <f>IF(Cdlac[[#This Row],[Quantity]]&gt;0,IF(Cdlac[[#This Row],[Federal]],30%,IF(AND(OR(NOT($G$38),$G$38=""),$G$43),40%,Cdlac[[#This Row],[iAMI]])),"")</f>
        <v>0.5</v>
      </c>
      <c r="P22" s="1060" cm="1">
        <f t="array" ref="P22">IF(Cdlac[[#This Row],[Quantity]]&gt;0,INDEX(TcacRents,$P$18,Cdlac[[#This Row],[Bedrooms]]+1)*Cdlac[[#This Row],[AMI]],"")</f>
        <v>1398</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539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0</v>
      </c>
      <c r="M23" s="1060">
        <f>Application!G729</f>
        <v>3</v>
      </c>
      <c r="N23" s="1066">
        <f>Application!AC729</f>
        <v>0.6</v>
      </c>
      <c r="O23" s="1066">
        <f>IF(Cdlac[[#This Row],[Quantity]]&gt;0,IF(Cdlac[[#This Row],[Federal]],30%,IF(AND(OR(NOT($G$38),$G$38=""),$G$43),40%,Cdlac[[#This Row],[iAMI]])),"")</f>
        <v>0.6</v>
      </c>
      <c r="P23" s="1060" cm="1">
        <f t="array" ref="P23">IF(Cdlac[[#This Row],[Quantity]]&gt;0,INDEX(TcacRents,$P$18,Cdlac[[#This Row],[Bedrooms]]+1)*Cdlac[[#This Row],[AMI]],"")</f>
        <v>1677.6</v>
      </c>
      <c r="Q23" s="1157"/>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259.40000000000009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47</v>
      </c>
      <c r="F24" s="1067">
        <f>E24</f>
        <v>47</v>
      </c>
      <c r="G24" s="1067">
        <f>D24*F24</f>
        <v>42.300000000000004</v>
      </c>
      <c r="L24" s="1039">
        <f>IFERROR(MIN(4,MATCH(Application!B730,UnitSizes,0)-1),"")</f>
        <v>2</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1078.8</v>
      </c>
      <c r="Q24" s="1157"/>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2</v>
      </c>
      <c r="N25" s="1066">
        <f>Application!AC731</f>
        <v>0.4</v>
      </c>
      <c r="O25" s="1066">
        <f>IF(Cdlac[[#This Row],[Quantity]]&gt;0,IF(Cdlac[[#This Row],[Federal]],30%,IF(AND(OR(NOT($G$38),$G$38=""),$G$43),40%,Cdlac[[#This Row],[iAMI]])),"")</f>
        <v>0.4</v>
      </c>
      <c r="P25" s="1060" cm="1">
        <f t="array" ref="P25">IF(Cdlac[[#This Row],[Quantity]]&gt;0,INDEX(TcacRents,$P$18,Cdlac[[#This Row],[Bedrooms]]+1)*Cdlac[[#This Row],[AMI]],"")</f>
        <v>1438.4</v>
      </c>
      <c r="Q25" s="1157"/>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1243.5999999999999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24</v>
      </c>
      <c r="F26" s="1070">
        <f>SUM(E26:E28)-SUM(F27:F28)</f>
        <v>24</v>
      </c>
      <c r="G26" s="1067">
        <f>D26*F26</f>
        <v>30</v>
      </c>
      <c r="H26" s="1069"/>
      <c r="I26" s="1069"/>
      <c r="L26" s="1039">
        <f>IFERROR(MIN(4,MATCH(Application!B732,UnitSizes,0)-1),"")</f>
        <v>2</v>
      </c>
      <c r="M26" s="1060">
        <f>Application!G732</f>
        <v>4</v>
      </c>
      <c r="N26" s="1066">
        <f>Application!AC732</f>
        <v>0.5</v>
      </c>
      <c r="O26" s="1066">
        <f>IF(Cdlac[[#This Row],[Quantity]]&gt;0,IF(Cdlac[[#This Row],[Federal]],30%,IF(AND(OR(NOT($G$38),$G$38=""),$G$43),40%,Cdlac[[#This Row],[iAMI]])),"")</f>
        <v>0.5</v>
      </c>
      <c r="P26" s="1060" cm="1">
        <f t="array" ref="P26">IF(Cdlac[[#This Row],[Quantity]]&gt;0,INDEX(TcacRents,$P$18,Cdlac[[#This Row],[Bedrooms]]+1)*Cdlac[[#This Row],[AMI]],"")</f>
        <v>1798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884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f>IFERROR(MIN(4,MATCH(Application!B733,UnitSizes,0)-1),"")</f>
        <v>2</v>
      </c>
      <c r="M27" s="1060">
        <f>Application!G733</f>
        <v>4</v>
      </c>
      <c r="N27" s="1066">
        <f>Application!AC733</f>
        <v>0.6</v>
      </c>
      <c r="O27" s="1066">
        <f>IF(Cdlac[[#This Row],[Quantity]]&gt;0,IF(Cdlac[[#This Row],[Federal]],30%,IF(AND(OR(NOT($G$38),$G$38=""),$G$43),40%,Cdlac[[#This Row],[iAMI]])),"")</f>
        <v>0.6</v>
      </c>
      <c r="P27" s="1060" cm="1">
        <f t="array" ref="P27">IF(Cdlac[[#This Row],[Quantity]]&gt;0,INDEX(TcacRents,$P$18,Cdlac[[#This Row],[Bedrooms]]+1)*Cdlac[[#This Row],[AMI]],"")</f>
        <v>2157.6</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524.40000000000009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6</v>
      </c>
      <c r="N28" s="1066">
        <f>Application!AC734</f>
        <v>0.7</v>
      </c>
      <c r="O28" s="1066">
        <f>IF(Cdlac[[#This Row],[Quantity]]&gt;0,IF(Cdlac[[#This Row],[Federal]],30%,IF(AND(OR(NOT($G$38),$G$38=""),$G$43),40%,Cdlac[[#This Row],[iAMI]])),"")</f>
        <v>0.7</v>
      </c>
      <c r="P28" s="1060" cm="1">
        <f t="array" ref="P28">IF(Cdlac[[#This Row],[Quantity]]&gt;0,INDEX(TcacRents,$P$18,Cdlac[[#This Row],[Bedrooms]]+1)*Cdlac[[#This Row],[AMI]],"")</f>
        <v>2517.1999999999998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164.80000000000018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7" t="s">
        <v>1575</v>
      </c>
      <c r="D29" s="2678"/>
      <c r="E29" s="1084">
        <f>SUM(E24:E28)</f>
        <v>95</v>
      </c>
      <c r="F29" s="1084">
        <f>SUM(F24:F28)</f>
        <v>95</v>
      </c>
      <c r="G29" s="1085">
        <f>SUMPRODUCT(D24:D28,F24:F28)</f>
        <v>108.30000000000001</v>
      </c>
      <c r="H29" s="1069"/>
      <c r="I29" s="1069"/>
      <c r="L29" s="1039">
        <f>IFERROR(MIN(4,MATCH(Application!B735,UnitSizes,0)-1),"")</f>
        <v>2</v>
      </c>
      <c r="M29" s="1060">
        <f>Application!G735</f>
        <v>6</v>
      </c>
      <c r="N29" s="1066">
        <f>Application!AC735</f>
        <v>0.8</v>
      </c>
      <c r="O29" s="1066">
        <f>IF(Cdlac[[#This Row],[Quantity]]&gt;0,IF(Cdlac[[#This Row],[Federal]],30%,IF(AND(OR(NOT($G$38),$G$38=""),$G$43),40%,Cdlac[[#This Row],[iAMI]])),"")</f>
        <v>0.8</v>
      </c>
      <c r="P29" s="1060" cm="1">
        <f t="array" ref="P29">IF(Cdlac[[#This Row],[Quantity]]&gt;0,INDEX(TcacRents,$P$18,Cdlac[[#This Row],[Bedrooms]]+1)*Cdlac[[#This Row],[AMI]],"")</f>
        <v>2876.8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0</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0.3</v>
      </c>
      <c r="O30" s="1066">
        <f>IF(Cdlac[[#This Row],[Quantity]]&gt;0,IF(Cdlac[[#This Row],[Federal]],30%,IF(AND(OR(NOT($G$38),$G$38=""),$G$43),40%,Cdlac[[#This Row],[iAMI]])),"")</f>
        <v>0.3</v>
      </c>
      <c r="P30" s="1060" cm="1">
        <f t="array" ref="P30">IF(Cdlac[[#This Row],[Quantity]]&gt;0,INDEX(TcacRents,$P$18,Cdlac[[#This Row],[Bedrooms]]+1)*Cdlac[[#This Row],[AMI]],"")</f>
        <v>1246.2</v>
      </c>
      <c r="Q30" s="1157"/>
      <c r="R30" s="1060" cm="1">
        <f t="array" ref="R30">IF(Cdlac[[#This Row],[Quantity]]&gt;0,INDEX(HudFmrs,$P$18,Cdlac[[#This Row],[Bedrooms]]+1),"")</f>
        <v>3432</v>
      </c>
      <c r="S30" s="1060">
        <f>IF(Cdlac[[#This Row],[Quantity]]&gt;0,MAX(0,Cdlac[[#This Row],[Fair Market Rent]]-IF(AND($G$37,$G$38,$G$38&lt;&gt;"",NOT(Cdlac[[#This Row],[Federal]]),Cdlac[[#This Row],[Preservation Rent]]&lt;&gt;""),Cdlac[[#This Row],[Preservation Rent]],Cdlac[[#This Row],[Restricted Rent]])),"")</f>
        <v>2185.8000000000002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108.30000000000001</v>
      </c>
      <c r="H31" s="1069"/>
      <c r="I31" s="1069"/>
      <c r="L31" s="1039">
        <f>IFERROR(MIN(4,MATCH(Application!B737,UnitSizes,0)-1),"")</f>
        <v>3</v>
      </c>
      <c r="M31" s="1060">
        <f>Application!G737</f>
        <v>2</v>
      </c>
      <c r="N31" s="1066">
        <f>Application!AC737</f>
        <v>0.4</v>
      </c>
      <c r="O31" s="1066">
        <f>IF(Cdlac[[#This Row],[Quantity]]&gt;0,IF(Cdlac[[#This Row],[Federal]],30%,IF(AND(OR(NOT($G$38),$G$38=""),$G$43),40%,Cdlac[[#This Row],[iAMI]])),"")</f>
        <v>0.4</v>
      </c>
      <c r="P31" s="1060" cm="1">
        <f t="array" ref="P31">IF(Cdlac[[#This Row],[Quantity]]&gt;0,INDEX(TcacRents,$P$18,Cdlac[[#This Row],[Bedrooms]]+1)*Cdlac[[#This Row],[AMI]],"")</f>
        <v>1661.6000000000001</v>
      </c>
      <c r="Q31" s="1157"/>
      <c r="R31" s="1060" cm="1">
        <f t="array" ref="R31">IF(Cdlac[[#This Row],[Quantity]]&gt;0,INDEX(HudFmrs,$P$18,Cdlac[[#This Row],[Bedrooms]]+1),"")</f>
        <v>3432</v>
      </c>
      <c r="S31" s="1060">
        <f>IF(Cdlac[[#This Row],[Quantity]]&gt;0,MAX(0,Cdlac[[#This Row],[Fair Market Rent]]-IF(AND($G$37,$G$38,$G$38&lt;&gt;"",NOT(Cdlac[[#This Row],[Federal]]),Cdlac[[#This Row],[Preservation Rent]]&lt;&gt;""),Cdlac[[#This Row],[Preservation Rent]],Cdlac[[#This Row],[Restricted Rent]])),"")</f>
        <v>1770.3999999999999</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f>IFERROR(MIN(4,MATCH(Application!B738,UnitSizes,0)-1),"")</f>
        <v>3</v>
      </c>
      <c r="M32" s="1060">
        <f>Application!G738</f>
        <v>4</v>
      </c>
      <c r="N32" s="1066">
        <f>Application!AC738</f>
        <v>0.5</v>
      </c>
      <c r="O32" s="1066">
        <f>IF(Cdlac[[#This Row],[Quantity]]&gt;0,IF(Cdlac[[#This Row],[Federal]],30%,IF(AND(OR(NOT($G$38),$G$38=""),$G$43),40%,Cdlac[[#This Row],[iAMI]])),"")</f>
        <v>0.5</v>
      </c>
      <c r="P32" s="1060" cm="1">
        <f t="array" ref="P32">IF(Cdlac[[#This Row],[Quantity]]&gt;0,INDEX(TcacRents,$P$18,Cdlac[[#This Row],[Bedrooms]]+1)*Cdlac[[#This Row],[AMI]],"")</f>
        <v>2077</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1355</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5415000.0000000009</v>
      </c>
      <c r="H33" s="1069"/>
      <c r="I33" s="1069"/>
      <c r="L33" s="1039">
        <f>IFERROR(MIN(4,MATCH(Application!B739,UnitSizes,0)-1),"")</f>
        <v>3</v>
      </c>
      <c r="M33" s="1060">
        <f>Application!G739</f>
        <v>4</v>
      </c>
      <c r="N33" s="1066">
        <f>Application!AC739</f>
        <v>0.6</v>
      </c>
      <c r="O33" s="1066">
        <f>IF(Cdlac[[#This Row],[Quantity]]&gt;0,IF(Cdlac[[#This Row],[Federal]],30%,IF(AND(OR(NOT($G$38),$G$38=""),$G$43),40%,Cdlac[[#This Row],[iAMI]])),"")</f>
        <v>0.6</v>
      </c>
      <c r="P33" s="1060" cm="1">
        <f t="array" ref="P33">IF(Cdlac[[#This Row],[Quantity]]&gt;0,INDEX(TcacRents,$P$18,Cdlac[[#This Row],[Bedrooms]]+1)*Cdlac[[#This Row],[AMI]],"")</f>
        <v>2492.4</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939.59999999999991</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6</v>
      </c>
      <c r="N34" s="1066">
        <f>Application!AC740</f>
        <v>0.7</v>
      </c>
      <c r="O34" s="1066">
        <f>IF(Cdlac[[#This Row],[Quantity]]&gt;0,IF(Cdlac[[#This Row],[Federal]],30%,IF(AND(OR(NOT($G$38),$G$38=""),$G$43),40%,Cdlac[[#This Row],[iAMI]])),"")</f>
        <v>0.7</v>
      </c>
      <c r="P34" s="1060" cm="1">
        <f t="array" ref="P34">IF(Cdlac[[#This Row],[Quantity]]&gt;0,INDEX(TcacRents,$P$18,Cdlac[[#This Row],[Bedrooms]]+1)*Cdlac[[#This Row],[AMI]],"")</f>
        <v>2907.7999999999997</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524.20000000000027</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6</v>
      </c>
      <c r="N35" s="1066">
        <f>Application!AC741</f>
        <v>0.8</v>
      </c>
      <c r="O35" s="1066">
        <f>IF(Cdlac[[#This Row],[Quantity]]&gt;0,IF(Cdlac[[#This Row],[Federal]],30%,IF(AND(OR(NOT($G$38),$G$38=""),$G$43),40%,Cdlac[[#This Row],[iAMI]])),"")</f>
        <v>0.8</v>
      </c>
      <c r="P35" s="1060" cm="1">
        <f t="array" ref="P35">IF(Cdlac[[#This Row],[Quantity]]&gt;0,INDEX(TcacRents,$P$18,Cdlac[[#This Row],[Bedrooms]]+1)*Cdlac[[#This Row],[AMI]],"")</f>
        <v>3323.2000000000003</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108.79999999999973</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0.49789473684210522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74754.599999999991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13455827.999999998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600000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47</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9" t="s">
        <v>1943</v>
      </c>
      <c r="M83" s="2650"/>
      <c r="N83" s="1125">
        <v>30000</v>
      </c>
    </row>
    <row r="84" spans="2:14" ht="15" customHeight="1">
      <c r="C84" s="1072" t="s">
        <v>1955</v>
      </c>
      <c r="G84" s="1076" t="str">
        <f>IF(Application!D211="Large Family","Yes","No")</f>
        <v>Yes</v>
      </c>
      <c r="L84" s="2653" t="s">
        <v>1911</v>
      </c>
      <c r="M84" s="2654"/>
      <c r="N84" s="1126">
        <v>20000</v>
      </c>
    </row>
    <row r="85" spans="2:14" ht="15" customHeight="1" thickBot="1">
      <c r="C85" s="1072" t="s">
        <v>1941</v>
      </c>
      <c r="G85" s="1038" t="s">
        <v>669</v>
      </c>
      <c r="L85" s="2655" t="s">
        <v>1944</v>
      </c>
      <c r="M85" s="2656"/>
      <c r="N85" s="1127">
        <v>10000</v>
      </c>
    </row>
    <row r="86" spans="2:14" ht="15" customHeight="1" thickBot="1">
      <c r="C86" s="1072" t="s">
        <v>1942</v>
      </c>
      <c r="G86" s="1039" t="str">
        <f>Application!T193</f>
        <v>High Resource</v>
      </c>
    </row>
    <row r="87" spans="2:14" ht="15" customHeight="1">
      <c r="C87" s="2683" t="s">
        <v>2211</v>
      </c>
      <c r="D87" s="2683"/>
      <c r="E87" s="2683"/>
      <c r="F87" s="2683"/>
      <c r="G87" s="1038" t="s">
        <v>669</v>
      </c>
      <c r="L87" s="1121" t="str">
        <f>'Points System'!H651</f>
        <v>(i)</v>
      </c>
      <c r="M87" s="2651" t="s">
        <v>1397</v>
      </c>
      <c r="N87" s="2652"/>
    </row>
    <row r="88" spans="2:14" ht="15" customHeight="1">
      <c r="C88" s="2683"/>
      <c r="D88" s="2683"/>
      <c r="E88" s="2683"/>
      <c r="F88" s="2683"/>
      <c r="L88" s="1122" t="str">
        <f>'Points System'!H663</f>
        <v>(i)</v>
      </c>
      <c r="M88" s="2643" t="s">
        <v>1930</v>
      </c>
      <c r="N88" s="2644"/>
    </row>
    <row r="89" spans="2:14" ht="15" customHeight="1">
      <c r="C89" s="1072"/>
      <c r="L89" s="1122" t="str">
        <f>'Points System'!H698</f>
        <v>(i)</v>
      </c>
      <c r="M89" s="2643" t="s">
        <v>1931</v>
      </c>
      <c r="N89" s="2644"/>
    </row>
    <row r="90" spans="2:14" ht="15" customHeight="1">
      <c r="E90" s="1079" t="s">
        <v>1973</v>
      </c>
      <c r="G90" s="1074" t="b">
        <f>OR(AND(COUNTIFS(G84:G85,"Yes")&gt;=1,G83="Yes"),G87="Yes")</f>
        <v>1</v>
      </c>
      <c r="L90" s="1122" t="str">
        <f>IF(OR('Points System'!H722="(ii)",'Points System'!H722="(i)"),"(i)","N/A")</f>
        <v>N/A</v>
      </c>
      <c r="M90" s="2643" t="s">
        <v>1932</v>
      </c>
      <c r="N90" s="2644"/>
    </row>
    <row r="91" spans="2:14" ht="15" customHeight="1">
      <c r="E91" s="1079"/>
      <c r="G91" s="1074"/>
      <c r="L91" s="1123" t="str">
        <f>'Points System'!H736</f>
        <v>N/A</v>
      </c>
      <c r="M91" s="2643" t="s">
        <v>1423</v>
      </c>
      <c r="N91" s="2644"/>
    </row>
    <row r="92" spans="2:14" ht="15" customHeight="1">
      <c r="E92" s="1079" t="s">
        <v>1918</v>
      </c>
      <c r="G92" s="1073">
        <f>IFERROR(IF($G$87="Yes",30000,INDEX(N83:N85,MATCH(LEFT(G86,17),L83:L85,0))),0)</f>
        <v>20000</v>
      </c>
      <c r="L92" s="1122" t="str">
        <f>'Points System'!H748</f>
        <v>N/A</v>
      </c>
      <c r="M92" s="2643" t="s">
        <v>1933</v>
      </c>
      <c r="N92" s="2644"/>
    </row>
    <row r="93" spans="2:14" ht="15" customHeight="1">
      <c r="E93" s="1079" t="str">
        <f>E110</f>
        <v>Bedroom-Adjusted Low-Income Units</v>
      </c>
      <c r="F93" s="1107" t="s">
        <v>1966</v>
      </c>
      <c r="G93" s="1108">
        <f>G29</f>
        <v>108.30000000000001</v>
      </c>
      <c r="L93" s="1122" t="str">
        <f>'Points System'!H764</f>
        <v>(i)</v>
      </c>
      <c r="M93" s="2643" t="s">
        <v>1934</v>
      </c>
      <c r="N93" s="2644"/>
    </row>
    <row r="94" spans="2:14" ht="15" customHeight="1" thickBot="1">
      <c r="D94" s="1041"/>
      <c r="E94" s="1112" t="s">
        <v>2214</v>
      </c>
      <c r="F94" s="1041"/>
      <c r="G94" s="1117">
        <f>G93*G92*G90</f>
        <v>2166000</v>
      </c>
      <c r="L94" s="1124" t="str">
        <f>'Points System'!H776</f>
        <v>(i)</v>
      </c>
      <c r="M94" s="2645" t="s">
        <v>1426</v>
      </c>
      <c r="N94" s="264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108.30000000000001</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108.30000000000001</v>
      </c>
    </row>
    <row r="111" spans="2:9" ht="15" customHeight="1">
      <c r="E111" s="1112" t="s">
        <v>1935</v>
      </c>
      <c r="F111" s="1041"/>
      <c r="G111" s="1117">
        <f>G108*G109*G110</f>
        <v>3032400.0000000005</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2166000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4.5">
      <c r="E125" s="1079" t="s">
        <v>1970</v>
      </c>
      <c r="F125" s="1107" t="s">
        <v>1966</v>
      </c>
      <c r="G125" s="1108">
        <f>G29</f>
        <v>108.30000000000001</v>
      </c>
    </row>
    <row r="126" spans="2:7" ht="14.5">
      <c r="E126" s="1079" t="s">
        <v>1918</v>
      </c>
      <c r="F126" s="1107" t="s">
        <v>1966</v>
      </c>
      <c r="G126" s="1118">
        <v>25000</v>
      </c>
    </row>
    <row r="127" spans="2:7">
      <c r="E127" s="1112" t="s">
        <v>1937</v>
      </c>
      <c r="F127" s="1041"/>
      <c r="G127" s="1117">
        <f>G123*G126*G110</f>
        <v>2707500.0000000005</v>
      </c>
    </row>
    <row r="128" spans="2:7">
      <c r="C128" s="1072"/>
      <c r="E128" s="1072"/>
    </row>
    <row r="129" spans="2:9">
      <c r="E129" s="1112" t="s">
        <v>2216</v>
      </c>
      <c r="G129" s="1117">
        <f>G127+G115+G111</f>
        <v>7905900</v>
      </c>
    </row>
    <row r="131" spans="2:9">
      <c r="B131" s="1061" t="s">
        <v>139</v>
      </c>
      <c r="C131" s="1062"/>
      <c r="D131" s="1062"/>
      <c r="E131" s="1062"/>
      <c r="F131" s="1062"/>
      <c r="G131" s="1062"/>
      <c r="H131" s="1062"/>
      <c r="I131" s="1063"/>
    </row>
    <row r="133" spans="2:9">
      <c r="C133" s="2679" t="s">
        <v>2182</v>
      </c>
      <c r="D133" s="2679"/>
      <c r="E133" s="2679"/>
      <c r="F133" s="2679"/>
    </row>
    <row r="134" spans="2:9">
      <c r="C134" s="2679"/>
      <c r="D134" s="2679"/>
      <c r="E134" s="2679"/>
      <c r="F134" s="2679"/>
      <c r="G134" s="1038" t="s">
        <v>545</v>
      </c>
    </row>
    <row r="135" spans="2:9" ht="14.25" customHeight="1"/>
    <row r="136" spans="2:9">
      <c r="C136" s="1039" t="s">
        <v>2184</v>
      </c>
      <c r="G136" s="2681" t="str">
        <f>Application!D1009</f>
        <v>LHTF Funding and AB2011 approval</v>
      </c>
      <c r="H136" s="2681"/>
    </row>
    <row r="137" spans="2:9">
      <c r="G137" s="2681"/>
      <c r="H137" s="2681"/>
    </row>
    <row r="138" spans="2:9">
      <c r="G138" s="2682"/>
      <c r="H138" s="2682"/>
    </row>
    <row r="140" spans="2:9">
      <c r="C140" s="2679" t="s">
        <v>2594</v>
      </c>
      <c r="D140" s="2679"/>
      <c r="E140" s="2679"/>
      <c r="F140" s="2679"/>
    </row>
    <row r="141" spans="2:9">
      <c r="C141" s="2679"/>
      <c r="D141" s="2679"/>
      <c r="E141" s="2679"/>
      <c r="F141" s="2679"/>
      <c r="G141" s="1038"/>
    </row>
    <row r="142" spans="2:9">
      <c r="C142" s="2679"/>
      <c r="D142" s="2679"/>
      <c r="E142" s="2679"/>
      <c r="F142" s="2679"/>
    </row>
    <row r="144" spans="2:9">
      <c r="C144" s="2679" t="s">
        <v>2593</v>
      </c>
      <c r="D144" s="2679"/>
      <c r="E144" s="2679"/>
      <c r="F144" s="2679"/>
    </row>
    <row r="145" spans="2:9">
      <c r="C145" s="2679"/>
      <c r="D145" s="2679"/>
      <c r="E145" s="2679"/>
      <c r="F145" s="2679"/>
      <c r="G145" s="1038"/>
    </row>
    <row r="146" spans="2:9">
      <c r="C146" s="2679"/>
      <c r="D146" s="2679"/>
      <c r="E146" s="2679"/>
      <c r="F146" s="2679"/>
    </row>
    <row r="147" spans="2:9">
      <c r="C147" s="2679"/>
      <c r="D147" s="2679"/>
      <c r="E147" s="2679"/>
      <c r="F147" s="2679"/>
    </row>
    <row r="149" spans="2:9">
      <c r="B149" s="1061" t="s">
        <v>1975</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1974</v>
      </c>
      <c r="G154" s="1073">
        <f>MEDIAN((Application!CU160:CU217))</f>
        <v>560000</v>
      </c>
    </row>
    <row r="155" spans="2:9">
      <c r="D155" s="1041"/>
      <c r="E155" s="1112" t="s">
        <v>1976</v>
      </c>
      <c r="F155" s="1128"/>
      <c r="G155" s="1129">
        <f>((G153-G154)/G154)*0.25</f>
        <v>5.5E-2</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76" t="s">
        <v>2218</v>
      </c>
      <c r="D160" s="2676"/>
      <c r="E160" s="2676"/>
      <c r="F160" s="2676"/>
    </row>
    <row r="161" spans="2:7">
      <c r="B161" s="1040"/>
      <c r="C161" s="2676"/>
      <c r="D161" s="2676"/>
      <c r="E161" s="2676"/>
      <c r="F161" s="2676"/>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3565966.8000000003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54296875" style="304" customWidth="1"/>
    <col min="3" max="3" width="11" style="304" customWidth="1"/>
    <col min="4" max="4" width="15.54296875" style="304" customWidth="1"/>
    <col min="5" max="5" width="3.54296875" style="304" customWidth="1"/>
    <col min="6" max="7" width="15.54296875" style="304" customWidth="1"/>
    <col min="8" max="8" width="3.54296875" style="304" customWidth="1"/>
    <col min="9" max="10" width="15.54296875" style="304" customWidth="1"/>
    <col min="11" max="11" width="3.453125" style="304" customWidth="1"/>
    <col min="12" max="17" width="15.54296875" style="304" customWidth="1"/>
    <col min="18" max="16384" width="9.179687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84.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26</v>
      </c>
      <c r="C4" s="1155"/>
      <c r="D4" s="428">
        <f>Application!O726</f>
        <v>744</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9</v>
      </c>
      <c r="C5" s="1155"/>
      <c r="D5" s="428">
        <f>Application!O727</f>
        <v>1024</v>
      </c>
      <c r="E5" s="429"/>
      <c r="F5" s="1078"/>
      <c r="G5" s="428">
        <f t="shared" ref="G5:G38" si="2">F5*B5</f>
        <v>0</v>
      </c>
      <c r="H5" s="429"/>
      <c r="I5" s="428" t="str">
        <f t="shared" si="0"/>
        <v/>
      </c>
      <c r="J5" s="428" t="str">
        <f t="shared" si="1"/>
        <v/>
      </c>
      <c r="K5" s="204"/>
      <c r="L5" s="305"/>
    </row>
    <row r="6" spans="1:12">
      <c r="A6" s="428" t="str">
        <f>Application!B728</f>
        <v>SRO/Studio</v>
      </c>
      <c r="B6" s="1077">
        <f>Application!G728</f>
        <v>9</v>
      </c>
      <c r="C6" s="1155"/>
      <c r="D6" s="428">
        <f>Application!O728</f>
        <v>1303</v>
      </c>
      <c r="E6" s="429"/>
      <c r="F6" s="1078"/>
      <c r="G6" s="428">
        <f t="shared" si="2"/>
        <v>0</v>
      </c>
      <c r="H6" s="429"/>
      <c r="I6" s="428" t="str">
        <f t="shared" si="0"/>
        <v/>
      </c>
      <c r="J6" s="428" t="str">
        <f t="shared" si="1"/>
        <v/>
      </c>
      <c r="K6" s="204"/>
      <c r="L6" s="305"/>
    </row>
    <row r="7" spans="1:12">
      <c r="A7" s="428" t="str">
        <f>Application!B729</f>
        <v>SRO/Studio</v>
      </c>
      <c r="B7" s="1077">
        <f>Application!G729</f>
        <v>3</v>
      </c>
      <c r="C7" s="1155"/>
      <c r="D7" s="428">
        <f>Application!O729</f>
        <v>1583</v>
      </c>
      <c r="E7" s="429"/>
      <c r="F7" s="1078"/>
      <c r="G7" s="428">
        <f t="shared" si="2"/>
        <v>0</v>
      </c>
      <c r="H7" s="429"/>
      <c r="I7" s="428" t="str">
        <f t="shared" si="0"/>
        <v/>
      </c>
      <c r="J7" s="428" t="str">
        <f t="shared" si="1"/>
        <v/>
      </c>
      <c r="K7" s="204"/>
      <c r="L7" s="305"/>
    </row>
    <row r="8" spans="1:12">
      <c r="A8" s="428" t="str">
        <f>Application!B730</f>
        <v>2 Bedrooms</v>
      </c>
      <c r="B8" s="1077">
        <f>Application!G730</f>
        <v>2</v>
      </c>
      <c r="C8" s="1155"/>
      <c r="D8" s="428">
        <f>Application!O730</f>
        <v>923</v>
      </c>
      <c r="E8" s="429"/>
      <c r="F8" s="1078"/>
      <c r="G8" s="428">
        <f t="shared" si="2"/>
        <v>0</v>
      </c>
      <c r="H8" s="429"/>
      <c r="I8" s="428" t="str">
        <f t="shared" si="0"/>
        <v/>
      </c>
      <c r="J8" s="428" t="str">
        <f t="shared" si="1"/>
        <v/>
      </c>
      <c r="K8" s="204"/>
      <c r="L8" s="305"/>
    </row>
    <row r="9" spans="1:12">
      <c r="A9" s="428" t="str">
        <f>Application!B731</f>
        <v>2 Bedrooms</v>
      </c>
      <c r="B9" s="1077">
        <f>Application!G731</f>
        <v>2</v>
      </c>
      <c r="C9" s="1155"/>
      <c r="D9" s="428">
        <f>Application!O731</f>
        <v>1283</v>
      </c>
      <c r="E9" s="429"/>
      <c r="F9" s="1078"/>
      <c r="G9" s="428">
        <f t="shared" si="2"/>
        <v>0</v>
      </c>
      <c r="H9" s="429"/>
      <c r="I9" s="428" t="str">
        <f t="shared" si="0"/>
        <v/>
      </c>
      <c r="J9" s="428" t="str">
        <f t="shared" si="1"/>
        <v/>
      </c>
      <c r="K9" s="204"/>
      <c r="L9" s="305"/>
    </row>
    <row r="10" spans="1:12">
      <c r="A10" s="428" t="str">
        <f>Application!B732</f>
        <v>2 Bedrooms</v>
      </c>
      <c r="B10" s="1077">
        <f>Application!G732</f>
        <v>4</v>
      </c>
      <c r="C10" s="1155"/>
      <c r="D10" s="428">
        <f>Application!O732</f>
        <v>1642</v>
      </c>
      <c r="E10" s="429"/>
      <c r="F10" s="1078"/>
      <c r="G10" s="428">
        <f t="shared" si="2"/>
        <v>0</v>
      </c>
      <c r="H10" s="429"/>
      <c r="I10" s="428" t="str">
        <f t="shared" si="0"/>
        <v/>
      </c>
      <c r="J10" s="428" t="str">
        <f t="shared" si="1"/>
        <v/>
      </c>
      <c r="K10" s="204"/>
      <c r="L10" s="305"/>
    </row>
    <row r="11" spans="1:12">
      <c r="A11" s="428" t="str">
        <f>Application!B733</f>
        <v>2 Bedrooms</v>
      </c>
      <c r="B11" s="1077">
        <f>Application!G733</f>
        <v>4</v>
      </c>
      <c r="C11" s="1155"/>
      <c r="D11" s="428">
        <f>Application!O733</f>
        <v>2002</v>
      </c>
      <c r="E11" s="429"/>
      <c r="F11" s="1078"/>
      <c r="G11" s="428">
        <f t="shared" si="2"/>
        <v>0</v>
      </c>
      <c r="H11" s="429"/>
      <c r="I11" s="428" t="str">
        <f t="shared" si="0"/>
        <v/>
      </c>
      <c r="J11" s="428" t="str">
        <f t="shared" si="1"/>
        <v/>
      </c>
      <c r="K11" s="204"/>
      <c r="L11" s="305"/>
    </row>
    <row r="12" spans="1:12">
      <c r="A12" s="428" t="str">
        <f>Application!B734</f>
        <v>2 Bedrooms</v>
      </c>
      <c r="B12" s="1077">
        <f>Application!G734</f>
        <v>6</v>
      </c>
      <c r="C12" s="1155"/>
      <c r="D12" s="428">
        <f>Application!O734</f>
        <v>2362</v>
      </c>
      <c r="E12" s="429"/>
      <c r="F12" s="1078"/>
      <c r="G12" s="428">
        <f t="shared" si="2"/>
        <v>0</v>
      </c>
      <c r="H12" s="429"/>
      <c r="I12" s="428" t="str">
        <f t="shared" si="0"/>
        <v/>
      </c>
      <c r="J12" s="428" t="str">
        <f t="shared" si="1"/>
        <v/>
      </c>
      <c r="K12" s="204"/>
      <c r="L12" s="305"/>
    </row>
    <row r="13" spans="1:12">
      <c r="A13" s="428" t="str">
        <f>Application!B735</f>
        <v>2 Bedrooms</v>
      </c>
      <c r="B13" s="1077">
        <f>Application!G735</f>
        <v>6</v>
      </c>
      <c r="C13" s="1155"/>
      <c r="D13" s="428">
        <f>Application!O735</f>
        <v>2722</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1043</v>
      </c>
      <c r="E14" s="429"/>
      <c r="F14" s="1078"/>
      <c r="G14" s="428">
        <f t="shared" si="2"/>
        <v>0</v>
      </c>
      <c r="H14" s="429"/>
      <c r="I14" s="428" t="str">
        <f t="shared" si="0"/>
        <v/>
      </c>
      <c r="J14" s="428" t="str">
        <f t="shared" si="1"/>
        <v/>
      </c>
      <c r="K14" s="204"/>
      <c r="L14" s="305"/>
    </row>
    <row r="15" spans="1:12">
      <c r="A15" s="428" t="str">
        <f>Application!B737</f>
        <v>3 Bedrooms</v>
      </c>
      <c r="B15" s="1077">
        <f>Application!G737</f>
        <v>2</v>
      </c>
      <c r="C15" s="1155"/>
      <c r="D15" s="428">
        <f>Application!O737</f>
        <v>1459</v>
      </c>
      <c r="E15" s="429"/>
      <c r="F15" s="1078"/>
      <c r="G15" s="428">
        <f t="shared" si="2"/>
        <v>0</v>
      </c>
      <c r="H15" s="429"/>
      <c r="I15" s="428" t="str">
        <f t="shared" si="0"/>
        <v/>
      </c>
      <c r="J15" s="428" t="str">
        <f t="shared" si="1"/>
        <v/>
      </c>
      <c r="K15" s="204"/>
      <c r="L15" s="305"/>
    </row>
    <row r="16" spans="1:12">
      <c r="A16" s="428" t="str">
        <f>Application!B738</f>
        <v>3 Bedrooms</v>
      </c>
      <c r="B16" s="1077">
        <f>Application!G738</f>
        <v>4</v>
      </c>
      <c r="C16" s="1155"/>
      <c r="D16" s="428">
        <f>Application!O738</f>
        <v>1874</v>
      </c>
      <c r="E16" s="429"/>
      <c r="F16" s="1078"/>
      <c r="G16" s="428">
        <f t="shared" si="2"/>
        <v>0</v>
      </c>
      <c r="H16" s="429"/>
      <c r="I16" s="428" t="str">
        <f t="shared" si="0"/>
        <v/>
      </c>
      <c r="J16" s="428" t="str">
        <f t="shared" si="1"/>
        <v/>
      </c>
      <c r="K16" s="204"/>
      <c r="L16" s="305"/>
    </row>
    <row r="17" spans="1:12">
      <c r="A17" s="428" t="str">
        <f>Application!B739</f>
        <v>3 Bedrooms</v>
      </c>
      <c r="B17" s="1077">
        <f>Application!G739</f>
        <v>4</v>
      </c>
      <c r="C17" s="1155"/>
      <c r="D17" s="428">
        <f>Application!O739</f>
        <v>2290</v>
      </c>
      <c r="E17" s="429"/>
      <c r="F17" s="1078"/>
      <c r="G17" s="428">
        <f t="shared" si="2"/>
        <v>0</v>
      </c>
      <c r="H17" s="429"/>
      <c r="I17" s="428" t="str">
        <f t="shared" si="0"/>
        <v/>
      </c>
      <c r="J17" s="428" t="str">
        <f t="shared" si="1"/>
        <v/>
      </c>
      <c r="K17" s="204"/>
      <c r="L17" s="305"/>
    </row>
    <row r="18" spans="1:12">
      <c r="A18" s="428" t="str">
        <f>Application!B740</f>
        <v>3 Bedrooms</v>
      </c>
      <c r="B18" s="1077">
        <f>Application!G740</f>
        <v>6</v>
      </c>
      <c r="C18" s="1155"/>
      <c r="D18" s="428">
        <f>Application!O740</f>
        <v>2705</v>
      </c>
      <c r="E18" s="429"/>
      <c r="F18" s="1078"/>
      <c r="G18" s="428">
        <f t="shared" si="2"/>
        <v>0</v>
      </c>
      <c r="H18" s="429"/>
      <c r="I18" s="428" t="str">
        <f t="shared" si="0"/>
        <v/>
      </c>
      <c r="J18" s="428" t="str">
        <f t="shared" si="1"/>
        <v/>
      </c>
      <c r="K18" s="204"/>
      <c r="L18" s="305"/>
    </row>
    <row r="19" spans="1:12">
      <c r="A19" s="428" t="str">
        <f>Application!B741</f>
        <v>3 Bedrooms</v>
      </c>
      <c r="B19" s="1077">
        <f>Application!G741</f>
        <v>6</v>
      </c>
      <c r="C19" s="1155"/>
      <c r="D19" s="428">
        <f>Application!O741</f>
        <v>3121</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151144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2207</v>
      </c>
    </row>
    <row r="43" spans="1:12">
      <c r="A43" s="2685" t="s">
        <v>2428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workbookViewId="0">
      <selection activeCell="F65" sqref="F65"/>
    </sheetView>
  </sheetViews>
  <sheetFormatPr defaultColWidth="0" defaultRowHeight="12.5" zeroHeight="1"/>
  <cols>
    <col min="1" max="1" width="3.54296875" customWidth="1"/>
    <col min="2" max="2" width="30.54296875" customWidth="1"/>
    <col min="3" max="3" width="9.1796875" style="214"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1" t="s">
        <v>2050</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1813728</v>
      </c>
      <c r="G4" s="219">
        <f>E4*$C$4</f>
        <v>1859071.2</v>
      </c>
      <c r="I4" s="219">
        <f>G4*$C$4</f>
        <v>1905547.9799999997</v>
      </c>
      <c r="K4" s="219">
        <f>I4*$C$4</f>
        <v>1953186.6794999996</v>
      </c>
      <c r="M4" s="219">
        <f>K4*$C$4</f>
        <v>2002016.3464874995</v>
      </c>
      <c r="O4" s="219">
        <f>M4*$C$4</f>
        <v>2052066.7551496869</v>
      </c>
      <c r="Q4" s="219">
        <f>O4*$C$4</f>
        <v>2103368.4240284287</v>
      </c>
      <c r="S4" s="219">
        <f>Q4*$C$4</f>
        <v>2155952.6346291392</v>
      </c>
      <c r="U4" s="219">
        <f>S4*$C$4</f>
        <v>2209851.4504948673</v>
      </c>
      <c r="W4" s="219">
        <f>U4*$C$4</f>
        <v>2265097.7367572389</v>
      </c>
      <c r="Y4" s="219">
        <f>W4*$C$4</f>
        <v>2321725.1801761696</v>
      </c>
      <c r="AA4" s="219">
        <f>Y4*$C$4</f>
        <v>2379768.3096805736</v>
      </c>
      <c r="AC4" s="219">
        <f>AA4*$C$4</f>
        <v>2439262.5174225876</v>
      </c>
      <c r="AE4" s="219">
        <f>AC4*$C$4</f>
        <v>2500244.0803581523</v>
      </c>
      <c r="AG4" s="219">
        <f>AE4*$C$4</f>
        <v>2562750.182367106</v>
      </c>
    </row>
    <row r="5" spans="1:34" s="210" customFormat="1" ht="14">
      <c r="B5" s="210" t="s">
        <v>838</v>
      </c>
      <c r="C5" s="238">
        <f>IF(Application!$D$211="Special Needs",(((0.1*Application!$T$212)+(0.05*(1-Application!$T$212)))),0.05)</f>
        <v>0.05</v>
      </c>
      <c r="E5" s="221">
        <f>-E4*$C$5</f>
        <v>-90686.400000000009</v>
      </c>
      <c r="F5" s="221"/>
      <c r="G5" s="221">
        <f>-G4*$C$5</f>
        <v>-92953.56</v>
      </c>
      <c r="H5" s="221"/>
      <c r="I5" s="221">
        <f>-I4*$C$5</f>
        <v>-95277.39899999999</v>
      </c>
      <c r="J5" s="221"/>
      <c r="K5" s="221">
        <f>-K4*$C$5</f>
        <v>-97659.333974999987</v>
      </c>
      <c r="L5" s="221"/>
      <c r="M5" s="221">
        <f>-M4*$C$5</f>
        <v>-100100.81732437498</v>
      </c>
      <c r="N5" s="221"/>
      <c r="O5" s="221">
        <f>-O4*$C$5</f>
        <v>-102603.33775748435</v>
      </c>
      <c r="P5" s="221"/>
      <c r="Q5" s="221">
        <f>-Q4*$C$5</f>
        <v>-105168.42120142144</v>
      </c>
      <c r="R5" s="221"/>
      <c r="S5" s="221">
        <f>-S4*$C$5</f>
        <v>-107797.63173145696</v>
      </c>
      <c r="T5" s="221"/>
      <c r="U5" s="221">
        <f>-U4*$C$5</f>
        <v>-110492.57252474337</v>
      </c>
      <c r="V5" s="221"/>
      <c r="W5" s="221">
        <f>-W4*$C$5</f>
        <v>-113254.88683786195</v>
      </c>
      <c r="X5" s="221"/>
      <c r="Y5" s="221">
        <f>-Y4*$C$5</f>
        <v>-116086.25900880848</v>
      </c>
      <c r="Z5" s="221"/>
      <c r="AA5" s="221">
        <f>-AA4*$C$5</f>
        <v>-118988.41548402869</v>
      </c>
      <c r="AB5" s="221"/>
      <c r="AC5" s="221">
        <f>-AC4*$C$5</f>
        <v>-121963.12587112939</v>
      </c>
      <c r="AD5" s="221"/>
      <c r="AE5" s="221">
        <f>-AE4*$C$5</f>
        <v>-125012.20401790761</v>
      </c>
      <c r="AF5" s="221"/>
      <c r="AG5" s="221">
        <f>-AG4*$C$5</f>
        <v>-128137.5091183553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47232</v>
      </c>
      <c r="F8" s="222"/>
      <c r="G8" s="222">
        <f>E8*$C$8</f>
        <v>48412.799999999996</v>
      </c>
      <c r="H8" s="222"/>
      <c r="I8" s="222">
        <f>G8*$C$8</f>
        <v>49623.119999999988</v>
      </c>
      <c r="J8" s="222"/>
      <c r="K8" s="222">
        <f>I8*$C$8</f>
        <v>50863.697999999982</v>
      </c>
      <c r="L8" s="222"/>
      <c r="M8" s="222">
        <f>K8*$C$8</f>
        <v>52135.290449999979</v>
      </c>
      <c r="N8" s="222"/>
      <c r="O8" s="222">
        <f>M8*$C$8</f>
        <v>53438.672711249972</v>
      </c>
      <c r="P8" s="222"/>
      <c r="Q8" s="222">
        <f>O8*$C$8</f>
        <v>54774.639529031214</v>
      </c>
      <c r="R8" s="222"/>
      <c r="S8" s="222">
        <f>Q8*$C$8</f>
        <v>56144.005517256992</v>
      </c>
      <c r="T8" s="222"/>
      <c r="U8" s="222">
        <f>S8*$C$8</f>
        <v>57547.60565518841</v>
      </c>
      <c r="V8" s="222"/>
      <c r="W8" s="222">
        <f>U8*$C$8</f>
        <v>58986.295796568113</v>
      </c>
      <c r="X8" s="222"/>
      <c r="Y8" s="222">
        <f>W8*$C$8</f>
        <v>60460.953191482309</v>
      </c>
      <c r="Z8" s="222"/>
      <c r="AA8" s="222">
        <f>Y8*$C$8</f>
        <v>61972.477021269362</v>
      </c>
      <c r="AB8" s="222"/>
      <c r="AC8" s="222">
        <f>AA8*$C$8</f>
        <v>63521.788946801091</v>
      </c>
      <c r="AD8" s="222"/>
      <c r="AE8" s="222">
        <f>AC8*$C$8</f>
        <v>65109.833670471111</v>
      </c>
      <c r="AF8" s="222"/>
      <c r="AG8" s="222">
        <f>AE8*$C$8</f>
        <v>66737.579512232885</v>
      </c>
    </row>
    <row r="9" spans="1:34" s="210" customFormat="1" ht="14">
      <c r="B9" s="210" t="s">
        <v>838</v>
      </c>
      <c r="C9" s="238">
        <f>IF(Application!$D$211="Special Needs",(((0.1*Application!$T$212)+(0.05*(1-Application!$T$212)))),0.05)</f>
        <v>0.05</v>
      </c>
      <c r="E9" s="221">
        <f>-E8*$C$9</f>
        <v>-2361.6</v>
      </c>
      <c r="F9" s="221"/>
      <c r="G9" s="221">
        <f>-G8*$C$9</f>
        <v>-2420.64</v>
      </c>
      <c r="H9" s="221"/>
      <c r="I9" s="221">
        <f>-I8*$C$9</f>
        <v>-2481.1559999999995</v>
      </c>
      <c r="J9" s="221"/>
      <c r="K9" s="221">
        <f>-K8*$C$9</f>
        <v>-2543.1848999999993</v>
      </c>
      <c r="L9" s="221"/>
      <c r="M9" s="221">
        <f>-M8*$C$9</f>
        <v>-2606.7645224999992</v>
      </c>
      <c r="N9" s="221"/>
      <c r="O9" s="221">
        <f>-O8*$C$9</f>
        <v>-2671.9336355624987</v>
      </c>
      <c r="P9" s="221"/>
      <c r="Q9" s="221">
        <f>-Q8*$C$9</f>
        <v>-2738.731976451561</v>
      </c>
      <c r="R9" s="221"/>
      <c r="S9" s="221">
        <f>-S8*$C$9</f>
        <v>-2807.2002758628496</v>
      </c>
      <c r="T9" s="221"/>
      <c r="U9" s="221">
        <f>-U8*$C$9</f>
        <v>-2877.3802827594209</v>
      </c>
      <c r="V9" s="221"/>
      <c r="W9" s="221">
        <f>-W8*$C$9</f>
        <v>-2949.314789828406</v>
      </c>
      <c r="X9" s="221"/>
      <c r="Y9" s="221">
        <f>-Y8*$C$9</f>
        <v>-3023.0476595741156</v>
      </c>
      <c r="Z9" s="221"/>
      <c r="AA9" s="221">
        <f>-AA8*$C$9</f>
        <v>-3098.6238510634685</v>
      </c>
      <c r="AB9" s="221"/>
      <c r="AC9" s="221">
        <f>-AC8*$C$9</f>
        <v>-3176.0894473400549</v>
      </c>
      <c r="AD9" s="221"/>
      <c r="AE9" s="221">
        <f>-AE8*$C$9</f>
        <v>-3255.4916835235558</v>
      </c>
      <c r="AF9" s="221"/>
      <c r="AG9" s="221">
        <f>-AG8*$C$9</f>
        <v>-3336.8789756116444</v>
      </c>
    </row>
    <row r="10" spans="1:34" s="210" customFormat="1" ht="14">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1767912</v>
      </c>
      <c r="G11" s="223">
        <f>SUM(G4:G10)</f>
        <v>1812109.8</v>
      </c>
      <c r="I11" s="223">
        <f>SUM(I4:I10)</f>
        <v>1857412.5449999997</v>
      </c>
      <c r="K11" s="223">
        <f>SUM(K4:K10)</f>
        <v>1903847.8586249996</v>
      </c>
      <c r="M11" s="223">
        <f>SUM(M4:M10)</f>
        <v>1951444.0550906244</v>
      </c>
      <c r="O11" s="223">
        <f>SUM(O4:O10)</f>
        <v>2000230.1564678901</v>
      </c>
      <c r="Q11" s="223">
        <f>SUM(Q4:Q10)</f>
        <v>2050235.910379587</v>
      </c>
      <c r="S11" s="223">
        <f>SUM(S4:S10)</f>
        <v>2101491.808139076</v>
      </c>
      <c r="U11" s="223">
        <f>SUM(U4:U10)</f>
        <v>2154029.1033425531</v>
      </c>
      <c r="W11" s="223">
        <f>SUM(W4:W10)</f>
        <v>2207879.8309261166</v>
      </c>
      <c r="Y11" s="223">
        <f>SUM(Y4:Y10)</f>
        <v>2263076.8266992695</v>
      </c>
      <c r="AA11" s="223">
        <f>SUM(AA4:AA10)</f>
        <v>2319653.7473667506</v>
      </c>
      <c r="AC11" s="223">
        <f>SUM(AC4:AC10)</f>
        <v>2377645.0910509191</v>
      </c>
      <c r="AE11" s="223">
        <f>SUM(AE4:AE10)</f>
        <v>2437086.2183271926</v>
      </c>
      <c r="AG11" s="223">
        <f>SUM(AG4:AG10)</f>
        <v>2498013.3737853719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56900</v>
      </c>
      <c r="G15" s="219">
        <f>E15*$C$14</f>
        <v>58891.499999999993</v>
      </c>
      <c r="I15" s="219">
        <f>G15*$C$14</f>
        <v>60952.702499999985</v>
      </c>
      <c r="K15" s="219">
        <f>I15*$C$14</f>
        <v>63086.047087499981</v>
      </c>
      <c r="M15" s="219">
        <f>K15*$C$14</f>
        <v>65294.058735562474</v>
      </c>
      <c r="O15" s="219">
        <f>M15*$C$14</f>
        <v>67579.350791307152</v>
      </c>
      <c r="Q15" s="219">
        <f>O15*$C$14</f>
        <v>69944.628069002894</v>
      </c>
      <c r="S15" s="219">
        <f>Q15*$C$14</f>
        <v>72392.690051417987</v>
      </c>
      <c r="U15" s="219">
        <f>S15*$C$14</f>
        <v>74926.434203217606</v>
      </c>
      <c r="W15" s="219">
        <f>U15*$C$14</f>
        <v>77548.859400330213</v>
      </c>
      <c r="Y15" s="219">
        <f>W15*$C$14</f>
        <v>80263.069479341764</v>
      </c>
      <c r="AA15" s="219">
        <f>Y15*$C$14</f>
        <v>83072.276911118723</v>
      </c>
      <c r="AC15" s="219">
        <f>AA15*$C$14</f>
        <v>85979.806603007877</v>
      </c>
      <c r="AE15" s="219">
        <f>AC15*$C$14</f>
        <v>88989.099834113149</v>
      </c>
      <c r="AG15" s="219">
        <f>AE15*$C$14</f>
        <v>92103.718328307106</v>
      </c>
    </row>
    <row r="16" spans="1:34" s="210" customFormat="1" ht="14">
      <c r="A16" s="210" t="s">
        <v>344</v>
      </c>
      <c r="C16" s="233"/>
      <c r="E16" s="222">
        <f>Application!W857</f>
        <v>72549.119999999995</v>
      </c>
      <c r="F16" s="222"/>
      <c r="G16" s="222">
        <f t="shared" ref="G16:AG21" si="0">E16*$C$14</f>
        <v>75088.339199999988</v>
      </c>
      <c r="H16" s="222"/>
      <c r="I16" s="222">
        <f t="shared" si="0"/>
        <v>77716.431071999978</v>
      </c>
      <c r="J16" s="222"/>
      <c r="K16" s="222">
        <f t="shared" si="0"/>
        <v>80436.506159519966</v>
      </c>
      <c r="L16" s="222"/>
      <c r="M16" s="222">
        <f t="shared" si="0"/>
        <v>83251.783875103152</v>
      </c>
      <c r="N16" s="222"/>
      <c r="O16" s="222">
        <f t="shared" si="0"/>
        <v>86165.596310731751</v>
      </c>
      <c r="P16" s="222"/>
      <c r="Q16" s="222">
        <f t="shared" si="0"/>
        <v>89181.392181607356</v>
      </c>
      <c r="R16" s="222"/>
      <c r="S16" s="222">
        <f t="shared" si="0"/>
        <v>92302.740907963613</v>
      </c>
      <c r="T16" s="222"/>
      <c r="U16" s="222">
        <f t="shared" si="0"/>
        <v>95533.336839742333</v>
      </c>
      <c r="V16" s="222"/>
      <c r="W16" s="222">
        <f t="shared" si="0"/>
        <v>98877.003629133309</v>
      </c>
      <c r="X16" s="222"/>
      <c r="Y16" s="222">
        <f t="shared" si="0"/>
        <v>102337.69875615297</v>
      </c>
      <c r="Z16" s="222"/>
      <c r="AA16" s="222">
        <f t="shared" si="0"/>
        <v>105919.51821261831</v>
      </c>
      <c r="AB16" s="222"/>
      <c r="AC16" s="222">
        <f t="shared" si="0"/>
        <v>109626.70135005994</v>
      </c>
      <c r="AD16" s="222"/>
      <c r="AE16" s="222">
        <f t="shared" si="0"/>
        <v>113463.63589731204</v>
      </c>
      <c r="AF16" s="222"/>
      <c r="AG16" s="222">
        <f t="shared" si="0"/>
        <v>117434.86315371795</v>
      </c>
    </row>
    <row r="17" spans="1:33" s="210" customFormat="1" ht="14">
      <c r="A17" s="210" t="s">
        <v>561</v>
      </c>
      <c r="C17" s="233"/>
      <c r="E17" s="222">
        <f>Application!W863</f>
        <v>85696</v>
      </c>
      <c r="F17" s="222"/>
      <c r="G17" s="222">
        <f t="shared" si="0"/>
        <v>88695.359999999986</v>
      </c>
      <c r="H17" s="222"/>
      <c r="I17" s="222">
        <f t="shared" si="0"/>
        <v>91799.697599999985</v>
      </c>
      <c r="J17" s="222"/>
      <c r="K17" s="222">
        <f t="shared" si="0"/>
        <v>95012.687015999982</v>
      </c>
      <c r="L17" s="222"/>
      <c r="M17" s="222">
        <f t="shared" si="0"/>
        <v>98338.13106155998</v>
      </c>
      <c r="N17" s="222"/>
      <c r="O17" s="222">
        <f t="shared" si="0"/>
        <v>101779.96564871457</v>
      </c>
      <c r="P17" s="222"/>
      <c r="Q17" s="222">
        <f t="shared" si="0"/>
        <v>105342.26444641958</v>
      </c>
      <c r="R17" s="222"/>
      <c r="S17" s="222">
        <f t="shared" si="0"/>
        <v>109029.24370204426</v>
      </c>
      <c r="T17" s="222"/>
      <c r="U17" s="222">
        <f t="shared" si="0"/>
        <v>112845.2672316158</v>
      </c>
      <c r="V17" s="222"/>
      <c r="W17" s="222">
        <f t="shared" si="0"/>
        <v>116794.85158472235</v>
      </c>
      <c r="X17" s="222"/>
      <c r="Y17" s="222">
        <f t="shared" si="0"/>
        <v>120882.67139018762</v>
      </c>
      <c r="Z17" s="222"/>
      <c r="AA17" s="222">
        <f t="shared" si="0"/>
        <v>125113.56488884418</v>
      </c>
      <c r="AB17" s="222"/>
      <c r="AC17" s="222">
        <f t="shared" si="0"/>
        <v>129492.53965995372</v>
      </c>
      <c r="AD17" s="222"/>
      <c r="AE17" s="222">
        <f t="shared" si="0"/>
        <v>134024.7785480521</v>
      </c>
      <c r="AF17" s="222"/>
      <c r="AG17" s="222">
        <f t="shared" si="0"/>
        <v>138715.64579723391</v>
      </c>
    </row>
    <row r="18" spans="1:33" s="210" customFormat="1" ht="14">
      <c r="A18" s="210" t="s">
        <v>842</v>
      </c>
      <c r="C18" s="233"/>
      <c r="E18" s="222">
        <f>Application!W870</f>
        <v>225042</v>
      </c>
      <c r="F18" s="222"/>
      <c r="G18" s="222">
        <f t="shared" si="0"/>
        <v>232918.46999999997</v>
      </c>
      <c r="H18" s="222"/>
      <c r="I18" s="222">
        <f t="shared" si="0"/>
        <v>241070.61644999994</v>
      </c>
      <c r="J18" s="222"/>
      <c r="K18" s="222">
        <f t="shared" si="0"/>
        <v>249508.08802574992</v>
      </c>
      <c r="L18" s="222"/>
      <c r="M18" s="222">
        <f t="shared" si="0"/>
        <v>258240.87110665115</v>
      </c>
      <c r="N18" s="222"/>
      <c r="O18" s="222">
        <f t="shared" si="0"/>
        <v>267279.30159538391</v>
      </c>
      <c r="P18" s="222"/>
      <c r="Q18" s="222">
        <f t="shared" si="0"/>
        <v>276634.07715122233</v>
      </c>
      <c r="R18" s="222"/>
      <c r="S18" s="222">
        <f t="shared" si="0"/>
        <v>286316.26985151507</v>
      </c>
      <c r="T18" s="222"/>
      <c r="U18" s="222">
        <f t="shared" si="0"/>
        <v>296337.33929631807</v>
      </c>
      <c r="V18" s="222"/>
      <c r="W18" s="222">
        <f t="shared" si="0"/>
        <v>306709.14617168915</v>
      </c>
      <c r="X18" s="222"/>
      <c r="Y18" s="222">
        <f t="shared" si="0"/>
        <v>317443.96628769825</v>
      </c>
      <c r="Z18" s="222"/>
      <c r="AA18" s="222">
        <f t="shared" si="0"/>
        <v>328554.50510776765</v>
      </c>
      <c r="AB18" s="222"/>
      <c r="AC18" s="222">
        <f t="shared" si="0"/>
        <v>340053.91278653947</v>
      </c>
      <c r="AD18" s="222"/>
      <c r="AE18" s="222">
        <f t="shared" si="0"/>
        <v>351955.79973406834</v>
      </c>
      <c r="AF18" s="222"/>
      <c r="AG18" s="222">
        <f t="shared" si="0"/>
        <v>364274.25272476068</v>
      </c>
    </row>
    <row r="19" spans="1:33" s="210" customFormat="1" ht="14">
      <c r="A19" s="210" t="s">
        <v>155</v>
      </c>
      <c r="C19" s="233"/>
      <c r="E19" s="222">
        <f>Application!W872</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390</v>
      </c>
      <c r="C20" s="233"/>
      <c r="E20" s="222">
        <f>Application!W881</f>
        <v>213540</v>
      </c>
      <c r="F20" s="222"/>
      <c r="G20" s="222">
        <f t="shared" si="0"/>
        <v>221013.9</v>
      </c>
      <c r="H20" s="222"/>
      <c r="I20" s="222">
        <f t="shared" si="0"/>
        <v>228749.38649999996</v>
      </c>
      <c r="J20" s="222"/>
      <c r="K20" s="222">
        <f t="shared" si="0"/>
        <v>236755.61502749994</v>
      </c>
      <c r="L20" s="222"/>
      <c r="M20" s="222">
        <f t="shared" si="0"/>
        <v>245042.06155346241</v>
      </c>
      <c r="N20" s="222"/>
      <c r="O20" s="222">
        <f t="shared" si="0"/>
        <v>253618.53370783359</v>
      </c>
      <c r="P20" s="222"/>
      <c r="Q20" s="222">
        <f t="shared" si="0"/>
        <v>262495.18238760775</v>
      </c>
      <c r="R20" s="222"/>
      <c r="S20" s="222">
        <f t="shared" si="0"/>
        <v>271682.51377117401</v>
      </c>
      <c r="T20" s="222"/>
      <c r="U20" s="222">
        <f t="shared" si="0"/>
        <v>281191.40175316506</v>
      </c>
      <c r="V20" s="222"/>
      <c r="W20" s="222">
        <f t="shared" si="0"/>
        <v>291033.10081452579</v>
      </c>
      <c r="X20" s="222"/>
      <c r="Y20" s="222">
        <f t="shared" si="0"/>
        <v>301219.25934303418</v>
      </c>
      <c r="Z20" s="222"/>
      <c r="AA20" s="222">
        <f t="shared" si="0"/>
        <v>311761.93342004035</v>
      </c>
      <c r="AB20" s="222"/>
      <c r="AC20" s="222">
        <f t="shared" si="0"/>
        <v>322673.60108974174</v>
      </c>
      <c r="AD20" s="222"/>
      <c r="AE20" s="222">
        <f t="shared" si="0"/>
        <v>333967.17712788266</v>
      </c>
      <c r="AF20" s="222"/>
      <c r="AG20" s="222">
        <f t="shared" si="0"/>
        <v>345656.02832735854</v>
      </c>
    </row>
    <row r="21" spans="1:33" s="210" customFormat="1" ht="14">
      <c r="A21" s="226" t="s">
        <v>962</v>
      </c>
      <c r="B21" s="226"/>
      <c r="C21" s="233"/>
      <c r="E21" s="232">
        <f>Application!W888</f>
        <v>38000</v>
      </c>
      <c r="F21" s="222"/>
      <c r="G21" s="232">
        <f t="shared" si="0"/>
        <v>39330</v>
      </c>
      <c r="H21" s="222"/>
      <c r="I21" s="232">
        <f t="shared" si="0"/>
        <v>40706.549999999996</v>
      </c>
      <c r="J21" s="222"/>
      <c r="K21" s="232">
        <f t="shared" si="0"/>
        <v>42131.279249999992</v>
      </c>
      <c r="L21" s="222"/>
      <c r="M21" s="232">
        <f t="shared" si="0"/>
        <v>43605.874023749988</v>
      </c>
      <c r="N21" s="222"/>
      <c r="O21" s="232">
        <f t="shared" si="0"/>
        <v>45132.079614581235</v>
      </c>
      <c r="P21" s="222"/>
      <c r="Q21" s="232">
        <f t="shared" si="0"/>
        <v>46711.702401091577</v>
      </c>
      <c r="R21" s="222"/>
      <c r="S21" s="232">
        <f t="shared" si="0"/>
        <v>48346.611985129777</v>
      </c>
      <c r="T21" s="222"/>
      <c r="U21" s="232">
        <f t="shared" si="0"/>
        <v>50038.743404609319</v>
      </c>
      <c r="V21" s="222"/>
      <c r="W21" s="232">
        <f t="shared" si="0"/>
        <v>51790.09942377064</v>
      </c>
      <c r="X21" s="222"/>
      <c r="Y21" s="232">
        <f t="shared" si="0"/>
        <v>53602.75290360261</v>
      </c>
      <c r="Z21" s="222"/>
      <c r="AA21" s="232">
        <f t="shared" si="0"/>
        <v>55478.849255228699</v>
      </c>
      <c r="AB21" s="222"/>
      <c r="AC21" s="232">
        <f t="shared" si="0"/>
        <v>57420.608979161698</v>
      </c>
      <c r="AD21" s="222"/>
      <c r="AE21" s="232">
        <f t="shared" si="0"/>
        <v>59430.330293432351</v>
      </c>
      <c r="AF21" s="222"/>
      <c r="AG21" s="232">
        <f t="shared" si="0"/>
        <v>61510.39185370248</v>
      </c>
    </row>
    <row r="22" spans="1:33" s="223" customFormat="1" ht="14">
      <c r="A22" s="223" t="s">
        <v>843</v>
      </c>
      <c r="C22" s="233"/>
      <c r="E22" s="223">
        <f>SUM(E15:E21)</f>
        <v>691727.12</v>
      </c>
      <c r="G22" s="223">
        <f>SUM(G15:G21)</f>
        <v>715937.56919999991</v>
      </c>
      <c r="I22" s="223">
        <f>SUM(I15:I21)</f>
        <v>740995.38412199984</v>
      </c>
      <c r="K22" s="223">
        <f>SUM(K15:K21)</f>
        <v>766930.2225662698</v>
      </c>
      <c r="M22" s="223">
        <f>SUM(M15:M21)</f>
        <v>793772.78035608912</v>
      </c>
      <c r="O22" s="223">
        <f>SUM(O15:O21)</f>
        <v>821554.82766855217</v>
      </c>
      <c r="Q22" s="223">
        <f>SUM(Q15:Q21)</f>
        <v>850309.24663695146</v>
      </c>
      <c r="S22" s="223">
        <f>SUM(S15:S21)</f>
        <v>880070.07026924472</v>
      </c>
      <c r="U22" s="223">
        <f>SUM(U15:U21)</f>
        <v>910872.52272866818</v>
      </c>
      <c r="W22" s="223">
        <f>SUM(W15:W21)</f>
        <v>942753.06102417142</v>
      </c>
      <c r="Y22" s="223">
        <f>SUM(Y15:Y21)</f>
        <v>975749.41816001735</v>
      </c>
      <c r="AA22" s="223">
        <f>SUM(AA15:AA21)</f>
        <v>1009900.6477956178</v>
      </c>
      <c r="AC22" s="223">
        <f>SUM(AC15:AC21)</f>
        <v>1045247.1704684646</v>
      </c>
      <c r="AE22" s="223">
        <f>SUM(AE15:AE21)</f>
        <v>1081830.8214348606</v>
      </c>
      <c r="AG22" s="223">
        <f>SUM(AG15:AG21)</f>
        <v>1119694.9001850805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6780</v>
      </c>
      <c r="F27" s="222"/>
      <c r="G27" s="222">
        <f>E27*$C$27</f>
        <v>7017.2999999999993</v>
      </c>
      <c r="H27" s="222"/>
      <c r="I27" s="222">
        <f>G27*$C$27</f>
        <v>7262.9054999999989</v>
      </c>
      <c r="J27" s="222"/>
      <c r="K27" s="222">
        <f>I27*$C$27</f>
        <v>7517.1071924999987</v>
      </c>
      <c r="L27" s="222"/>
      <c r="M27" s="222">
        <f>K27*$C$27</f>
        <v>7780.2059442374984</v>
      </c>
      <c r="N27" s="222"/>
      <c r="O27" s="222">
        <f>M27*$C$27</f>
        <v>8052.5131522858101</v>
      </c>
      <c r="P27" s="222"/>
      <c r="Q27" s="222">
        <f>O27*$C$27</f>
        <v>8334.3511126158119</v>
      </c>
      <c r="R27" s="222"/>
      <c r="S27" s="222">
        <f>Q27*$C$27</f>
        <v>8626.0534015573649</v>
      </c>
      <c r="T27" s="222"/>
      <c r="U27" s="222">
        <f>S27*$C$27</f>
        <v>8927.9652706118723</v>
      </c>
      <c r="V27" s="222"/>
      <c r="W27" s="222">
        <f>U27*$C$27</f>
        <v>9240.4440550832878</v>
      </c>
      <c r="X27" s="222"/>
      <c r="Y27" s="222">
        <f>W27*$C$27</f>
        <v>9563.8595970112019</v>
      </c>
      <c r="Z27" s="222"/>
      <c r="AA27" s="222">
        <f>Y27*$C$27</f>
        <v>9898.5946829065924</v>
      </c>
      <c r="AB27" s="222"/>
      <c r="AC27" s="222">
        <f>AA27*$C$27</f>
        <v>10245.045496808323</v>
      </c>
      <c r="AD27" s="222"/>
      <c r="AE27" s="222">
        <f>AC27*$C$27</f>
        <v>10603.622089196613</v>
      </c>
      <c r="AF27" s="222"/>
      <c r="AG27" s="222">
        <f>AE27*$C$27</f>
        <v>10974.748862318495</v>
      </c>
    </row>
    <row r="28" spans="1:33" s="210" customFormat="1" ht="14">
      <c r="A28" s="210" t="s">
        <v>846</v>
      </c>
      <c r="C28" s="237"/>
      <c r="E28" s="222">
        <f>Application!AC898</f>
        <v>28800</v>
      </c>
      <c r="F28" s="222"/>
      <c r="G28" s="222">
        <f>$E$28</f>
        <v>28800</v>
      </c>
      <c r="H28" s="222"/>
      <c r="I28" s="222">
        <f>$E$28</f>
        <v>28800</v>
      </c>
      <c r="J28" s="222"/>
      <c r="K28" s="222">
        <f>$E$28</f>
        <v>28800</v>
      </c>
      <c r="L28" s="222"/>
      <c r="M28" s="222">
        <f>$E$28</f>
        <v>28800</v>
      </c>
      <c r="N28" s="222"/>
      <c r="O28" s="222">
        <f>$E$28</f>
        <v>28800</v>
      </c>
      <c r="P28" s="222"/>
      <c r="Q28" s="222">
        <f>$E$28</f>
        <v>28800</v>
      </c>
      <c r="R28" s="222"/>
      <c r="S28" s="222">
        <f>$E$28</f>
        <v>28800</v>
      </c>
      <c r="T28" s="222"/>
      <c r="U28" s="222">
        <f>$E$28</f>
        <v>28800</v>
      </c>
      <c r="V28" s="222"/>
      <c r="W28" s="222">
        <f>$E$28</f>
        <v>28800</v>
      </c>
      <c r="X28" s="222"/>
      <c r="Y28" s="222">
        <f>$E$28</f>
        <v>28800</v>
      </c>
      <c r="Z28" s="222"/>
      <c r="AA28" s="222">
        <f>$E$28</f>
        <v>28800</v>
      </c>
      <c r="AB28" s="222"/>
      <c r="AC28" s="222">
        <f>$E$28</f>
        <v>28800</v>
      </c>
      <c r="AD28" s="222"/>
      <c r="AE28" s="222">
        <f>$E$28</f>
        <v>28800</v>
      </c>
      <c r="AF28" s="222"/>
      <c r="AG28" s="222">
        <f>$E$28</f>
        <v>28800</v>
      </c>
    </row>
    <row r="29" spans="1:33" s="210" customFormat="1" ht="14">
      <c r="A29" s="210" t="s">
        <v>1669</v>
      </c>
      <c r="C29" s="237"/>
      <c r="E29" s="222">
        <f>Application!AC899</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731307.12</v>
      </c>
      <c r="G35" s="223">
        <f>SUM(G22:G33)</f>
        <v>755754.86919999996</v>
      </c>
      <c r="I35" s="223">
        <f>SUM(I22:I33)</f>
        <v>781058.28962199984</v>
      </c>
      <c r="K35" s="223">
        <f>SUM(K22:K33)</f>
        <v>807247.32975876983</v>
      </c>
      <c r="M35" s="223">
        <f>SUM(M22:M33)</f>
        <v>834352.98630032665</v>
      </c>
      <c r="O35" s="223">
        <f>SUM(O22:O33)</f>
        <v>862407.340820838</v>
      </c>
      <c r="Q35" s="223">
        <f>SUM(Q22:Q33)</f>
        <v>891443.59774956724</v>
      </c>
      <c r="S35" s="223">
        <f>SUM(S22:S33)</f>
        <v>921496.1236708021</v>
      </c>
      <c r="U35" s="223">
        <f>SUM(U22:U33)</f>
        <v>952600.4879992801</v>
      </c>
      <c r="W35" s="223">
        <f>SUM(W22:W33)</f>
        <v>984793.50507925474</v>
      </c>
      <c r="Y35" s="223">
        <f>SUM(Y22:Y33)</f>
        <v>1018113.2777570286</v>
      </c>
      <c r="AA35" s="223">
        <f>SUM(AA22:AA33)</f>
        <v>1052599.2424785243</v>
      </c>
      <c r="AC35" s="223">
        <f>SUM(AC22:AC33)</f>
        <v>1088292.2159652729</v>
      </c>
      <c r="AE35" s="223">
        <f>SUM(AE22:AE33)</f>
        <v>1125234.4435240573</v>
      </c>
      <c r="AG35" s="223">
        <f>SUM(AG22:AG33)</f>
        <v>1163469.6490473989</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1036604.88</v>
      </c>
      <c r="G37" s="223">
        <f>G11-G35</f>
        <v>1056354.9308000002</v>
      </c>
      <c r="I37" s="223">
        <f>I11-I35</f>
        <v>1076354.255378</v>
      </c>
      <c r="K37" s="223">
        <f>K11-K35</f>
        <v>1096600.5288662298</v>
      </c>
      <c r="M37" s="223">
        <f>M11-M35</f>
        <v>1117091.0687902977</v>
      </c>
      <c r="O37" s="223">
        <f>O11-O35</f>
        <v>1137822.8156470521</v>
      </c>
      <c r="Q37" s="223">
        <f>Q11-Q35</f>
        <v>1158792.3126300196</v>
      </c>
      <c r="S37" s="223">
        <f>S11-S35</f>
        <v>1179995.684468274</v>
      </c>
      <c r="U37" s="223">
        <f>U11-U35</f>
        <v>1201428.6153432732</v>
      </c>
      <c r="W37" s="223">
        <f>W11-W35</f>
        <v>1223086.3258468618</v>
      </c>
      <c r="Y37" s="223">
        <f>Y11-Y35</f>
        <v>1244963.5489422409</v>
      </c>
      <c r="AA37" s="223">
        <f>AA11-AA35</f>
        <v>1267054.5048882263</v>
      </c>
      <c r="AC37" s="223">
        <f>AC11-AC35</f>
        <v>1289352.8750856463</v>
      </c>
      <c r="AE37" s="223">
        <f>AE11-AE35</f>
        <v>1311851.7748031353</v>
      </c>
      <c r="AG37" s="223">
        <f>AG11-AG35</f>
        <v>1334543.724737973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GreyStone[GHI] - Tax Exempt</v>
      </c>
      <c r="B40" s="226"/>
      <c r="C40" s="220"/>
      <c r="E40" s="222">
        <f>Application!AF635</f>
        <v>876160.20129788993</v>
      </c>
      <c r="F40" s="222"/>
      <c r="G40" s="222">
        <f>$E$40</f>
        <v>876160.20129788993</v>
      </c>
      <c r="H40" s="222"/>
      <c r="I40" s="222">
        <f>$E$40</f>
        <v>876160.20129788993</v>
      </c>
      <c r="J40" s="222"/>
      <c r="K40" s="222">
        <f>$E$40</f>
        <v>876160.20129788993</v>
      </c>
      <c r="L40" s="222"/>
      <c r="M40" s="222">
        <f>$E$40</f>
        <v>876160.20129788993</v>
      </c>
      <c r="N40" s="222"/>
      <c r="O40" s="222">
        <f>$E$40</f>
        <v>876160.20129788993</v>
      </c>
      <c r="P40" s="222"/>
      <c r="Q40" s="222">
        <f>$E$40</f>
        <v>876160.20129788993</v>
      </c>
      <c r="R40" s="222"/>
      <c r="S40" s="222">
        <f>$E$40</f>
        <v>876160.20129788993</v>
      </c>
      <c r="T40" s="222"/>
      <c r="U40" s="222">
        <f>$E$40</f>
        <v>876160.20129788993</v>
      </c>
      <c r="V40" s="222"/>
      <c r="W40" s="222">
        <f>$E$40</f>
        <v>876160.20129788993</v>
      </c>
      <c r="X40" s="222"/>
      <c r="Y40" s="222">
        <f>$E$40</f>
        <v>876160.20129788993</v>
      </c>
      <c r="Z40" s="222"/>
      <c r="AA40" s="222">
        <f>$E$40</f>
        <v>876160.20129788993</v>
      </c>
      <c r="AB40" s="222"/>
      <c r="AC40" s="222">
        <f>$E$40</f>
        <v>876160.20129788993</v>
      </c>
      <c r="AD40" s="222"/>
      <c r="AE40" s="222">
        <f>$E$40</f>
        <v>876160.20129788993</v>
      </c>
      <c r="AF40" s="222"/>
      <c r="AG40" s="222">
        <f>$E$40</f>
        <v>876160.20129788993</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876160.20129788993</v>
      </c>
      <c r="G43" s="223">
        <f>SUM(G40:G42)</f>
        <v>876160.20129788993</v>
      </c>
      <c r="I43" s="223">
        <f>SUM(I40:I42)</f>
        <v>876160.20129788993</v>
      </c>
      <c r="K43" s="223">
        <f>SUM(K40:K42)</f>
        <v>876160.20129788993</v>
      </c>
      <c r="M43" s="223">
        <f>SUM(M40:M42)</f>
        <v>876160.20129788993</v>
      </c>
      <c r="O43" s="223">
        <f>SUM(O40:O42)</f>
        <v>876160.20129788993</v>
      </c>
      <c r="Q43" s="223">
        <f>SUM(Q40:Q42)</f>
        <v>876160.20129788993</v>
      </c>
      <c r="S43" s="223">
        <f>SUM(S40:S42)</f>
        <v>876160.20129788993</v>
      </c>
      <c r="U43" s="223">
        <f>SUM(U40:U42)</f>
        <v>876160.20129788993</v>
      </c>
      <c r="W43" s="223">
        <f>SUM(W40:W42)</f>
        <v>876160.20129788993</v>
      </c>
      <c r="Y43" s="223">
        <f>SUM(Y40:Y42)</f>
        <v>876160.20129788993</v>
      </c>
      <c r="AA43" s="223">
        <f>SUM(AA40:AA42)</f>
        <v>876160.20129788993</v>
      </c>
      <c r="AC43" s="223">
        <f>SUM(AC40:AC42)</f>
        <v>876160.20129788993</v>
      </c>
      <c r="AE43" s="223">
        <f>SUM(AE40:AE42)</f>
        <v>876160.20129788993</v>
      </c>
      <c r="AG43" s="223">
        <f>SUM(AG40:AG42)</f>
        <v>876160.20129788993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160444.67870211008</v>
      </c>
      <c r="G45" s="223">
        <f>G37-G43</f>
        <v>180194.72950211028</v>
      </c>
      <c r="I45" s="223">
        <f>I37-I43</f>
        <v>200194.05408011004</v>
      </c>
      <c r="K45" s="223">
        <f>K37-K43</f>
        <v>220440.32756833988</v>
      </c>
      <c r="M45" s="223">
        <f>M37-M43</f>
        <v>240930.86749240779</v>
      </c>
      <c r="O45" s="223">
        <f>O37-O43</f>
        <v>261662.61434916221</v>
      </c>
      <c r="Q45" s="223">
        <f>Q37-Q43</f>
        <v>282632.11133212969</v>
      </c>
      <c r="S45" s="223">
        <f>S37-S43</f>
        <v>303835.48317038408</v>
      </c>
      <c r="U45" s="223">
        <f>U37-U43</f>
        <v>325268.41404538322</v>
      </c>
      <c r="W45" s="223">
        <f>W37-W43</f>
        <v>346926.12454897189</v>
      </c>
      <c r="Y45" s="223">
        <f>Y37-Y43</f>
        <v>368803.34764435096</v>
      </c>
      <c r="AA45" s="223">
        <f>AA37-AA43</f>
        <v>390894.30359033635</v>
      </c>
      <c r="AC45" s="223">
        <f>AC37-AC43</f>
        <v>413192.67378775636</v>
      </c>
      <c r="AE45" s="223">
        <f>AE37-AE43</f>
        <v>435691.57350524538</v>
      </c>
      <c r="AG45" s="223">
        <f>AG37-AG43</f>
        <v>458383.52344008302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8.6216081324751781E-2</v>
      </c>
      <c r="G47" s="227">
        <f>G45/(G4+G6+G8)</f>
        <v>9.4467229870400113E-2</v>
      </c>
      <c r="I47" s="227">
        <f>I45/(I4+I6+I8)</f>
        <v>0.10239208940849734</v>
      </c>
      <c r="K47" s="227">
        <f>K45/(K4+K6+K8)</f>
        <v>0.10999739829062252</v>
      </c>
      <c r="M47" s="227">
        <f>M45/(M4+M6+M8)</f>
        <v>0.11728971861668772</v>
      </c>
      <c r="O47" s="227">
        <f>O45/(O4+O6+O8)</f>
        <v>0.12427544041764603</v>
      </c>
      <c r="Q47" s="227">
        <f>Q45/(Q4+Q6+Q8)</f>
        <v>0.13096078573504852</v>
      </c>
      <c r="S47" s="227">
        <f>S45/(S4+S6+S8)</f>
        <v>0.1373518125999578</v>
      </c>
      <c r="U47" s="227">
        <f>U45/(U4+U6+U8)</f>
        <v>0.14345441891365818</v>
      </c>
      <c r="W47" s="227">
        <f>W45/(W4+W6+W8)</f>
        <v>0.14927434623254737</v>
      </c>
      <c r="Y47" s="227">
        <f>Y45/(Y4+Y6+Y8)</f>
        <v>0.15481718345953957</v>
      </c>
      <c r="AA47" s="227">
        <f>AA45/(AA4+AA6+AA8)</f>
        <v>0.16008837044424068</v>
      </c>
      <c r="AC47" s="227">
        <f>AC45/(AC4+AC6+AC8)</f>
        <v>0.16509320149411741</v>
      </c>
      <c r="AE47" s="227">
        <f>AE45/(AE4+AE6+AE8)</f>
        <v>0.16983682879881346</v>
      </c>
      <c r="AG47" s="227">
        <f>AG45/(AG4+AG6+AG8)</f>
        <v>0.17432426576972113</v>
      </c>
    </row>
    <row r="48" spans="1:33" s="227" customFormat="1" ht="14">
      <c r="A48" s="227" t="s">
        <v>852</v>
      </c>
      <c r="C48" s="220"/>
      <c r="E48" s="227">
        <f>E45/E43</f>
        <v>0.18312253679685198</v>
      </c>
      <c r="G48" s="227">
        <f>G45/G43</f>
        <v>0.20566413452149604</v>
      </c>
      <c r="I48" s="227">
        <f>I45/I43</f>
        <v>0.22849023932330509</v>
      </c>
      <c r="K48" s="227">
        <f>K45/K43</f>
        <v>0.25159819772890063</v>
      </c>
      <c r="M48" s="227">
        <f>M45/M43</f>
        <v>0.27498494811280816</v>
      </c>
      <c r="O48" s="227">
        <f>O45/O43</f>
        <v>0.29864699853012183</v>
      </c>
      <c r="Q48" s="227">
        <f>Q45/Q43</f>
        <v>0.32258040357625906</v>
      </c>
      <c r="S48" s="227">
        <f>S45/S43</f>
        <v>0.34678074023483474</v>
      </c>
      <c r="U48" s="227">
        <f>U45/U43</f>
        <v>0.37124308267318074</v>
      </c>
      <c r="W48" s="227">
        <f>W45/W43</f>
        <v>0.39596197594350535</v>
      </c>
      <c r="Y48" s="227">
        <f>Y45/Y43</f>
        <v>0.42093140854609501</v>
      </c>
      <c r="AA48" s="227">
        <f>AA45/AA43</f>
        <v>0.44614478380927314</v>
      </c>
      <c r="AC48" s="227">
        <f>AC45/AC43</f>
        <v>0.47159489003914823</v>
      </c>
      <c r="AE48" s="227">
        <f>AE45/AE43</f>
        <v>0.49727386939036794</v>
      </c>
      <c r="AG48" s="227">
        <f>AG45/AG43</f>
        <v>0.52317318540725977</v>
      </c>
    </row>
    <row r="49" spans="1:34" s="228" customFormat="1" ht="14">
      <c r="A49" s="228" t="s">
        <v>850</v>
      </c>
      <c r="C49" s="229"/>
      <c r="E49" s="228">
        <f>E37/E43</f>
        <v>1.1831225367968519</v>
      </c>
      <c r="G49" s="228">
        <f>G37/G43</f>
        <v>1.205664134521496</v>
      </c>
      <c r="I49" s="228">
        <f>I37/I43</f>
        <v>1.228490239323305</v>
      </c>
      <c r="K49" s="228">
        <f>K37/K43</f>
        <v>1.2515981977289006</v>
      </c>
      <c r="M49" s="228">
        <f>M37/M43</f>
        <v>1.2749849481128082</v>
      </c>
      <c r="O49" s="228">
        <f>O37/O43</f>
        <v>1.2986469985301219</v>
      </c>
      <c r="Q49" s="228">
        <f>Q37/Q43</f>
        <v>1.3225804035762589</v>
      </c>
      <c r="S49" s="228">
        <f>S37/S43</f>
        <v>1.3467807402348346</v>
      </c>
      <c r="U49" s="228">
        <f>U37/U43</f>
        <v>1.3712430826731807</v>
      </c>
      <c r="W49" s="228">
        <f>W37/W43</f>
        <v>1.3959619759435054</v>
      </c>
      <c r="Y49" s="228">
        <f>Y37/Y43</f>
        <v>1.4209314085460951</v>
      </c>
      <c r="AA49" s="228">
        <f>AA37/AA43</f>
        <v>1.4461447838092731</v>
      </c>
      <c r="AC49" s="228">
        <f>AC37/AC43</f>
        <v>1.4715948900391482</v>
      </c>
      <c r="AE49" s="228">
        <f>AE37/AE43</f>
        <v>1.497273869390368</v>
      </c>
      <c r="AG49" s="228">
        <f>AG37/AG43</f>
        <v>1.5231731854072599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160444.67870211008</v>
      </c>
      <c r="G60" s="958">
        <f>G45-G58</f>
        <v>180194.72950211028</v>
      </c>
      <c r="I60" s="958">
        <f>I45-I58</f>
        <v>200194.05408011004</v>
      </c>
      <c r="K60" s="958">
        <f>K45-K58</f>
        <v>220440.32756833988</v>
      </c>
      <c r="M60" s="958">
        <f>M45-M58</f>
        <v>240930.86749240779</v>
      </c>
      <c r="O60" s="958">
        <f>O45-O58</f>
        <v>261662.61434916221</v>
      </c>
      <c r="Q60" s="958">
        <f>Q45-Q58</f>
        <v>282632.11133212969</v>
      </c>
      <c r="S60" s="958">
        <f>S45-S58</f>
        <v>303835.48317038408</v>
      </c>
      <c r="U60" s="958">
        <f>U45-U58</f>
        <v>325268.41404538322</v>
      </c>
      <c r="W60" s="958">
        <f>W45-W58</f>
        <v>346926.12454897189</v>
      </c>
      <c r="Y60" s="958">
        <f>Y45-Y58</f>
        <v>368803.34764435096</v>
      </c>
      <c r="AA60" s="958">
        <f>AA45-AA58</f>
        <v>390894.30359033635</v>
      </c>
      <c r="AC60" s="958">
        <f>AC45-AC58</f>
        <v>413192.67378775636</v>
      </c>
      <c r="AE60" s="958">
        <f>AE45-AE58</f>
        <v>435691.57350524538</v>
      </c>
      <c r="AG60" s="958">
        <f>AG45-AG58</f>
        <v>458383.52344008302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0.6</v>
      </c>
      <c r="E62" s="960">
        <f>E60*$C$62</f>
        <v>96266.807221266048</v>
      </c>
      <c r="G62" s="958">
        <f>G60*$C$62</f>
        <v>108116.83770126617</v>
      </c>
      <c r="I62" s="958">
        <f>I60*$C$62</f>
        <v>120116.43244806601</v>
      </c>
      <c r="K62" s="958">
        <f>K60*$C$62</f>
        <v>132264.19654100391</v>
      </c>
      <c r="M62" s="958">
        <f>M60*$C$62</f>
        <v>144558.52049544468</v>
      </c>
      <c r="O62" s="958">
        <f>O60*$C$62</f>
        <v>156997.56860949731</v>
      </c>
      <c r="Q62" s="958">
        <f>Q60*$C$62</f>
        <v>169579.2667992778</v>
      </c>
      <c r="S62" s="958">
        <f>S60*$C$62</f>
        <v>182301.28990223043</v>
      </c>
      <c r="U62" s="958">
        <f>U60*$C$62</f>
        <v>195161.04842722992</v>
      </c>
      <c r="W62" s="958">
        <f>W60*$C$62</f>
        <v>208155.67472938311</v>
      </c>
      <c r="Y62" s="958">
        <f>Y60*$C$62</f>
        <v>221282.00858661058</v>
      </c>
      <c r="AA62" s="958">
        <f>AA60*$C$62</f>
        <v>234536.58215420181</v>
      </c>
      <c r="AC62" s="958">
        <f>AC60*$C$62</f>
        <v>247915.60427265381</v>
      </c>
      <c r="AE62" s="958">
        <f>AE60*$C$62</f>
        <v>261414.94410314722</v>
      </c>
      <c r="AG62" s="958">
        <f>AG60*$C$62</f>
        <v>275030.11406404979</v>
      </c>
    </row>
    <row r="63" spans="1:34" s="958" customFormat="1">
      <c r="A63" s="2688" t="s">
        <v>1184</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f>1-C62</f>
        <v>0.4</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2726</v>
      </c>
      <c r="B66" s="960"/>
      <c r="C66" s="1266">
        <f>C65-C67-C67</f>
        <v>0.30000000000000004</v>
      </c>
      <c r="E66" s="960">
        <f>E$60*$C66</f>
        <v>48133.403610633031</v>
      </c>
      <c r="G66" s="956">
        <f>G$60*$C66</f>
        <v>54058.41885063309</v>
      </c>
      <c r="I66" s="956">
        <f>I$60*$C66</f>
        <v>60058.216224033022</v>
      </c>
      <c r="K66" s="956">
        <f>K$60*$C66</f>
        <v>66132.098270501971</v>
      </c>
      <c r="M66" s="956">
        <f>M$60*$C66</f>
        <v>72279.260247722355</v>
      </c>
      <c r="O66" s="956">
        <f>O$60*$C66</f>
        <v>78498.784304748668</v>
      </c>
      <c r="Q66" s="956">
        <f>Q$60*$C66</f>
        <v>84789.633399638915</v>
      </c>
      <c r="S66" s="956">
        <f>S$60*$C66</f>
        <v>91150.644951115231</v>
      </c>
      <c r="U66" s="956">
        <f>U$60*$C66</f>
        <v>97580.524213614975</v>
      </c>
      <c r="W66" s="956">
        <f>W$60*$C66</f>
        <v>104077.83736469159</v>
      </c>
      <c r="Y66" s="956">
        <f>Y$60*$C66</f>
        <v>110641.0042933053</v>
      </c>
      <c r="AA66" s="956">
        <f>AA$60*$C66</f>
        <v>117268.29107710092</v>
      </c>
      <c r="AC66" s="956">
        <f>AC$60*$C66</f>
        <v>123957.80213632692</v>
      </c>
      <c r="AE66" s="956">
        <f>AE$60*$C66</f>
        <v>130707.47205157364</v>
      </c>
      <c r="AG66" s="956">
        <f>AG$60*$C66</f>
        <v>137515.05703202492</v>
      </c>
    </row>
    <row r="67" spans="1:34" s="956" customFormat="1">
      <c r="A67" s="961" t="str">
        <f>Application!C640</f>
        <v>Deferred Contractor Loan - Private</v>
      </c>
      <c r="B67" s="961"/>
      <c r="C67" s="955">
        <v>0.05</v>
      </c>
      <c r="E67" s="960">
        <f>E$60*$C67</f>
        <v>8022.2339351055043</v>
      </c>
      <c r="G67" s="956">
        <f>G$60*$C67</f>
        <v>9009.7364751055138</v>
      </c>
      <c r="I67" s="956">
        <f>I$60*$C67</f>
        <v>10009.702704005504</v>
      </c>
      <c r="K67" s="956">
        <f>K$60*$C67</f>
        <v>11022.016378416994</v>
      </c>
      <c r="M67" s="956">
        <f>M$60*$C67</f>
        <v>12046.543374620391</v>
      </c>
      <c r="O67" s="956">
        <f>O$60*$C67</f>
        <v>13083.130717458111</v>
      </c>
      <c r="Q67" s="956">
        <f>Q$60*$C67</f>
        <v>14131.605566606486</v>
      </c>
      <c r="S67" s="956">
        <f>S$60*$C67</f>
        <v>15191.774158519205</v>
      </c>
      <c r="U67" s="956">
        <f>U$60*$C67</f>
        <v>16263.420702269163</v>
      </c>
      <c r="W67" s="956">
        <f>W$60*$C67</f>
        <v>17346.306227448596</v>
      </c>
      <c r="Y67" s="956">
        <f>Y$60*$C67</f>
        <v>18440.167382217547</v>
      </c>
      <c r="AA67" s="956">
        <f>AA$60*$C67</f>
        <v>19544.715179516817</v>
      </c>
      <c r="AC67" s="956">
        <f>AC$60*$C67</f>
        <v>20659.633689387818</v>
      </c>
      <c r="AE67" s="956">
        <f>AE$60*$C67</f>
        <v>21784.57867526227</v>
      </c>
      <c r="AG67" s="956">
        <f>AG$60*$C67</f>
        <v>22919.176172004154</v>
      </c>
    </row>
    <row r="68" spans="1:34" s="956" customFormat="1">
      <c r="A68" s="961" t="str">
        <f>Application!C641</f>
        <v>Bay Area Affordable Housing Loan</v>
      </c>
      <c r="B68" s="961"/>
      <c r="C68" s="955">
        <v>0.05</v>
      </c>
      <c r="E68" s="960">
        <f>E$60*$C68</f>
        <v>8022.2339351055043</v>
      </c>
      <c r="G68" s="956">
        <f>G$60*$C68</f>
        <v>9009.7364751055138</v>
      </c>
      <c r="I68" s="956">
        <f>I$60*$C68</f>
        <v>10009.702704005504</v>
      </c>
      <c r="K68" s="956">
        <f>K$60*$C68</f>
        <v>11022.016378416994</v>
      </c>
      <c r="M68" s="956">
        <f>M$60*$C68</f>
        <v>12046.543374620391</v>
      </c>
      <c r="O68" s="956">
        <f>O$60*$C68</f>
        <v>13083.130717458111</v>
      </c>
      <c r="Q68" s="956">
        <f>Q$60*$C68</f>
        <v>14131.605566606486</v>
      </c>
      <c r="S68" s="956">
        <f>S$60*$C68</f>
        <v>15191.774158519205</v>
      </c>
      <c r="U68" s="956">
        <f>U$60*$C68</f>
        <v>16263.420702269163</v>
      </c>
      <c r="W68" s="956">
        <f>W$60*$C68</f>
        <v>17346.306227448596</v>
      </c>
      <c r="Y68" s="956">
        <f>Y$60*$C68</f>
        <v>18440.167382217547</v>
      </c>
      <c r="AA68" s="956">
        <f>AA$60*$C68</f>
        <v>19544.715179516817</v>
      </c>
      <c r="AC68" s="956">
        <f>AC$60*$C68</f>
        <v>20659.633689387818</v>
      </c>
      <c r="AE68" s="956">
        <f>AE$60*$C68</f>
        <v>21784.57867526227</v>
      </c>
      <c r="AG68" s="956">
        <f>AG$60*$C68</f>
        <v>22919.176172004154</v>
      </c>
    </row>
    <row r="69" spans="1:34" s="956" customFormat="1">
      <c r="A69" s="961"/>
      <c r="B69" s="961"/>
      <c r="C69" s="966"/>
      <c r="E69" s="963"/>
      <c r="G69" s="964">
        <f t="shared" ref="G69:AG69" si="2">E69*$C$66</f>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64177.871480844042</v>
      </c>
      <c r="G70" s="956">
        <f>SUM(G66:G69)</f>
        <v>72077.891800844111</v>
      </c>
      <c r="I70" s="956">
        <f>SUM(I66:I69)</f>
        <v>80077.621632044029</v>
      </c>
      <c r="K70" s="956">
        <f>SUM(K66:K69)</f>
        <v>88176.13102733597</v>
      </c>
      <c r="M70" s="956">
        <f>SUM(M66:M69)</f>
        <v>96372.346996963141</v>
      </c>
      <c r="O70" s="956">
        <f>SUM(O66:O69)</f>
        <v>104665.0457396649</v>
      </c>
      <c r="Q70" s="956">
        <f>SUM(Q66:Q69)</f>
        <v>113052.84453285189</v>
      </c>
      <c r="S70" s="956">
        <f>SUM(S66:S69)</f>
        <v>121534.19326815364</v>
      </c>
      <c r="U70" s="956">
        <f>SUM(U66:U69)</f>
        <v>130107.3656181533</v>
      </c>
      <c r="W70" s="956">
        <f>SUM(W66:W69)</f>
        <v>138770.44981958877</v>
      </c>
      <c r="Y70" s="956">
        <f>SUM(Y66:Y69)</f>
        <v>147521.33905774041</v>
      </c>
      <c r="AA70" s="956">
        <f>SUM(AA66:AA69)</f>
        <v>156357.72143613454</v>
      </c>
      <c r="AC70" s="956">
        <f>SUM(AC66:AC69)</f>
        <v>165277.06951510254</v>
      </c>
      <c r="AE70" s="956">
        <f>SUM(AE66:AE69)</f>
        <v>174276.62940209819</v>
      </c>
      <c r="AG70" s="956">
        <f>SUM(AG66:AG69)</f>
        <v>183353.40937603323</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204" customWidth="1"/>
    <col min="2" max="4" width="14.54296875" style="204" customWidth="1"/>
    <col min="5" max="5" width="50.5429687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5500000</v>
      </c>
      <c r="C5" s="266">
        <f>'Sources and Uses Budget'!$C4</f>
        <v>5500000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5500000</v>
      </c>
      <c r="C9" s="270">
        <f>SUM(C5:C8)</f>
        <v>5500000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5500000</v>
      </c>
      <c r="C13" s="270">
        <f>SUM(C9+C12)</f>
        <v>5500000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840086</v>
      </c>
      <c r="C30" s="266">
        <f>'Sources and Uses Budget'!$C29</f>
        <v>840086</v>
      </c>
      <c r="D30" s="270">
        <f t="shared" si="0"/>
        <v>0</v>
      </c>
      <c r="E30" s="268"/>
      <c r="F30" s="267"/>
    </row>
    <row r="31" spans="1:6" s="352" customFormat="1">
      <c r="A31" s="145" t="s">
        <v>599</v>
      </c>
      <c r="B31" s="266">
        <f>'Sources and Uses Budget'!$C30</f>
        <v>49283562</v>
      </c>
      <c r="C31" s="266">
        <f>'Sources and Uses Budget'!$C30</f>
        <v>49283562</v>
      </c>
      <c r="D31" s="270">
        <f t="shared" si="0"/>
        <v>0</v>
      </c>
      <c r="E31" s="268"/>
      <c r="F31" s="267"/>
    </row>
    <row r="32" spans="1:6" s="352" customFormat="1">
      <c r="A32" s="145" t="s">
        <v>600</v>
      </c>
      <c r="B32" s="266">
        <f>'Sources and Uses Budget'!$C31</f>
        <v>1890985</v>
      </c>
      <c r="C32" s="266">
        <f>'Sources and Uses Budget'!$C31</f>
        <v>1890985</v>
      </c>
      <c r="D32" s="270">
        <f t="shared" si="0"/>
        <v>0</v>
      </c>
      <c r="E32" s="268"/>
      <c r="F32" s="267"/>
    </row>
    <row r="33" spans="1:6" s="352" customFormat="1">
      <c r="A33" s="145" t="s">
        <v>137</v>
      </c>
      <c r="B33" s="266">
        <f>'Sources and Uses Budget'!$C32</f>
        <v>2464010</v>
      </c>
      <c r="C33" s="266">
        <f>'Sources and Uses Budget'!$C32</f>
        <v>2464010</v>
      </c>
      <c r="D33" s="270">
        <f t="shared" si="0"/>
        <v>0</v>
      </c>
      <c r="E33" s="268"/>
      <c r="F33" s="267"/>
    </row>
    <row r="34" spans="1:6" s="352" customFormat="1">
      <c r="A34" s="145" t="s">
        <v>138</v>
      </c>
      <c r="B34" s="266">
        <f>'Sources and Uses Budget'!$C33</f>
        <v>2464010</v>
      </c>
      <c r="C34" s="266">
        <f>'Sources and Uses Budget'!$C33</f>
        <v>2464010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340884</v>
      </c>
      <c r="C36" s="266">
        <f>'Sources and Uses Budget'!$C35</f>
        <v>340884</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57283537</v>
      </c>
      <c r="C39" s="270">
        <f>SUM(C30:C38)</f>
        <v>57283537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436000</v>
      </c>
      <c r="C41" s="266">
        <f>'Sources and Uses Budget'!$C40</f>
        <v>436000</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ht="13">
      <c r="A43" s="271" t="s">
        <v>147</v>
      </c>
      <c r="B43" s="270">
        <f>SUM(B41:B42)</f>
        <v>636000</v>
      </c>
      <c r="C43" s="270">
        <f>SUM(C41:C42)</f>
        <v>636000</v>
      </c>
      <c r="D43" s="270">
        <f t="shared" si="0"/>
        <v>0</v>
      </c>
      <c r="E43" s="268"/>
      <c r="F43" s="267"/>
    </row>
    <row r="44" spans="1:6" s="352" customFormat="1" ht="13">
      <c r="A44" s="271" t="s">
        <v>148</v>
      </c>
      <c r="B44" s="266">
        <f>'Sources and Uses Budget'!$C43</f>
        <v>270500</v>
      </c>
      <c r="C44" s="266">
        <f>'Sources and Uses Budget'!$C43</f>
        <v>270500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5593000</v>
      </c>
      <c r="C46" s="266">
        <f>'Sources and Uses Budget'!$C45</f>
        <v>5593000</v>
      </c>
      <c r="D46" s="270">
        <f t="shared" si="0"/>
        <v>0</v>
      </c>
      <c r="E46" s="268"/>
      <c r="F46" s="267"/>
    </row>
    <row r="47" spans="1:6" s="352" customFormat="1">
      <c r="A47" s="145" t="s">
        <v>151</v>
      </c>
      <c r="B47" s="266">
        <f>'Sources and Uses Budget'!$C46</f>
        <v>234750</v>
      </c>
      <c r="C47" s="266">
        <f>'Sources and Uses Budget'!$C46</f>
        <v>234750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86500</v>
      </c>
      <c r="C50" s="266">
        <f>'Sources and Uses Budget'!$C49</f>
        <v>86500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6349250</v>
      </c>
      <c r="C55" s="273">
        <f>SUM(C46:C54)</f>
        <v>6349250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80000</v>
      </c>
      <c r="C57" s="266">
        <f>'Sources and Uses Budget'!$C56</f>
        <v>80000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12000</v>
      </c>
      <c r="C59" s="266">
        <f>'Sources and Uses Budget'!$C58</f>
        <v>12000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for Perm Loan</v>
      </c>
      <c r="B62" s="266">
        <f>'Sources and Uses Budget'!$C61</f>
        <v>25000</v>
      </c>
      <c r="C62" s="266">
        <f>'Sources and Uses Budget'!$C61</f>
        <v>25000</v>
      </c>
      <c r="D62" s="270">
        <f t="shared" si="0"/>
        <v>0</v>
      </c>
      <c r="E62" s="268"/>
      <c r="F62" s="267"/>
    </row>
    <row r="63" spans="1:6" s="352" customFormat="1" ht="13.75" customHeight="1">
      <c r="A63" s="271" t="s">
        <v>301</v>
      </c>
      <c r="B63" s="270">
        <f>SUM(B57:B62)</f>
        <v>132000</v>
      </c>
      <c r="C63" s="270">
        <f>SUM(C57:C62)</f>
        <v>132000</v>
      </c>
      <c r="D63" s="270">
        <f t="shared" si="0"/>
        <v>0</v>
      </c>
      <c r="E63" s="268"/>
      <c r="F63" s="267"/>
    </row>
    <row r="64" spans="1:6" s="352" customFormat="1" ht="13">
      <c r="A64" s="274" t="s">
        <v>302</v>
      </c>
      <c r="B64" s="270">
        <f>SUM(B9+B12+B14+B15+B17+B26+B28+B39+B43+B44+B55+B63)</f>
        <v>70171287</v>
      </c>
      <c r="C64" s="270">
        <f>SUM(C9+C12+C14+C15+C17+C26+C28+C39+C43+C44+C55+C63)</f>
        <v>70171287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25000</v>
      </c>
      <c r="C66" s="266">
        <f>'Sources and Uses Budget'!$C65</f>
        <v>25000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64000</v>
      </c>
      <c r="C70" s="266">
        <f>'Sources and Uses Budget'!$C69</f>
        <v>64000</v>
      </c>
      <c r="D70" s="270">
        <f t="shared" si="0"/>
        <v>0</v>
      </c>
      <c r="E70" s="268"/>
      <c r="F70" s="267"/>
    </row>
    <row r="71" spans="1:6" s="352" customFormat="1">
      <c r="A71" s="149" t="s">
        <v>1634</v>
      </c>
      <c r="B71" s="270">
        <f>SUM(B66:B70)</f>
        <v>89000</v>
      </c>
      <c r="C71" s="270">
        <f>SUM(C66:C70)</f>
        <v>89000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276630</v>
      </c>
      <c r="C76" s="266">
        <f>'Sources and Uses Budget'!$C75</f>
        <v>276630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276630</v>
      </c>
      <c r="C78" s="270">
        <f>SUM(C73:C77)</f>
        <v>276630</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2033068</v>
      </c>
      <c r="C80" s="266">
        <f>'Sources and Uses Budget'!$C79</f>
        <v>2033068</v>
      </c>
      <c r="D80" s="270">
        <f t="shared" si="1"/>
        <v>0</v>
      </c>
      <c r="E80" s="268"/>
      <c r="F80" s="267"/>
    </row>
    <row r="81" spans="1:6" s="352" customFormat="1">
      <c r="A81" s="510" t="s">
        <v>58</v>
      </c>
      <c r="B81" s="266">
        <f>'Sources and Uses Budget'!$C80</f>
        <v>265500</v>
      </c>
      <c r="C81" s="266">
        <f>'Sources and Uses Budget'!$C80</f>
        <v>265500</v>
      </c>
      <c r="D81" s="270">
        <f>C81-B81</f>
        <v>0</v>
      </c>
      <c r="E81" s="268"/>
      <c r="F81" s="267"/>
    </row>
    <row r="82" spans="1:6" s="352" customFormat="1" ht="13">
      <c r="A82" s="271" t="s">
        <v>1209</v>
      </c>
      <c r="B82" s="270">
        <f>SUM(B80:B81)</f>
        <v>2298568</v>
      </c>
      <c r="C82" s="270">
        <f>SUM(C80:C81)</f>
        <v>2298568</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85000</v>
      </c>
      <c r="C84" s="266">
        <f>'Sources and Uses Budget'!$C83</f>
        <v>85000</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194304</v>
      </c>
      <c r="C86" s="266">
        <f>'Sources and Uses Budget'!$C85</f>
        <v>194304</v>
      </c>
      <c r="D86" s="270">
        <f t="shared" si="1"/>
        <v>0</v>
      </c>
      <c r="E86" s="268"/>
      <c r="F86" s="267"/>
    </row>
    <row r="87" spans="1:6" s="352" customFormat="1">
      <c r="A87" s="269" t="s">
        <v>769</v>
      </c>
      <c r="B87" s="266">
        <f>'Sources and Uses Budget'!$C86</f>
        <v>264441</v>
      </c>
      <c r="C87" s="266">
        <f>'Sources and Uses Budget'!$C86</f>
        <v>264441</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44800</v>
      </c>
      <c r="C90" s="266">
        <f>'Sources and Uses Budget'!$C89</f>
        <v>44800</v>
      </c>
      <c r="D90" s="270">
        <f t="shared" si="1"/>
        <v>0</v>
      </c>
      <c r="E90" s="268"/>
      <c r="F90" s="267"/>
    </row>
    <row r="91" spans="1:6" s="352" customFormat="1">
      <c r="A91" s="269" t="s">
        <v>773</v>
      </c>
      <c r="B91" s="266">
        <f>'Sources and Uses Budget'!$C90</f>
        <v>6000</v>
      </c>
      <c r="C91" s="266">
        <f>'Sources and Uses Budget'!$C90</f>
        <v>6000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5000</v>
      </c>
      <c r="C93" s="266">
        <f>'Sources and Uses Budget'!$C92</f>
        <v>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614545</v>
      </c>
      <c r="C97" s="270">
        <f>SUM(C84:C96)</f>
        <v>614545</v>
      </c>
      <c r="D97" s="270">
        <f t="shared" si="1"/>
        <v>0</v>
      </c>
      <c r="E97" s="268"/>
      <c r="F97" s="267"/>
    </row>
    <row r="98" spans="1:6" s="352" customFormat="1" ht="13">
      <c r="A98" s="271" t="s">
        <v>775</v>
      </c>
      <c r="B98" s="270">
        <f>SUM(B64+B71+B78+B82+B97)</f>
        <v>73450030</v>
      </c>
      <c r="C98" s="270">
        <f>SUM(C64+C71+C78+C82+C97)</f>
        <v>73450030</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13491280</v>
      </c>
      <c r="C100" s="266">
        <f>'Sources and Uses Budget'!$C99</f>
        <v>13491280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13491280</v>
      </c>
      <c r="C105" s="270">
        <f>SUM(C100:C104)</f>
        <v>13491280</v>
      </c>
      <c r="D105" s="270">
        <f t="shared" si="1"/>
        <v>0</v>
      </c>
      <c r="E105" s="268"/>
      <c r="F105" s="267"/>
    </row>
    <row r="106" spans="1:6" s="352" customFormat="1" ht="13">
      <c r="A106" s="271" t="s">
        <v>780</v>
      </c>
      <c r="B106" s="273">
        <f>SUM(B98+B105)</f>
        <v>86941310</v>
      </c>
      <c r="C106" s="273">
        <f>SUM(C98+C105)</f>
        <v>86941310</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5" customHeight="1" zeroHeight="1"/>
  <cols>
    <col min="1" max="10" width="10.54296875" style="402" customWidth="1"/>
    <col min="11" max="16384" width="8.81640625" style="402" hidden="1"/>
  </cols>
  <sheetData>
    <row r="1" spans="1:10" ht="15.5">
      <c r="A1" s="1281" t="s">
        <v>1843</v>
      </c>
      <c r="B1" s="1282"/>
      <c r="C1" s="1282"/>
      <c r="D1" s="1282"/>
      <c r="E1" s="1282"/>
      <c r="F1" s="1282"/>
      <c r="G1" s="1282"/>
      <c r="H1" s="1282"/>
      <c r="I1" s="1282"/>
      <c r="J1" s="1282"/>
    </row>
    <row r="2" spans="1:10" ht="15.5">
      <c r="A2" s="1285" t="s">
        <v>1268</v>
      </c>
      <c r="B2" s="1286"/>
      <c r="C2" s="1286"/>
      <c r="D2" s="1286"/>
      <c r="E2" s="1286"/>
      <c r="F2" s="1286"/>
      <c r="G2" s="1286"/>
      <c r="H2" s="1286"/>
      <c r="I2" s="1286"/>
      <c r="J2" s="1286"/>
    </row>
    <row r="3" spans="1:10" ht="12.5"/>
    <row r="4" spans="1:10" ht="12.75" customHeight="1">
      <c r="A4" s="1283" t="s">
        <v>2007</v>
      </c>
      <c r="B4" s="1283"/>
      <c r="C4" s="1283"/>
      <c r="D4" s="1283"/>
      <c r="E4" s="1283"/>
      <c r="F4" s="1283"/>
      <c r="G4" s="1283"/>
      <c r="H4" s="1283"/>
      <c r="I4" s="1283"/>
      <c r="J4" s="1283"/>
    </row>
    <row r="5" spans="1:10" ht="12.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5"/>
    <row r="10" spans="1:10" ht="12.75" customHeight="1">
      <c r="A10" s="1287" t="s">
        <v>1848</v>
      </c>
      <c r="B10" s="1287"/>
      <c r="C10" s="1287"/>
      <c r="D10" s="1287"/>
      <c r="E10" s="1287"/>
      <c r="F10" s="1287"/>
      <c r="G10" s="1287"/>
      <c r="H10" s="1287"/>
      <c r="I10" s="1287"/>
      <c r="J10" s="1287"/>
    </row>
    <row r="11" spans="1:10" ht="12.5">
      <c r="A11" s="1287"/>
      <c r="B11" s="1287"/>
      <c r="C11" s="1287"/>
      <c r="D11" s="1287"/>
      <c r="E11" s="1287"/>
      <c r="F11" s="1287"/>
      <c r="G11" s="1287"/>
      <c r="H11" s="1287"/>
      <c r="I11" s="1287"/>
      <c r="J11" s="1287"/>
    </row>
    <row r="12" spans="1:10" ht="12.5">
      <c r="A12" s="1287"/>
      <c r="B12" s="1287"/>
      <c r="C12" s="1287"/>
      <c r="D12" s="1287"/>
      <c r="E12" s="1287"/>
      <c r="F12" s="1287"/>
      <c r="G12" s="1287"/>
      <c r="H12" s="1287"/>
      <c r="I12" s="1287"/>
      <c r="J12" s="1287"/>
    </row>
    <row r="13" spans="1:10" ht="12.5">
      <c r="A13" s="1287"/>
      <c r="B13" s="1287"/>
      <c r="C13" s="1287"/>
      <c r="D13" s="1287"/>
      <c r="E13" s="1287"/>
      <c r="F13" s="1287"/>
      <c r="G13" s="1287"/>
      <c r="H13" s="1287"/>
      <c r="I13" s="1287"/>
      <c r="J13" s="1287"/>
    </row>
    <row r="14" spans="1:10" ht="12.5">
      <c r="A14" s="1287"/>
      <c r="B14" s="1287"/>
      <c r="C14" s="1287"/>
      <c r="D14" s="1287"/>
      <c r="E14" s="1287"/>
      <c r="F14" s="1287"/>
      <c r="G14" s="1287"/>
      <c r="H14" s="1287"/>
      <c r="I14" s="1287"/>
      <c r="J14" s="1287"/>
    </row>
    <row r="15" spans="1:10" ht="12.5">
      <c r="A15" s="1287"/>
      <c r="B15" s="1287"/>
      <c r="C15" s="1287"/>
      <c r="D15" s="1287"/>
      <c r="E15" s="1287"/>
      <c r="F15" s="1287"/>
      <c r="G15" s="1287"/>
      <c r="H15" s="1287"/>
      <c r="I15" s="1287"/>
      <c r="J15" s="1287"/>
    </row>
    <row r="16" spans="1:10" ht="12.5">
      <c r="A16" s="524"/>
      <c r="B16" s="524"/>
      <c r="C16" s="524"/>
      <c r="D16" s="524"/>
      <c r="E16" s="524"/>
      <c r="F16" s="524"/>
      <c r="G16" s="524"/>
      <c r="H16" s="524"/>
      <c r="I16" s="524"/>
      <c r="J16" s="524"/>
    </row>
    <row r="17" spans="1:10" ht="12.5">
      <c r="A17" s="476" t="s">
        <v>1847</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6" t="s">
        <v>1189</v>
      </c>
      <c r="B19" s="1286"/>
      <c r="C19" s="1286"/>
      <c r="D19" s="1286"/>
      <c r="E19" s="1286"/>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3" t="s">
        <v>1190</v>
      </c>
      <c r="B76" s="1283"/>
      <c r="C76" s="1283"/>
      <c r="D76" s="1283"/>
      <c r="E76" s="1283"/>
      <c r="F76" s="1283"/>
      <c r="G76" s="1283"/>
      <c r="H76" s="1283"/>
      <c r="I76" s="1283"/>
      <c r="J76" s="1283"/>
    </row>
    <row r="77" spans="1:10" ht="12.5">
      <c r="A77" s="1283"/>
      <c r="B77" s="1283"/>
      <c r="C77" s="1283"/>
      <c r="D77" s="1283"/>
      <c r="E77" s="1283"/>
      <c r="F77" s="1283"/>
      <c r="G77" s="1283"/>
      <c r="H77" s="1283"/>
      <c r="I77" s="1283"/>
      <c r="J77" s="1283"/>
    </row>
    <row r="78" spans="1:10" ht="12.5">
      <c r="A78" s="1283"/>
      <c r="B78" s="1283"/>
      <c r="C78" s="1283"/>
      <c r="D78" s="1283"/>
      <c r="E78" s="1283"/>
      <c r="F78" s="1283"/>
      <c r="G78" s="1283"/>
      <c r="H78" s="1283"/>
      <c r="I78" s="1283"/>
      <c r="J78" s="1283"/>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284" t="s">
        <v>1844</v>
      </c>
      <c r="B89" s="1284"/>
      <c r="C89" s="1284"/>
      <c r="D89" s="1284"/>
      <c r="E89" s="1284"/>
      <c r="F89" s="1284"/>
      <c r="G89" s="1284"/>
      <c r="H89" s="1284"/>
      <c r="I89" s="1284"/>
    </row>
    <row r="90" spans="1:9" ht="12.5">
      <c r="A90" s="1276" t="s">
        <v>2005</v>
      </c>
      <c r="B90" s="1276"/>
      <c r="C90" s="1276"/>
      <c r="D90" s="1276"/>
      <c r="E90" s="1276"/>
    </row>
    <row r="91" spans="1:9" ht="12.5">
      <c r="A91" s="1276" t="s">
        <v>2006</v>
      </c>
      <c r="B91" s="1276"/>
      <c r="C91" s="1276"/>
      <c r="D91" s="1276"/>
      <c r="E91" s="1276"/>
    </row>
    <row r="92" spans="1:9" ht="12.5">
      <c r="A92" s="1276" t="s">
        <v>1845</v>
      </c>
      <c r="B92" s="1276"/>
      <c r="C92" s="1276"/>
      <c r="D92" s="1276"/>
      <c r="E92" s="1276"/>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72" workbookViewId="0">
      <selection activeCell="B1161" sqref="B1161"/>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9" t="s">
        <v>2607</v>
      </c>
      <c r="B2" s="1339"/>
      <c r="C2" s="1339"/>
      <c r="D2" s="1339"/>
      <c r="E2" s="1339"/>
      <c r="F2" s="1339"/>
      <c r="G2" s="1339"/>
      <c r="H2" s="1339"/>
      <c r="I2" s="1339"/>
    </row>
    <row r="3" spans="1:13">
      <c r="A3" s="1329" t="s">
        <v>2174</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2173</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1101</v>
      </c>
      <c r="B9" s="1308"/>
      <c r="C9" s="1308"/>
      <c r="D9" s="1308"/>
      <c r="E9" s="1308"/>
      <c r="F9" s="1308"/>
      <c r="G9" s="1308"/>
      <c r="H9" s="1023"/>
      <c r="I9" s="1024"/>
    </row>
    <row r="10" spans="1:13">
      <c r="A10" s="482"/>
      <c r="B10" s="482"/>
      <c r="E10" s="404"/>
    </row>
    <row r="11" spans="1:13" ht="13.75" customHeight="1">
      <c r="C11" s="482"/>
      <c r="D11" s="1331" t="s">
        <v>1100</v>
      </c>
      <c r="E11" s="1331"/>
      <c r="F11" s="1331"/>
    </row>
    <row r="12" spans="1:13">
      <c r="C12" s="482"/>
      <c r="D12" s="1331"/>
      <c r="E12" s="1331"/>
      <c r="F12" s="1331"/>
    </row>
    <row r="13" spans="1:13">
      <c r="A13" s="483"/>
      <c r="B13" s="483"/>
      <c r="C13" s="483"/>
      <c r="D13" s="1309" t="s">
        <v>1090</v>
      </c>
      <c r="E13" s="1309"/>
      <c r="F13" s="1309"/>
      <c r="M13" s="96"/>
    </row>
    <row r="14" spans="1:13">
      <c r="A14" s="483"/>
      <c r="B14" s="483"/>
      <c r="C14" s="483"/>
      <c r="D14" s="476"/>
      <c r="L14" s="312"/>
    </row>
    <row r="15" spans="1:13">
      <c r="A15" s="484"/>
      <c r="B15" s="485" t="s">
        <v>2761</v>
      </c>
      <c r="C15" s="483"/>
      <c r="D15" s="1307" t="s">
        <v>1895</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1893</v>
      </c>
      <c r="F18" s="445"/>
      <c r="I18" s="490"/>
    </row>
    <row r="19" spans="1:9">
      <c r="A19" s="483"/>
      <c r="B19" s="483"/>
      <c r="C19" s="483"/>
      <c r="I19" s="490"/>
    </row>
    <row r="20" spans="1:9">
      <c r="A20" s="484"/>
      <c r="B20" s="485" t="s">
        <v>2761</v>
      </c>
      <c r="D20" s="1307" t="s">
        <v>1896</v>
      </c>
      <c r="E20" s="1307"/>
      <c r="F20" s="1307"/>
      <c r="I20" s="490"/>
    </row>
    <row r="21" spans="1:9">
      <c r="A21" s="484"/>
      <c r="D21" s="1307"/>
      <c r="E21" s="1307"/>
      <c r="F21" s="1307"/>
      <c r="I21" s="490"/>
    </row>
    <row r="22" spans="1:9">
      <c r="A22" s="484"/>
      <c r="D22" s="392"/>
      <c r="E22" s="96" t="s">
        <v>1892</v>
      </c>
      <c r="F22" s="392"/>
      <c r="I22" s="490"/>
    </row>
    <row r="23" spans="1:9">
      <c r="A23" s="484"/>
      <c r="B23" s="484"/>
      <c r="D23" s="446"/>
      <c r="I23" s="490"/>
    </row>
    <row r="24" spans="1:9">
      <c r="A24" s="484"/>
      <c r="B24" s="485" t="s">
        <v>2689</v>
      </c>
      <c r="D24" s="1307" t="s">
        <v>1091</v>
      </c>
      <c r="E24" s="1307"/>
      <c r="F24" s="1307"/>
      <c r="I24" s="490"/>
    </row>
    <row r="25" spans="1:9">
      <c r="A25" s="484"/>
      <c r="B25" s="484"/>
      <c r="D25" s="1307"/>
      <c r="E25" s="1307"/>
      <c r="F25" s="1307"/>
      <c r="I25" s="490"/>
    </row>
    <row r="26" spans="1:9">
      <c r="I26" s="490"/>
    </row>
    <row r="27" spans="1:9">
      <c r="A27" s="484"/>
      <c r="B27" s="485" t="s">
        <v>2761</v>
      </c>
      <c r="D27" s="1307" t="s">
        <v>2008</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2689</v>
      </c>
      <c r="D33" s="1307" t="s">
        <v>2009</v>
      </c>
      <c r="E33" s="1307"/>
      <c r="F33" s="1307"/>
      <c r="I33" s="490"/>
    </row>
    <row r="34" spans="1:9">
      <c r="D34" s="1307"/>
      <c r="E34" s="1307"/>
      <c r="F34" s="1307"/>
      <c r="I34" s="490"/>
    </row>
    <row r="35" spans="1:9">
      <c r="A35" s="484"/>
      <c r="B35" s="484"/>
      <c r="D35" s="447"/>
      <c r="I35" s="490"/>
    </row>
    <row r="36" spans="1:9" ht="14.5" customHeight="1">
      <c r="A36" s="484"/>
      <c r="B36" s="485" t="s">
        <v>2761</v>
      </c>
      <c r="D36" s="1307" t="s">
        <v>1214</v>
      </c>
      <c r="E36" s="1307"/>
      <c r="F36" s="1307"/>
      <c r="I36" s="490"/>
    </row>
    <row r="37" spans="1:9">
      <c r="A37" s="484"/>
      <c r="B37" s="484"/>
      <c r="D37" s="1307"/>
      <c r="E37" s="1307"/>
      <c r="F37" s="1307"/>
      <c r="I37" s="490"/>
    </row>
    <row r="38" spans="1:9">
      <c r="A38" s="484"/>
      <c r="B38" s="484"/>
      <c r="D38" s="1307"/>
      <c r="E38" s="1307"/>
      <c r="F38" s="1307"/>
      <c r="I38" s="490"/>
    </row>
    <row r="39" spans="1:9">
      <c r="A39" s="484"/>
      <c r="B39" s="484"/>
      <c r="D39" s="1307"/>
      <c r="E39" s="1307"/>
      <c r="F39" s="1307"/>
      <c r="I39" s="490"/>
    </row>
    <row r="40" spans="1:9">
      <c r="A40" s="484"/>
      <c r="B40" s="484"/>
      <c r="I40" s="490"/>
    </row>
    <row r="41" spans="1:9">
      <c r="A41" s="484"/>
      <c r="B41" s="485" t="s">
        <v>2689</v>
      </c>
      <c r="D41" s="1307" t="s">
        <v>1092</v>
      </c>
      <c r="E41" s="1307"/>
      <c r="F41" s="1307"/>
      <c r="I41" s="490"/>
    </row>
    <row r="42" spans="1:9">
      <c r="A42" s="484"/>
      <c r="B42" s="484"/>
      <c r="D42" s="1307"/>
      <c r="E42" s="1307"/>
      <c r="F42" s="1307"/>
      <c r="I42" s="490"/>
    </row>
    <row r="43" spans="1:9">
      <c r="A43" s="484"/>
      <c r="B43" s="484"/>
      <c r="D43" s="1307"/>
      <c r="E43" s="1307"/>
      <c r="F43" s="1307"/>
      <c r="I43" s="490"/>
    </row>
    <row r="44" spans="1:9">
      <c r="A44" s="484"/>
      <c r="B44" s="484"/>
      <c r="D44" s="1307"/>
      <c r="E44" s="1307"/>
      <c r="F44" s="1307"/>
      <c r="I44" s="490"/>
    </row>
    <row r="45" spans="1:9">
      <c r="A45" s="484"/>
      <c r="B45" s="484"/>
      <c r="D45" s="1307"/>
      <c r="E45" s="1307"/>
      <c r="F45" s="1307"/>
      <c r="I45" s="490"/>
    </row>
    <row r="46" spans="1:9">
      <c r="A46" s="484"/>
      <c r="B46" s="484"/>
      <c r="D46" s="445"/>
      <c r="E46" s="445"/>
      <c r="F46" s="445"/>
      <c r="I46" s="490"/>
    </row>
    <row r="47" spans="1:9">
      <c r="A47" s="484"/>
      <c r="B47" s="485" t="s">
        <v>2761</v>
      </c>
      <c r="D47" s="1307" t="s">
        <v>1093</v>
      </c>
      <c r="E47" s="1307"/>
      <c r="F47" s="1307"/>
      <c r="I47" s="490"/>
    </row>
    <row r="48" spans="1:9">
      <c r="A48" s="484"/>
      <c r="B48" s="484"/>
      <c r="D48" s="1307"/>
      <c r="E48" s="1307"/>
      <c r="F48" s="1307"/>
      <c r="I48" s="490"/>
    </row>
    <row r="49" spans="1:9">
      <c r="A49" s="484"/>
      <c r="B49" s="484"/>
      <c r="D49" s="1307"/>
      <c r="E49" s="1307"/>
      <c r="F49" s="1307"/>
      <c r="I49" s="490"/>
    </row>
    <row r="50" spans="1:9" ht="23.25" customHeight="1">
      <c r="A50" s="484"/>
      <c r="B50" s="484"/>
      <c r="D50" s="1307"/>
      <c r="E50" s="1307"/>
      <c r="F50" s="1307"/>
      <c r="I50" s="490"/>
    </row>
    <row r="51" spans="1:9">
      <c r="A51" s="484"/>
      <c r="B51" s="484"/>
      <c r="D51" s="446"/>
      <c r="I51" s="490"/>
    </row>
    <row r="52" spans="1:9" ht="14.5" customHeight="1">
      <c r="A52" s="484"/>
      <c r="B52" s="485" t="s">
        <v>2689</v>
      </c>
      <c r="D52" s="1307" t="s">
        <v>1094</v>
      </c>
      <c r="E52" s="1307"/>
      <c r="F52" s="1307"/>
      <c r="I52" s="490"/>
    </row>
    <row r="53" spans="1:9">
      <c r="A53" s="484"/>
      <c r="B53" s="484"/>
      <c r="D53" s="1307"/>
      <c r="E53" s="1307"/>
      <c r="F53" s="1307"/>
      <c r="I53" s="490"/>
    </row>
    <row r="54" spans="1:9">
      <c r="A54" s="484"/>
      <c r="B54" s="484"/>
      <c r="D54" s="1307"/>
      <c r="E54" s="1307"/>
      <c r="F54" s="1307"/>
      <c r="I54" s="490"/>
    </row>
    <row r="55" spans="1:9">
      <c r="A55" s="484"/>
      <c r="B55" s="484"/>
      <c r="I55" s="490"/>
    </row>
    <row r="56" spans="1:9">
      <c r="A56" s="484"/>
      <c r="B56" s="485" t="s">
        <v>2761</v>
      </c>
      <c r="D56" s="1334" t="s">
        <v>1095</v>
      </c>
      <c r="E56" s="1334"/>
      <c r="F56" s="1334"/>
      <c r="I56" s="490"/>
    </row>
    <row r="57" spans="1:9">
      <c r="A57" s="484"/>
      <c r="B57" s="484"/>
      <c r="D57" s="1334"/>
      <c r="E57" s="1334"/>
      <c r="F57" s="1334"/>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2689</v>
      </c>
      <c r="D61" s="1307" t="s">
        <v>1096</v>
      </c>
      <c r="E61" s="1307"/>
      <c r="F61" s="1307"/>
      <c r="I61" s="490"/>
    </row>
    <row r="62" spans="1:9">
      <c r="D62" s="1307"/>
      <c r="E62" s="1307"/>
      <c r="F62" s="1307"/>
      <c r="I62" s="490"/>
    </row>
    <row r="63" spans="1:9">
      <c r="D63" s="1307"/>
      <c r="E63" s="1307"/>
      <c r="F63" s="1307"/>
      <c r="I63" s="490"/>
    </row>
    <row r="64" spans="1:9">
      <c r="I64" s="490"/>
    </row>
    <row r="65" spans="1:9">
      <c r="A65" s="484"/>
      <c r="B65" s="485" t="s">
        <v>2689</v>
      </c>
      <c r="D65" s="1307" t="s">
        <v>1097</v>
      </c>
      <c r="E65" s="1307"/>
      <c r="F65" s="1307"/>
      <c r="I65" s="490"/>
    </row>
    <row r="66" spans="1:9">
      <c r="D66" s="1307"/>
      <c r="E66" s="1307"/>
      <c r="F66" s="1307"/>
      <c r="I66" s="490"/>
    </row>
    <row r="67" spans="1:9">
      <c r="I67" s="490"/>
    </row>
    <row r="68" spans="1:9">
      <c r="A68" s="484"/>
      <c r="B68" s="485" t="s">
        <v>2761</v>
      </c>
      <c r="D68" s="1307" t="s">
        <v>1098</v>
      </c>
      <c r="E68" s="1307"/>
      <c r="F68" s="1307"/>
      <c r="I68" s="490"/>
    </row>
    <row r="69" spans="1:9">
      <c r="D69" s="1307"/>
      <c r="E69" s="1307"/>
      <c r="F69" s="1307"/>
      <c r="I69" s="490"/>
    </row>
    <row r="70" spans="1:9">
      <c r="D70" s="1307"/>
      <c r="E70" s="1307"/>
      <c r="F70" s="1307"/>
      <c r="I70" s="490"/>
    </row>
    <row r="71" spans="1:9">
      <c r="I71" s="490"/>
    </row>
    <row r="72" spans="1:9">
      <c r="A72" s="484"/>
      <c r="B72" s="485" t="s">
        <v>2761</v>
      </c>
      <c r="D72" s="1307" t="s">
        <v>1099</v>
      </c>
      <c r="E72" s="1307"/>
      <c r="F72" s="1307"/>
      <c r="I72" s="490"/>
    </row>
    <row r="73" spans="1:9">
      <c r="D73" s="1307"/>
      <c r="E73" s="1307"/>
      <c r="F73" s="1307"/>
      <c r="I73" s="490"/>
    </row>
    <row r="74" spans="1:9">
      <c r="A74" s="484"/>
      <c r="B74" s="484"/>
      <c r="D74" s="446"/>
      <c r="I74" s="490"/>
    </row>
    <row r="75" spans="1:9">
      <c r="A75" s="1308" t="s">
        <v>1044</v>
      </c>
      <c r="B75" s="1308"/>
      <c r="C75" s="1308"/>
      <c r="D75" s="1308"/>
      <c r="E75" s="1308"/>
      <c r="F75" s="1308"/>
      <c r="G75" s="1308"/>
      <c r="H75" s="1023"/>
      <c r="I75" s="1147"/>
    </row>
    <row r="76" spans="1:9">
      <c r="I76" s="490"/>
    </row>
    <row r="77" spans="1:9">
      <c r="C77" s="486"/>
      <c r="D77" s="1327" t="s">
        <v>1102</v>
      </c>
      <c r="E77" s="1327"/>
      <c r="F77" s="1327"/>
      <c r="I77" s="490"/>
    </row>
    <row r="78" spans="1:9">
      <c r="A78" s="446"/>
      <c r="B78" s="446"/>
      <c r="D78" s="1307" t="s">
        <v>1117</v>
      </c>
      <c r="E78" s="1307"/>
      <c r="F78" s="1307"/>
      <c r="I78" s="490"/>
    </row>
    <row r="79" spans="1:9">
      <c r="A79" s="446"/>
      <c r="B79" s="446"/>
      <c r="I79" s="490"/>
    </row>
    <row r="80" spans="1:9" ht="13.75" customHeight="1">
      <c r="A80" s="484"/>
      <c r="B80" s="485" t="s">
        <v>2761</v>
      </c>
      <c r="D80" s="1307" t="s">
        <v>1245</v>
      </c>
      <c r="E80" s="1307"/>
      <c r="F80" s="1307"/>
      <c r="I80" s="490"/>
    </row>
    <row r="81" spans="1:9">
      <c r="A81" s="484"/>
      <c r="B81" s="484"/>
      <c r="D81" s="1307"/>
      <c r="E81" s="1307"/>
      <c r="F81" s="1307"/>
      <c r="I81" s="490"/>
    </row>
    <row r="82" spans="1:9">
      <c r="A82" s="484"/>
      <c r="B82" s="484"/>
      <c r="D82" s="1307"/>
      <c r="E82" s="1307"/>
      <c r="F82" s="1307"/>
      <c r="I82" s="490"/>
    </row>
    <row r="83" spans="1:9">
      <c r="A83" s="484"/>
      <c r="B83" s="484"/>
      <c r="D83" s="1307"/>
      <c r="E83" s="1307"/>
      <c r="F83" s="1307"/>
      <c r="I83" s="490"/>
    </row>
    <row r="84" spans="1:9">
      <c r="A84" s="484"/>
      <c r="B84" s="484"/>
      <c r="D84" s="1307"/>
      <c r="E84" s="1307"/>
      <c r="F84" s="1307"/>
      <c r="I84" s="490"/>
    </row>
    <row r="85" spans="1:9">
      <c r="A85" s="484"/>
      <c r="B85" s="484"/>
      <c r="D85" s="1307"/>
      <c r="E85" s="1307"/>
      <c r="F85" s="1307"/>
      <c r="I85" s="490"/>
    </row>
    <row r="86" spans="1:9">
      <c r="A86" s="484"/>
      <c r="B86" s="484"/>
      <c r="D86" s="1307"/>
      <c r="E86" s="1307"/>
      <c r="F86" s="1307"/>
      <c r="I86" s="490"/>
    </row>
    <row r="87" spans="1:9">
      <c r="A87" s="484"/>
      <c r="B87" s="484"/>
      <c r="D87" s="1307"/>
      <c r="E87" s="1307"/>
      <c r="F87" s="1307"/>
      <c r="I87" s="490"/>
    </row>
    <row r="88" spans="1:9">
      <c r="A88" s="484"/>
      <c r="B88" s="484"/>
      <c r="D88" s="385"/>
      <c r="E88" s="385"/>
      <c r="F88" s="385"/>
      <c r="I88" s="490"/>
    </row>
    <row r="89" spans="1:9" ht="15" customHeight="1">
      <c r="A89" s="484"/>
      <c r="B89" s="485" t="s">
        <v>2761</v>
      </c>
      <c r="D89" s="1307" t="s">
        <v>1731</v>
      </c>
      <c r="E89" s="1307"/>
      <c r="F89" s="1307"/>
      <c r="I89" s="490"/>
    </row>
    <row r="90" spans="1:9">
      <c r="A90" s="484"/>
      <c r="B90" s="484"/>
      <c r="D90" s="1307"/>
      <c r="E90" s="1307"/>
      <c r="F90" s="1307"/>
      <c r="I90" s="490"/>
    </row>
    <row r="91" spans="1:9">
      <c r="A91" s="484"/>
      <c r="B91" s="484"/>
      <c r="D91" s="445"/>
      <c r="E91" s="445"/>
      <c r="F91" s="445"/>
      <c r="I91" s="490"/>
    </row>
    <row r="92" spans="1:9">
      <c r="A92" s="484"/>
      <c r="B92" s="485" t="s">
        <v>2761</v>
      </c>
      <c r="D92" s="1307" t="s">
        <v>1734</v>
      </c>
      <c r="E92" s="1307"/>
      <c r="F92" s="1307"/>
      <c r="I92" s="490"/>
    </row>
    <row r="93" spans="1:9">
      <c r="A93" s="484"/>
      <c r="B93" s="484"/>
      <c r="D93" s="1307"/>
      <c r="E93" s="1307"/>
      <c r="F93" s="1307"/>
      <c r="I93" s="490"/>
    </row>
    <row r="94" spans="1:9">
      <c r="A94" s="484"/>
      <c r="B94" s="484"/>
      <c r="D94" s="1307"/>
      <c r="E94" s="1307"/>
      <c r="F94" s="1307"/>
      <c r="I94" s="490"/>
    </row>
    <row r="95" spans="1:9">
      <c r="A95" s="484"/>
      <c r="B95" s="484"/>
      <c r="D95" s="445"/>
      <c r="E95" s="445"/>
      <c r="F95" s="445"/>
      <c r="I95" s="490"/>
    </row>
    <row r="96" spans="1:9">
      <c r="A96" s="484"/>
      <c r="B96" s="485" t="s">
        <v>2761</v>
      </c>
      <c r="D96" s="1307" t="s">
        <v>1733</v>
      </c>
      <c r="E96" s="1307"/>
      <c r="F96" s="1307"/>
      <c r="I96" s="490"/>
    </row>
    <row r="97" spans="1:9" s="982" customFormat="1">
      <c r="A97" s="980"/>
      <c r="B97" s="980"/>
      <c r="C97" s="981"/>
      <c r="D97" s="1307"/>
      <c r="E97" s="1307"/>
      <c r="F97" s="1307"/>
      <c r="I97" s="1148"/>
    </row>
    <row r="98" spans="1:9">
      <c r="A98" s="484"/>
      <c r="B98" s="484"/>
      <c r="D98" s="392"/>
      <c r="E98" s="312" t="s">
        <v>1897</v>
      </c>
      <c r="F98" s="445"/>
      <c r="I98" s="490"/>
    </row>
    <row r="99" spans="1:9">
      <c r="A99" s="484"/>
      <c r="B99" s="484"/>
      <c r="D99" s="385"/>
      <c r="E99" s="385"/>
      <c r="F99" s="385"/>
      <c r="I99" s="490"/>
    </row>
    <row r="100" spans="1:9">
      <c r="A100" s="484"/>
      <c r="B100" s="485" t="s">
        <v>2689</v>
      </c>
      <c r="D100" s="1307" t="s">
        <v>1732</v>
      </c>
      <c r="E100" s="1307"/>
      <c r="F100" s="1307"/>
      <c r="I100" s="490"/>
    </row>
    <row r="101" spans="1:9">
      <c r="A101" s="484"/>
      <c r="B101" s="484"/>
      <c r="D101" s="1307"/>
      <c r="E101" s="1307"/>
      <c r="F101" s="1307"/>
      <c r="I101" s="490"/>
    </row>
    <row r="102" spans="1:9">
      <c r="A102" s="484"/>
      <c r="B102" s="484"/>
      <c r="D102" s="445"/>
      <c r="E102" s="445"/>
      <c r="F102" s="445"/>
      <c r="I102" s="490"/>
    </row>
    <row r="103" spans="1:9" ht="14.5" customHeight="1">
      <c r="A103" s="484"/>
      <c r="B103" s="485" t="s">
        <v>2689</v>
      </c>
      <c r="D103" s="1307" t="s">
        <v>1194</v>
      </c>
      <c r="E103" s="1307"/>
      <c r="F103" s="1307"/>
      <c r="I103" s="490"/>
    </row>
    <row r="104" spans="1:9">
      <c r="A104" s="484"/>
      <c r="B104" s="484"/>
      <c r="D104" s="1307"/>
      <c r="E104" s="1307"/>
      <c r="F104" s="1307"/>
      <c r="I104" s="490"/>
    </row>
    <row r="105" spans="1:9">
      <c r="A105" s="484"/>
      <c r="B105" s="484"/>
      <c r="D105" s="1307"/>
      <c r="E105" s="1307"/>
      <c r="F105" s="1307"/>
      <c r="I105" s="490"/>
    </row>
    <row r="106" spans="1:9">
      <c r="A106" s="484"/>
      <c r="B106" s="484"/>
      <c r="D106" s="1307"/>
      <c r="E106" s="1307"/>
      <c r="F106" s="1307"/>
      <c r="I106" s="490"/>
    </row>
    <row r="107" spans="1:9">
      <c r="A107" s="484"/>
      <c r="B107" s="484"/>
      <c r="D107" s="1307"/>
      <c r="E107" s="1307"/>
      <c r="F107" s="1307"/>
      <c r="I107" s="490"/>
    </row>
    <row r="108" spans="1:9">
      <c r="A108" s="484"/>
      <c r="B108" s="484"/>
      <c r="D108" s="1307"/>
      <c r="E108" s="1307"/>
      <c r="F108" s="1307"/>
      <c r="I108" s="490"/>
    </row>
    <row r="109" spans="1:9">
      <c r="A109" s="484"/>
      <c r="B109" s="484"/>
      <c r="D109" s="1307"/>
      <c r="E109" s="1307"/>
      <c r="F109" s="1307"/>
      <c r="I109" s="490"/>
    </row>
    <row r="110" spans="1:9">
      <c r="A110" s="484"/>
      <c r="B110" s="484"/>
      <c r="D110" s="1307"/>
      <c r="E110" s="1307"/>
      <c r="F110" s="1307"/>
      <c r="I110" s="490"/>
    </row>
    <row r="111" spans="1:9">
      <c r="A111" s="484"/>
      <c r="B111" s="484"/>
      <c r="D111" s="1307"/>
      <c r="E111" s="1307"/>
      <c r="F111" s="1307"/>
      <c r="I111" s="490"/>
    </row>
    <row r="112" spans="1:9">
      <c r="A112" s="484"/>
      <c r="B112" s="484"/>
      <c r="D112" s="1307"/>
      <c r="E112" s="1307"/>
      <c r="F112" s="1307"/>
      <c r="I112" s="490"/>
    </row>
    <row r="113" spans="1:9">
      <c r="A113" s="484"/>
      <c r="B113" s="484"/>
      <c r="D113" s="1307"/>
      <c r="E113" s="1307"/>
      <c r="F113" s="1307"/>
      <c r="I113" s="490"/>
    </row>
    <row r="114" spans="1:9">
      <c r="A114" s="484"/>
      <c r="B114" s="484"/>
      <c r="D114" s="1307"/>
      <c r="E114" s="1307"/>
      <c r="F114" s="1307"/>
      <c r="I114" s="490"/>
    </row>
    <row r="115" spans="1:9">
      <c r="A115" s="484"/>
      <c r="B115" s="484"/>
      <c r="D115" s="1307"/>
      <c r="E115" s="1307"/>
      <c r="F115" s="1307"/>
      <c r="I115" s="490"/>
    </row>
    <row r="116" spans="1:9">
      <c r="A116" s="484"/>
      <c r="B116" s="484"/>
      <c r="D116" s="1307"/>
      <c r="E116" s="1307"/>
      <c r="F116" s="1307"/>
      <c r="I116" s="490"/>
    </row>
    <row r="117" spans="1:9">
      <c r="A117" s="484"/>
      <c r="B117" s="484"/>
      <c r="D117" s="1307"/>
      <c r="E117" s="1307"/>
      <c r="F117" s="1307"/>
      <c r="I117" s="490"/>
    </row>
    <row r="118" spans="1:9">
      <c r="A118" s="484"/>
      <c r="B118" s="484"/>
      <c r="D118" s="524"/>
      <c r="E118" s="524"/>
      <c r="F118" s="524"/>
      <c r="I118" s="490"/>
    </row>
    <row r="119" spans="1:9" ht="14.25" customHeight="1">
      <c r="A119" s="484"/>
      <c r="B119" s="485" t="s">
        <v>2689</v>
      </c>
      <c r="D119" s="1333" t="s">
        <v>1103</v>
      </c>
      <c r="E119" s="1333"/>
      <c r="F119" s="1333"/>
      <c r="I119" s="490"/>
    </row>
    <row r="120" spans="1:9">
      <c r="A120" s="484"/>
      <c r="B120" s="484"/>
      <c r="D120" s="1333"/>
      <c r="E120" s="1333"/>
      <c r="F120" s="1333"/>
      <c r="I120" s="490"/>
    </row>
    <row r="121" spans="1:9">
      <c r="A121" s="484"/>
      <c r="B121" s="484"/>
      <c r="D121" s="1333"/>
      <c r="E121" s="1333"/>
      <c r="F121" s="1333"/>
      <c r="I121" s="490"/>
    </row>
    <row r="122" spans="1:9">
      <c r="A122" s="484"/>
      <c r="B122" s="484"/>
      <c r="D122" s="1333"/>
      <c r="E122" s="1333"/>
      <c r="F122" s="1333"/>
      <c r="I122" s="490"/>
    </row>
    <row r="123" spans="1:9">
      <c r="A123" s="484"/>
      <c r="B123" s="484"/>
      <c r="D123" s="1333"/>
      <c r="E123" s="1333"/>
      <c r="F123" s="1333"/>
      <c r="I123" s="490"/>
    </row>
    <row r="124" spans="1:9">
      <c r="A124" s="484"/>
      <c r="B124" s="484"/>
      <c r="D124" s="1333"/>
      <c r="E124" s="1333"/>
      <c r="F124" s="1333"/>
      <c r="I124" s="490"/>
    </row>
    <row r="125" spans="1:9">
      <c r="A125" s="484"/>
      <c r="B125" s="484"/>
      <c r="D125" s="1333"/>
      <c r="E125" s="1333"/>
      <c r="F125" s="1333"/>
      <c r="I125" s="490"/>
    </row>
    <row r="126" spans="1:9">
      <c r="A126" s="484"/>
      <c r="B126" s="484"/>
      <c r="D126" s="1333"/>
      <c r="E126" s="1333"/>
      <c r="F126" s="1333"/>
      <c r="I126" s="490"/>
    </row>
    <row r="127" spans="1:9">
      <c r="C127" s="402"/>
      <c r="D127" s="525"/>
      <c r="E127" s="525"/>
      <c r="F127" s="525"/>
      <c r="I127" s="490"/>
    </row>
    <row r="128" spans="1:9">
      <c r="A128" s="484"/>
      <c r="B128" s="485" t="s">
        <v>2761</v>
      </c>
      <c r="C128" s="402"/>
      <c r="D128" s="1333" t="s">
        <v>2010</v>
      </c>
      <c r="E128" s="1333"/>
      <c r="F128" s="1333"/>
      <c r="I128" s="490"/>
    </row>
    <row r="129" spans="1:9">
      <c r="A129" s="484"/>
      <c r="B129" s="484"/>
      <c r="C129" s="402"/>
      <c r="D129" s="1333"/>
      <c r="E129" s="1333"/>
      <c r="F129" s="1333"/>
      <c r="I129" s="490"/>
    </row>
    <row r="130" spans="1:9">
      <c r="I130" s="490"/>
    </row>
    <row r="131" spans="1:9">
      <c r="A131" s="484"/>
      <c r="B131" s="485" t="s">
        <v>2761</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c r="A137" s="484"/>
      <c r="B137" s="485" t="s">
        <v>2761</v>
      </c>
      <c r="D137" s="1307" t="s">
        <v>1105</v>
      </c>
      <c r="E137" s="1307"/>
      <c r="F137" s="1307"/>
      <c r="I137" s="490"/>
    </row>
    <row r="138" spans="1:9" s="417" customFormat="1" ht="13.75" customHeight="1">
      <c r="A138" s="488"/>
      <c r="B138" s="488"/>
      <c r="C138" s="488"/>
      <c r="D138" s="1307"/>
      <c r="E138" s="1307"/>
      <c r="F138" s="1307"/>
      <c r="I138" s="1149"/>
    </row>
    <row r="139" spans="1:9" ht="13.75" customHeight="1">
      <c r="D139" s="1307"/>
      <c r="E139" s="1307"/>
      <c r="F139" s="1307"/>
      <c r="I139" s="490"/>
    </row>
    <row r="140" spans="1:9" ht="13.75" customHeight="1">
      <c r="D140" s="1307"/>
      <c r="E140" s="1307"/>
      <c r="F140" s="1307"/>
      <c r="I140" s="490"/>
    </row>
    <row r="141" spans="1:9" ht="13.75" customHeight="1">
      <c r="D141" s="1307"/>
      <c r="E141" s="1307"/>
      <c r="F141" s="1307"/>
      <c r="I141" s="490"/>
    </row>
    <row r="142" spans="1:9" ht="13.75" customHeight="1">
      <c r="A142" s="489"/>
      <c r="B142" s="489"/>
      <c r="D142" s="1307"/>
      <c r="E142" s="1307"/>
      <c r="F142" s="1307"/>
      <c r="I142" s="490"/>
    </row>
    <row r="143" spans="1:9" ht="13.75" customHeight="1">
      <c r="D143" s="1307"/>
      <c r="E143" s="1307"/>
      <c r="F143" s="1307"/>
      <c r="I143" s="490"/>
    </row>
    <row r="144" spans="1:9" ht="13.75" customHeight="1">
      <c r="D144" s="1307"/>
      <c r="E144" s="1307"/>
      <c r="F144" s="1307"/>
      <c r="I144" s="490"/>
    </row>
    <row r="145" spans="2:9" ht="13.75" customHeight="1">
      <c r="D145" s="1307"/>
      <c r="E145" s="1307"/>
      <c r="F145" s="1307"/>
      <c r="I145" s="490"/>
    </row>
    <row r="146" spans="2:9" ht="13.75" customHeight="1">
      <c r="D146" s="1307"/>
      <c r="E146" s="1307"/>
      <c r="F146" s="1307"/>
      <c r="I146" s="490"/>
    </row>
    <row r="147" spans="2:9" ht="13.75" customHeight="1">
      <c r="D147" s="1307"/>
      <c r="E147" s="1307"/>
      <c r="F147" s="1307"/>
      <c r="I147" s="490"/>
    </row>
    <row r="148" spans="2:9" ht="13.75" customHeight="1">
      <c r="D148" s="1307"/>
      <c r="E148" s="1307"/>
      <c r="F148" s="1307"/>
      <c r="I148" s="490"/>
    </row>
    <row r="149" spans="2:9" ht="13.75" customHeight="1">
      <c r="D149" s="1307"/>
      <c r="E149" s="1307"/>
      <c r="F149" s="1307"/>
      <c r="I149" s="490"/>
    </row>
    <row r="150" spans="2:9" ht="13.75" customHeight="1">
      <c r="D150" s="476"/>
      <c r="E150" s="446"/>
      <c r="F150" s="446"/>
      <c r="I150" s="490"/>
    </row>
    <row r="151" spans="2:9" ht="13.75" customHeight="1">
      <c r="B151" s="485" t="s">
        <v>2689</v>
      </c>
      <c r="D151" s="1307" t="s">
        <v>1177</v>
      </c>
      <c r="E151" s="1307"/>
      <c r="F151" s="1307"/>
      <c r="I151" s="490"/>
    </row>
    <row r="152" spans="2:9" ht="13.75" customHeight="1">
      <c r="D152" s="1307"/>
      <c r="E152" s="1307"/>
      <c r="F152" s="1307"/>
      <c r="I152" s="490"/>
    </row>
    <row r="153" spans="2:9" ht="13.75" customHeight="1">
      <c r="D153" s="1307"/>
      <c r="E153" s="1307"/>
      <c r="F153" s="1307"/>
      <c r="I153" s="490"/>
    </row>
    <row r="154" spans="2:9" ht="13.75" customHeight="1">
      <c r="D154" s="1307"/>
      <c r="E154" s="1307"/>
      <c r="F154" s="1307"/>
      <c r="I154" s="490"/>
    </row>
    <row r="155" spans="2:9" ht="13.75" customHeight="1">
      <c r="D155" s="1307"/>
      <c r="E155" s="1307"/>
      <c r="F155" s="1307"/>
      <c r="I155" s="490"/>
    </row>
    <row r="156" spans="2:9" ht="13.75" customHeight="1">
      <c r="D156" s="1307"/>
      <c r="E156" s="1307"/>
      <c r="F156" s="1307"/>
      <c r="I156" s="490"/>
    </row>
    <row r="157" spans="2:9" ht="13.75" customHeight="1">
      <c r="D157" s="1307"/>
      <c r="E157" s="1307"/>
      <c r="F157" s="1307"/>
      <c r="I157" s="490"/>
    </row>
    <row r="158" spans="2:9" ht="13.75" customHeight="1">
      <c r="D158" s="1307"/>
      <c r="E158" s="1307"/>
      <c r="F158" s="1307"/>
      <c r="I158" s="490"/>
    </row>
    <row r="159" spans="2:9" ht="13.75" customHeight="1">
      <c r="D159" s="1307"/>
      <c r="E159" s="1307"/>
      <c r="F159" s="1307"/>
      <c r="I159" s="490"/>
    </row>
    <row r="160" spans="2:9" ht="13.75" customHeight="1">
      <c r="D160" s="1307"/>
      <c r="E160" s="1307"/>
      <c r="F160" s="1307"/>
      <c r="I160" s="490"/>
    </row>
    <row r="161" spans="1:9" ht="13.75" customHeight="1">
      <c r="D161" s="1307"/>
      <c r="E161" s="1307"/>
      <c r="F161" s="1307"/>
      <c r="I161" s="490"/>
    </row>
    <row r="162" spans="1:9" ht="13.75" customHeight="1">
      <c r="D162" s="1307"/>
      <c r="E162" s="1307"/>
      <c r="F162" s="1307"/>
      <c r="I162" s="490"/>
    </row>
    <row r="163" spans="1:9" ht="13.75" customHeight="1">
      <c r="D163" s="1307"/>
      <c r="E163" s="1307"/>
      <c r="F163" s="1307"/>
      <c r="I163" s="490"/>
    </row>
    <row r="164" spans="1:9" ht="13.75" customHeight="1">
      <c r="D164" s="1307"/>
      <c r="E164" s="1307"/>
      <c r="F164" s="1307"/>
      <c r="I164" s="490"/>
    </row>
    <row r="165" spans="1:9" ht="13.75" customHeight="1">
      <c r="D165" s="1307"/>
      <c r="E165" s="1307"/>
      <c r="F165" s="1307"/>
      <c r="I165" s="490"/>
    </row>
    <row r="166" spans="1:9" ht="13.75" customHeight="1">
      <c r="D166" s="1307"/>
      <c r="E166" s="1307"/>
      <c r="F166" s="1307"/>
      <c r="I166" s="490"/>
    </row>
    <row r="167" spans="1:9" ht="13.75" customHeight="1">
      <c r="D167" s="1307"/>
      <c r="E167" s="1307"/>
      <c r="F167" s="1307"/>
      <c r="I167" s="490"/>
    </row>
    <row r="168" spans="1:9" ht="13.75" customHeight="1">
      <c r="D168" s="1307"/>
      <c r="E168" s="1307"/>
      <c r="F168" s="1307"/>
      <c r="I168" s="490"/>
    </row>
    <row r="169" spans="1:9" ht="13.75" customHeight="1">
      <c r="D169" s="1330" t="s">
        <v>2032</v>
      </c>
      <c r="E169" s="1330"/>
      <c r="F169" s="1330"/>
      <c r="G169" s="507"/>
      <c r="I169" s="490"/>
    </row>
    <row r="170" spans="1:9" ht="13.75" customHeight="1">
      <c r="D170" s="1317"/>
      <c r="E170" s="1317"/>
      <c r="F170" s="1317"/>
      <c r="G170" s="1317"/>
      <c r="I170" s="490"/>
    </row>
    <row r="171" spans="1:9" ht="14.5" customHeight="1">
      <c r="A171" s="489"/>
      <c r="B171" s="485" t="s">
        <v>2689</v>
      </c>
      <c r="C171" s="476"/>
      <c r="D171" s="1279" t="s">
        <v>2168</v>
      </c>
      <c r="E171" s="1279"/>
      <c r="F171" s="1279"/>
      <c r="G171" s="476"/>
      <c r="I171" s="490"/>
    </row>
    <row r="172" spans="1:9" ht="14.5" customHeight="1">
      <c r="A172" s="489"/>
      <c r="B172" s="489"/>
      <c r="C172" s="476"/>
      <c r="D172" s="1279"/>
      <c r="E172" s="1279"/>
      <c r="F172" s="1279"/>
      <c r="G172" s="476"/>
      <c r="I172" s="490"/>
    </row>
    <row r="173" spans="1:9" ht="14.5" customHeight="1">
      <c r="A173" s="489"/>
      <c r="B173" s="489"/>
      <c r="C173" s="476"/>
      <c r="D173" s="1279"/>
      <c r="E173" s="1279"/>
      <c r="F173" s="1279"/>
      <c r="G173" s="476"/>
      <c r="I173" s="490"/>
    </row>
    <row r="174" spans="1:9" ht="14.5" customHeight="1">
      <c r="A174" s="489"/>
      <c r="B174" s="489"/>
      <c r="C174" s="476"/>
      <c r="D174" s="1279"/>
      <c r="E174" s="1279"/>
      <c r="F174" s="1279"/>
      <c r="G174" s="476"/>
      <c r="I174" s="490"/>
    </row>
    <row r="175" spans="1:9" ht="13.75" customHeight="1">
      <c r="A175" s="489"/>
      <c r="B175" s="489"/>
      <c r="C175" s="476"/>
      <c r="D175" s="1279"/>
      <c r="E175" s="1279"/>
      <c r="F175" s="1279"/>
      <c r="G175" s="476"/>
      <c r="I175" s="490"/>
    </row>
    <row r="176" spans="1:9" ht="13.75" customHeight="1">
      <c r="A176" s="489"/>
      <c r="B176" s="489"/>
      <c r="C176" s="476"/>
      <c r="D176" s="476"/>
      <c r="E176" s="476"/>
      <c r="F176" s="476"/>
      <c r="G176" s="476"/>
      <c r="I176" s="490"/>
    </row>
    <row r="177" spans="1:9" ht="13.75" customHeight="1">
      <c r="A177" s="489"/>
      <c r="B177" s="485" t="s">
        <v>2761</v>
      </c>
      <c r="C177" s="476"/>
      <c r="D177" s="1279" t="s">
        <v>1106</v>
      </c>
      <c r="E177" s="1279"/>
      <c r="F177" s="1279"/>
      <c r="G177" s="476"/>
      <c r="I177" s="490"/>
    </row>
    <row r="178" spans="1:9" ht="13.75" customHeight="1">
      <c r="A178" s="489"/>
      <c r="B178" s="489"/>
      <c r="C178" s="476"/>
      <c r="D178" s="1279"/>
      <c r="E178" s="1279"/>
      <c r="F178" s="1279"/>
      <c r="G178" s="476"/>
      <c r="I178" s="490"/>
    </row>
    <row r="179" spans="1:9" ht="13.75" customHeight="1">
      <c r="A179" s="489"/>
      <c r="B179" s="489"/>
      <c r="C179" s="476"/>
      <c r="D179" s="1279"/>
      <c r="E179" s="1279"/>
      <c r="F179" s="1279"/>
      <c r="G179" s="476"/>
      <c r="I179" s="490"/>
    </row>
    <row r="180" spans="1:9" ht="13.75" customHeight="1">
      <c r="A180" s="489"/>
      <c r="B180" s="489"/>
      <c r="C180" s="476"/>
      <c r="D180" s="1279"/>
      <c r="E180" s="1279"/>
      <c r="F180" s="1279"/>
      <c r="G180" s="476"/>
      <c r="I180" s="490"/>
    </row>
    <row r="181" spans="1:9" ht="13.75" customHeight="1">
      <c r="D181" s="446"/>
      <c r="E181" s="446"/>
      <c r="F181" s="446"/>
      <c r="I181" s="490"/>
    </row>
    <row r="182" spans="1:9" ht="13.75" hidden="1" customHeight="1">
      <c r="B182" s="485" t="s">
        <v>307</v>
      </c>
      <c r="D182" s="1323" t="s">
        <v>2011</v>
      </c>
      <c r="E182" s="1323"/>
      <c r="F182" s="1323"/>
      <c r="I182" s="490"/>
    </row>
    <row r="183" spans="1:9" ht="13.75" hidden="1" customHeight="1">
      <c r="D183" s="1323"/>
      <c r="E183" s="1323"/>
      <c r="F183" s="1323"/>
      <c r="I183" s="490"/>
    </row>
    <row r="184" spans="1:9" ht="13.75" hidden="1" customHeight="1">
      <c r="D184" s="1323"/>
      <c r="E184" s="1323"/>
      <c r="F184" s="1323"/>
      <c r="I184" s="490"/>
    </row>
    <row r="185" spans="1:9" ht="13.75" customHeight="1">
      <c r="A185" s="490"/>
      <c r="B185" s="490"/>
      <c r="E185" s="446"/>
      <c r="F185" s="446"/>
      <c r="I185" s="490"/>
    </row>
    <row r="186" spans="1:9">
      <c r="A186" s="1308" t="s">
        <v>2012</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1849</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3"/>
      <c r="I191" s="1147"/>
    </row>
    <row r="192" spans="1:9" ht="12" customHeight="1">
      <c r="A192" s="404"/>
      <c r="B192" s="404"/>
      <c r="E192" s="404"/>
      <c r="I192" s="490"/>
    </row>
    <row r="193" spans="1:9" ht="13.75" customHeight="1">
      <c r="A193" s="404"/>
      <c r="B193" s="404"/>
      <c r="D193" s="1327" t="s">
        <v>1735</v>
      </c>
      <c r="E193" s="1327"/>
      <c r="F193" s="1327"/>
      <c r="I193" s="490"/>
    </row>
    <row r="194" spans="1:9">
      <c r="A194" s="404"/>
      <c r="B194" s="404"/>
      <c r="D194" s="1327"/>
      <c r="E194" s="1327"/>
      <c r="F194" s="1327"/>
      <c r="I194" s="490"/>
    </row>
    <row r="195" spans="1:9">
      <c r="A195" s="404"/>
      <c r="B195" s="404"/>
      <c r="D195" s="1313" t="s">
        <v>1195</v>
      </c>
      <c r="E195" s="1313"/>
      <c r="F195" s="1313"/>
      <c r="I195" s="490"/>
    </row>
    <row r="196" spans="1:9">
      <c r="A196" s="404"/>
      <c r="B196" s="404"/>
      <c r="D196" s="392"/>
      <c r="E196" s="392"/>
      <c r="F196" s="392"/>
      <c r="I196" s="490"/>
    </row>
    <row r="197" spans="1:9">
      <c r="A197" s="404"/>
      <c r="B197" s="485" t="s">
        <v>2761</v>
      </c>
      <c r="D197" s="1297" t="s">
        <v>1736</v>
      </c>
      <c r="E197" s="1297"/>
      <c r="F197" s="1297"/>
      <c r="I197" s="490"/>
    </row>
    <row r="198" spans="1:9">
      <c r="A198" s="404"/>
      <c r="B198" s="404"/>
      <c r="D198" s="1288" t="s">
        <v>1875</v>
      </c>
      <c r="E198" s="1288"/>
      <c r="F198" s="1288"/>
      <c r="I198" s="490"/>
    </row>
    <row r="199" spans="1:9">
      <c r="A199" s="404"/>
      <c r="B199" s="404"/>
      <c r="D199" s="96" t="s">
        <v>1737</v>
      </c>
      <c r="E199" s="1335" t="s">
        <v>1898</v>
      </c>
      <c r="F199" s="1335"/>
      <c r="I199" s="490"/>
    </row>
    <row r="200" spans="1:9">
      <c r="A200" s="404"/>
      <c r="B200" s="404"/>
      <c r="D200" s="3"/>
      <c r="E200" s="3"/>
      <c r="F200" s="3"/>
      <c r="I200" s="490"/>
    </row>
    <row r="201" spans="1:9">
      <c r="A201" s="404"/>
      <c r="B201" s="485" t="s">
        <v>2689</v>
      </c>
      <c r="D201" s="1288" t="s">
        <v>1738</v>
      </c>
      <c r="E201" s="1288"/>
      <c r="F201" s="1288"/>
      <c r="I201" s="490"/>
    </row>
    <row r="202" spans="1:9">
      <c r="A202" s="404"/>
      <c r="B202" s="404"/>
      <c r="D202" s="1297" t="s">
        <v>1875</v>
      </c>
      <c r="E202" s="1297"/>
      <c r="F202" s="1297"/>
      <c r="I202" s="490"/>
    </row>
    <row r="203" spans="1:9">
      <c r="A203" s="404"/>
      <c r="B203" s="404"/>
      <c r="D203" s="57" t="s">
        <v>1739</v>
      </c>
      <c r="E203" s="1335" t="s">
        <v>1899</v>
      </c>
      <c r="F203" s="1335"/>
      <c r="I203" s="490"/>
    </row>
    <row r="204" spans="1:9">
      <c r="A204" s="404"/>
      <c r="B204" s="404"/>
      <c r="D204" s="3"/>
      <c r="E204" s="3"/>
      <c r="F204" s="3"/>
      <c r="I204" s="490"/>
    </row>
    <row r="205" spans="1:9">
      <c r="A205" s="404"/>
      <c r="B205" s="485" t="s">
        <v>2689</v>
      </c>
      <c r="D205" s="1288" t="s">
        <v>1740</v>
      </c>
      <c r="E205" s="1288"/>
      <c r="F205" s="1288"/>
      <c r="I205" s="490"/>
    </row>
    <row r="206" spans="1:9">
      <c r="A206" s="404"/>
      <c r="B206" s="404"/>
      <c r="D206" s="1297" t="s">
        <v>1875</v>
      </c>
      <c r="E206" s="1297"/>
      <c r="F206" s="1297"/>
      <c r="I206" s="490"/>
    </row>
    <row r="207" spans="1:9">
      <c r="A207" s="404"/>
      <c r="B207" s="404"/>
      <c r="D207" s="57" t="s">
        <v>1737</v>
      </c>
      <c r="E207" s="1335" t="s">
        <v>1900</v>
      </c>
      <c r="F207" s="1335"/>
      <c r="I207" s="490"/>
    </row>
    <row r="208" spans="1:9">
      <c r="A208" s="404"/>
      <c r="B208" s="404"/>
      <c r="D208" s="392"/>
      <c r="E208" s="392"/>
      <c r="F208" s="392"/>
      <c r="I208" s="490"/>
    </row>
    <row r="209" spans="1:9" ht="14.25" customHeight="1">
      <c r="A209" s="484"/>
      <c r="B209" s="485" t="s">
        <v>2689</v>
      </c>
      <c r="D209" s="386" t="s">
        <v>1868</v>
      </c>
      <c r="E209" s="385"/>
      <c r="F209" s="385"/>
      <c r="I209" s="490"/>
    </row>
    <row r="210" spans="1:9">
      <c r="A210" s="484"/>
      <c r="B210" s="484"/>
      <c r="D210" s="1297" t="s">
        <v>1875</v>
      </c>
      <c r="E210" s="1297"/>
      <c r="F210" s="1297"/>
      <c r="I210" s="490"/>
    </row>
    <row r="211" spans="1:9">
      <c r="D211" s="385"/>
      <c r="E211" s="1335" t="s">
        <v>1901</v>
      </c>
      <c r="F211" s="1335"/>
      <c r="I211" s="490"/>
    </row>
    <row r="212" spans="1:9">
      <c r="D212" s="447"/>
      <c r="I212" s="490"/>
    </row>
    <row r="213" spans="1:9">
      <c r="B213" s="485" t="s">
        <v>2689</v>
      </c>
      <c r="D213" s="1288" t="s">
        <v>1741</v>
      </c>
      <c r="E213" s="1288"/>
      <c r="F213" s="1288"/>
      <c r="I213" s="490"/>
    </row>
    <row r="214" spans="1:9">
      <c r="D214" s="1297" t="s">
        <v>1875</v>
      </c>
      <c r="E214" s="1297"/>
      <c r="F214" s="1297"/>
      <c r="I214" s="490"/>
    </row>
    <row r="215" spans="1:9">
      <c r="D215" s="57" t="s">
        <v>1737</v>
      </c>
      <c r="E215" s="1335" t="s">
        <v>1902</v>
      </c>
      <c r="F215" s="1335"/>
      <c r="I215" s="490"/>
    </row>
    <row r="216" spans="1:9">
      <c r="D216" s="451"/>
      <c r="E216" s="451"/>
      <c r="F216" s="451"/>
      <c r="I216" s="490"/>
    </row>
    <row r="217" spans="1:9">
      <c r="A217" s="484"/>
      <c r="B217" s="485" t="s">
        <v>2689</v>
      </c>
      <c r="D217" s="1307" t="s">
        <v>1216</v>
      </c>
      <c r="E217" s="1307"/>
      <c r="F217" s="1307"/>
      <c r="I217" s="490"/>
    </row>
    <row r="218" spans="1:9" ht="14.5" customHeight="1">
      <c r="A218" s="484"/>
      <c r="B218" s="402"/>
      <c r="D218" s="1307"/>
      <c r="E218" s="1307"/>
      <c r="F218" s="1307"/>
      <c r="I218" s="490"/>
    </row>
    <row r="219" spans="1:9">
      <c r="A219" s="484"/>
      <c r="D219" s="1307"/>
      <c r="E219" s="1307"/>
      <c r="F219" s="1307"/>
      <c r="I219" s="490"/>
    </row>
    <row r="220" spans="1:9">
      <c r="A220" s="484"/>
      <c r="D220" s="1307"/>
      <c r="E220" s="1307"/>
      <c r="F220" s="1307"/>
      <c r="I220" s="490"/>
    </row>
    <row r="221" spans="1:9">
      <c r="D221" s="451"/>
      <c r="E221" s="451"/>
      <c r="F221" s="451"/>
      <c r="I221" s="490"/>
    </row>
    <row r="222" spans="1:9">
      <c r="A222" s="1308" t="s">
        <v>1046</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1120</v>
      </c>
      <c r="E225" s="1309"/>
      <c r="F225" s="1309"/>
      <c r="I225" s="490"/>
    </row>
    <row r="226" spans="1:9" ht="12" customHeight="1">
      <c r="A226" s="490"/>
      <c r="B226" s="490"/>
      <c r="C226" s="490"/>
      <c r="I226" s="490"/>
    </row>
    <row r="227" spans="1:9" ht="13.75" customHeight="1">
      <c r="A227" s="490"/>
      <c r="C227" s="490"/>
      <c r="D227" s="1310" t="s">
        <v>546</v>
      </c>
      <c r="E227" s="1310"/>
      <c r="F227" s="1310"/>
      <c r="I227" s="490"/>
    </row>
    <row r="228" spans="1:9">
      <c r="A228" s="484"/>
      <c r="B228" s="485" t="s">
        <v>2761</v>
      </c>
      <c r="D228" s="1307" t="s">
        <v>1742</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c r="A231" s="484"/>
      <c r="B231" s="484"/>
      <c r="D231" s="1307"/>
      <c r="E231" s="1307"/>
      <c r="F231" s="1307"/>
      <c r="I231" s="490"/>
    </row>
    <row r="232" spans="1:9">
      <c r="A232" s="484"/>
      <c r="B232" s="484"/>
      <c r="D232" s="445"/>
      <c r="E232" s="445"/>
      <c r="F232" s="445"/>
      <c r="I232" s="490"/>
    </row>
    <row r="233" spans="1:9">
      <c r="A233" s="484"/>
      <c r="B233" s="485" t="s">
        <v>2761</v>
      </c>
      <c r="D233" s="1307" t="s">
        <v>1743</v>
      </c>
      <c r="E233" s="1307"/>
      <c r="F233" s="1307"/>
      <c r="I233" s="490"/>
    </row>
    <row r="234" spans="1:9">
      <c r="A234" s="484"/>
      <c r="B234" s="484"/>
      <c r="D234" s="1307"/>
      <c r="E234" s="1307"/>
      <c r="F234" s="1307"/>
      <c r="I234" s="490"/>
    </row>
    <row r="235" spans="1:9">
      <c r="A235" s="484"/>
      <c r="B235" s="484"/>
      <c r="D235" s="1307"/>
      <c r="E235" s="1307"/>
      <c r="F235" s="1307"/>
      <c r="I235" s="490"/>
    </row>
    <row r="236" spans="1:9">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c r="A239" s="484"/>
      <c r="B239" s="484"/>
      <c r="D239" s="1307" t="s">
        <v>1118</v>
      </c>
      <c r="E239" s="1307"/>
      <c r="F239" s="1307"/>
      <c r="I239" s="490"/>
    </row>
    <row r="240" spans="1:9">
      <c r="A240" s="484"/>
      <c r="B240" s="484"/>
      <c r="D240" s="1307"/>
      <c r="E240" s="1307"/>
      <c r="F240" s="1307"/>
      <c r="I240" s="490"/>
    </row>
    <row r="241" spans="1:9">
      <c r="A241" s="484"/>
      <c r="B241" s="484"/>
      <c r="D241" s="1307"/>
      <c r="E241" s="1307"/>
      <c r="F241" s="1307"/>
      <c r="I241" s="490"/>
    </row>
    <row r="242" spans="1:9">
      <c r="A242" s="484"/>
      <c r="B242" s="484"/>
      <c r="D242" s="1307"/>
      <c r="E242" s="1307"/>
      <c r="F242" s="1307"/>
      <c r="I242" s="490"/>
    </row>
    <row r="243" spans="1:9">
      <c r="A243" s="484"/>
      <c r="B243" s="484"/>
      <c r="D243" s="1307"/>
      <c r="E243" s="1307"/>
      <c r="F243" s="1307"/>
      <c r="I243" s="490"/>
    </row>
    <row r="244" spans="1:9">
      <c r="A244" s="484"/>
      <c r="B244" s="484"/>
      <c r="D244" s="446"/>
      <c r="E244" s="446"/>
      <c r="F244" s="446"/>
      <c r="I244" s="490"/>
    </row>
    <row r="245" spans="1:9">
      <c r="A245" s="484"/>
      <c r="B245" s="485" t="s">
        <v>2761</v>
      </c>
      <c r="D245" s="1307" t="s">
        <v>2013</v>
      </c>
      <c r="E245" s="1307"/>
      <c r="F245" s="1307"/>
      <c r="I245" s="490"/>
    </row>
    <row r="246" spans="1:9">
      <c r="A246" s="484"/>
      <c r="B246" s="484"/>
      <c r="D246" s="1307"/>
      <c r="E246" s="1307"/>
      <c r="F246" s="1307"/>
      <c r="I246" s="490"/>
    </row>
    <row r="247" spans="1:9">
      <c r="A247" s="484"/>
      <c r="B247" s="484"/>
      <c r="D247" s="1307"/>
      <c r="E247" s="1307"/>
      <c r="F247" s="1307"/>
      <c r="I247" s="490"/>
    </row>
    <row r="248" spans="1:9">
      <c r="A248" s="484"/>
      <c r="B248" s="484"/>
      <c r="E248" s="1031" t="s">
        <v>1869</v>
      </c>
      <c r="I248" s="490"/>
    </row>
    <row r="249" spans="1:9">
      <c r="A249" s="484"/>
      <c r="B249" s="484"/>
      <c r="D249" s="446"/>
      <c r="E249" s="446"/>
      <c r="F249" s="446"/>
      <c r="I249" s="490"/>
    </row>
    <row r="250" spans="1:9" ht="14.5" customHeight="1">
      <c r="A250" s="484"/>
      <c r="B250" s="485" t="s">
        <v>2761</v>
      </c>
      <c r="D250" s="1307" t="s">
        <v>2014</v>
      </c>
      <c r="E250" s="1307"/>
      <c r="F250" s="1307"/>
      <c r="I250" s="490"/>
    </row>
    <row r="251" spans="1:9">
      <c r="A251" s="484"/>
      <c r="B251" s="484"/>
      <c r="D251" s="1307"/>
      <c r="E251" s="1307"/>
      <c r="F251" s="1307"/>
      <c r="I251" s="490"/>
    </row>
    <row r="252" spans="1:9">
      <c r="A252" s="484"/>
      <c r="B252" s="484"/>
      <c r="D252" s="1307"/>
      <c r="E252" s="1307"/>
      <c r="F252" s="1307"/>
      <c r="I252" s="490"/>
    </row>
    <row r="253" spans="1:9">
      <c r="A253" s="484"/>
      <c r="B253" s="484"/>
      <c r="D253" s="1307"/>
      <c r="E253" s="1307"/>
      <c r="F253" s="1307"/>
      <c r="I253" s="490"/>
    </row>
    <row r="254" spans="1:9">
      <c r="A254" s="484"/>
      <c r="B254" s="484"/>
      <c r="D254" s="1307"/>
      <c r="E254" s="1307"/>
      <c r="F254" s="1307"/>
      <c r="I254" s="490"/>
    </row>
    <row r="255" spans="1:9">
      <c r="A255" s="484"/>
      <c r="B255" s="484"/>
      <c r="D255" s="445"/>
      <c r="E255" s="445"/>
      <c r="F255" s="445"/>
      <c r="I255" s="490"/>
    </row>
    <row r="256" spans="1:9">
      <c r="A256" s="484"/>
      <c r="B256" s="485" t="s">
        <v>2761</v>
      </c>
      <c r="D256" s="392" t="s">
        <v>2015</v>
      </c>
      <c r="E256" s="445"/>
      <c r="F256" s="445"/>
      <c r="I256" s="490"/>
    </row>
    <row r="257" spans="1:9">
      <c r="A257" s="484"/>
      <c r="B257" s="484"/>
      <c r="E257" s="1031" t="s">
        <v>1870</v>
      </c>
      <c r="I257" s="490"/>
    </row>
    <row r="258" spans="1:9">
      <c r="D258" s="446"/>
      <c r="E258" s="446"/>
      <c r="F258" s="446"/>
      <c r="I258" s="490"/>
    </row>
    <row r="259" spans="1:9">
      <c r="A259" s="484"/>
      <c r="B259" s="485" t="s">
        <v>2761</v>
      </c>
      <c r="D259" s="1307" t="s">
        <v>1119</v>
      </c>
      <c r="E259" s="1307"/>
      <c r="F259" s="1307"/>
      <c r="I259" s="490"/>
    </row>
    <row r="260" spans="1:9">
      <c r="A260" s="484"/>
      <c r="B260" s="484"/>
      <c r="D260" s="1307"/>
      <c r="E260" s="1307"/>
      <c r="F260" s="1307"/>
      <c r="I260" s="490"/>
    </row>
    <row r="261" spans="1:9">
      <c r="D261" s="491"/>
      <c r="I261" s="490"/>
    </row>
    <row r="262" spans="1:9">
      <c r="A262" s="1308" t="s">
        <v>1047</v>
      </c>
      <c r="B262" s="1308"/>
      <c r="C262" s="1308"/>
      <c r="D262" s="1308"/>
      <c r="E262" s="1308"/>
      <c r="F262" s="1308"/>
      <c r="G262" s="1308"/>
      <c r="H262" s="1023"/>
      <c r="I262" s="1147"/>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2761</v>
      </c>
      <c r="D267" s="1307" t="s">
        <v>1196</v>
      </c>
      <c r="E267" s="1307"/>
      <c r="F267" s="1307"/>
      <c r="I267" s="490"/>
    </row>
    <row r="268" spans="1:9">
      <c r="D268" s="1307"/>
      <c r="E268" s="1307"/>
      <c r="F268" s="1307"/>
      <c r="I268" s="490"/>
    </row>
    <row r="269" spans="1:9">
      <c r="E269" s="1031" t="s">
        <v>1871</v>
      </c>
      <c r="I269" s="490"/>
    </row>
    <row r="270" spans="1:9">
      <c r="D270" s="446"/>
      <c r="E270" s="446"/>
      <c r="F270" s="446"/>
      <c r="I270" s="490"/>
    </row>
    <row r="271" spans="1:9" ht="14.5" customHeight="1">
      <c r="A271" s="484"/>
      <c r="B271" s="485" t="s">
        <v>2689</v>
      </c>
      <c r="D271" s="1307" t="s">
        <v>2016</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c r="A278" s="484"/>
      <c r="B278" s="485" t="s">
        <v>2689</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1048</v>
      </c>
      <c r="B282" s="1308"/>
      <c r="C282" s="1308"/>
      <c r="D282" s="1308"/>
      <c r="E282" s="1308"/>
      <c r="F282" s="1308"/>
      <c r="G282" s="1308"/>
      <c r="H282" s="1023"/>
      <c r="I282" s="1147"/>
    </row>
    <row r="283" spans="1:9">
      <c r="D283" s="492"/>
      <c r="E283" s="446"/>
      <c r="F283" s="446"/>
      <c r="I283" s="490"/>
    </row>
    <row r="284" spans="1:9">
      <c r="C284" s="482"/>
      <c r="D284" s="1327" t="s">
        <v>1123</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1124</v>
      </c>
      <c r="E288" s="1336"/>
      <c r="F288" s="1336"/>
      <c r="I288" s="490"/>
    </row>
    <row r="289" spans="1:9">
      <c r="E289" s="446"/>
      <c r="F289" s="446"/>
      <c r="I289" s="490"/>
    </row>
    <row r="290" spans="1:9">
      <c r="A290" s="484"/>
      <c r="B290" s="485" t="s">
        <v>2689</v>
      </c>
      <c r="D290" s="1307" t="s">
        <v>1125</v>
      </c>
      <c r="E290" s="1307"/>
      <c r="F290" s="1307"/>
      <c r="I290" s="490"/>
    </row>
    <row r="291" spans="1:9">
      <c r="A291" s="484"/>
      <c r="B291" s="484"/>
      <c r="D291" s="1307"/>
      <c r="E291" s="1307"/>
      <c r="F291" s="1307"/>
      <c r="I291" s="490"/>
    </row>
    <row r="292" spans="1:9">
      <c r="D292" s="446"/>
      <c r="E292" s="446"/>
      <c r="F292" s="446"/>
      <c r="I292" s="490"/>
    </row>
    <row r="293" spans="1:9">
      <c r="A293" s="484"/>
      <c r="B293" s="485" t="s">
        <v>2689</v>
      </c>
      <c r="D293" s="1307" t="s">
        <v>1126</v>
      </c>
      <c r="E293" s="1307"/>
      <c r="F293" s="1307"/>
      <c r="I293" s="490"/>
    </row>
    <row r="294" spans="1:9">
      <c r="A294" s="484"/>
      <c r="B294" s="484"/>
      <c r="D294" s="1307"/>
      <c r="E294" s="1307"/>
      <c r="F294" s="1307"/>
      <c r="I294" s="490"/>
    </row>
    <row r="295" spans="1:9">
      <c r="A295" s="484"/>
      <c r="B295" s="484"/>
      <c r="D295" s="1307"/>
      <c r="E295" s="1307"/>
      <c r="F295" s="1307"/>
      <c r="I295" s="490"/>
    </row>
    <row r="296" spans="1:9">
      <c r="D296" s="446"/>
      <c r="E296" s="446"/>
      <c r="F296" s="446"/>
      <c r="I296" s="490"/>
    </row>
    <row r="297" spans="1:9">
      <c r="A297" s="484"/>
      <c r="B297" s="485" t="s">
        <v>2689</v>
      </c>
      <c r="D297" s="1307" t="s">
        <v>1127</v>
      </c>
      <c r="E297" s="1307"/>
      <c r="F297" s="1307"/>
      <c r="I297" s="490"/>
    </row>
    <row r="298" spans="1:9">
      <c r="A298" s="484"/>
      <c r="B298" s="484"/>
      <c r="D298" s="1307"/>
      <c r="E298" s="1307"/>
      <c r="F298" s="1307"/>
      <c r="I298" s="490"/>
    </row>
    <row r="299" spans="1:9">
      <c r="A299" s="490"/>
      <c r="B299" s="490"/>
      <c r="E299" s="446"/>
      <c r="F299" s="446"/>
      <c r="I299" s="490"/>
    </row>
    <row r="300" spans="1:9">
      <c r="A300" s="1308" t="s">
        <v>1049</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1128</v>
      </c>
      <c r="E303" s="1309"/>
      <c r="F303" s="1309"/>
      <c r="I303" s="490"/>
    </row>
    <row r="304" spans="1:9">
      <c r="C304" s="490"/>
      <c r="D304" s="493"/>
      <c r="I304" s="490"/>
    </row>
    <row r="305" spans="1:9">
      <c r="B305" s="485" t="s">
        <v>2689</v>
      </c>
      <c r="D305" s="1309" t="s">
        <v>1129</v>
      </c>
      <c r="E305" s="1309"/>
      <c r="F305" s="1309"/>
      <c r="I305" s="490"/>
    </row>
    <row r="306" spans="1:9">
      <c r="A306" s="484"/>
      <c r="B306" s="484"/>
      <c r="D306" s="494"/>
      <c r="E306" s="495"/>
      <c r="F306" s="495"/>
      <c r="I306" s="490"/>
    </row>
    <row r="307" spans="1:9" ht="13.75" customHeight="1">
      <c r="B307" s="485" t="s">
        <v>2689</v>
      </c>
      <c r="D307" s="1320" t="s">
        <v>1219</v>
      </c>
      <c r="E307" s="1320"/>
      <c r="F307" s="1320"/>
      <c r="I307" s="490"/>
    </row>
    <row r="308" spans="1:9">
      <c r="A308" s="484"/>
      <c r="B308" s="484"/>
      <c r="D308" s="1320"/>
      <c r="E308" s="1320"/>
      <c r="F308" s="1320"/>
      <c r="I308" s="490"/>
    </row>
    <row r="309" spans="1:9">
      <c r="A309" s="484"/>
      <c r="B309" s="484"/>
      <c r="D309" s="1320"/>
      <c r="E309" s="1320"/>
      <c r="F309" s="1320"/>
      <c r="I309" s="490"/>
    </row>
    <row r="310" spans="1:9">
      <c r="A310" s="484"/>
      <c r="B310" s="484"/>
      <c r="D310" s="1320"/>
      <c r="E310" s="1320"/>
      <c r="F310" s="1320"/>
      <c r="I310" s="490"/>
    </row>
    <row r="311" spans="1:9">
      <c r="A311" s="484"/>
      <c r="B311" s="484"/>
      <c r="D311" s="1320"/>
      <c r="E311" s="1320"/>
      <c r="F311" s="1320"/>
      <c r="I311" s="490"/>
    </row>
    <row r="312" spans="1:9">
      <c r="A312" s="484"/>
      <c r="B312" s="484"/>
      <c r="D312" s="494"/>
      <c r="E312" s="495"/>
      <c r="F312" s="495"/>
      <c r="I312" s="490"/>
    </row>
    <row r="313" spans="1:9" ht="13.75" customHeight="1">
      <c r="B313" s="485" t="s">
        <v>2689</v>
      </c>
      <c r="D313" s="1320" t="s">
        <v>1130</v>
      </c>
      <c r="E313" s="1320"/>
      <c r="F313" s="1320"/>
      <c r="I313" s="490"/>
    </row>
    <row r="314" spans="1:9">
      <c r="D314" s="1320"/>
      <c r="E314" s="1320"/>
      <c r="F314" s="1320"/>
      <c r="I314" s="490"/>
    </row>
    <row r="315" spans="1:9">
      <c r="A315" s="484"/>
      <c r="B315" s="484"/>
      <c r="D315" s="494"/>
      <c r="E315" s="495"/>
      <c r="F315" s="495"/>
      <c r="I315" s="490"/>
    </row>
    <row r="316" spans="1:9">
      <c r="B316" s="485" t="s">
        <v>2689</v>
      </c>
      <c r="D316" s="1309" t="s">
        <v>1131</v>
      </c>
      <c r="E316" s="1309"/>
      <c r="F316" s="1309"/>
      <c r="I316" s="490"/>
    </row>
    <row r="317" spans="1:9">
      <c r="E317" s="446"/>
      <c r="F317" s="446"/>
      <c r="I317" s="490"/>
    </row>
    <row r="318" spans="1:9">
      <c r="A318" s="484"/>
      <c r="B318" s="485" t="s">
        <v>2689</v>
      </c>
      <c r="D318" s="1307" t="s">
        <v>2199</v>
      </c>
      <c r="E318" s="1307"/>
      <c r="F318" s="1307"/>
      <c r="I318" s="490"/>
    </row>
    <row r="319" spans="1:9">
      <c r="A319" s="484"/>
      <c r="B319" s="484"/>
      <c r="D319" s="1307"/>
      <c r="E319" s="1307"/>
      <c r="F319" s="1307"/>
      <c r="I319" s="490"/>
    </row>
    <row r="320" spans="1:9">
      <c r="A320" s="484"/>
      <c r="B320" s="484"/>
      <c r="D320" s="1307"/>
      <c r="E320" s="1307"/>
      <c r="F320" s="1307"/>
      <c r="I320" s="490"/>
    </row>
    <row r="321" spans="1:9">
      <c r="A321" s="484"/>
      <c r="B321" s="484"/>
      <c r="D321" s="1307"/>
      <c r="E321" s="1307"/>
      <c r="F321" s="1307"/>
      <c r="I321" s="490"/>
    </row>
    <row r="322" spans="1:9">
      <c r="A322" s="484"/>
      <c r="B322" s="484"/>
      <c r="D322" s="1307"/>
      <c r="E322" s="1307"/>
      <c r="F322" s="1307"/>
      <c r="I322" s="490"/>
    </row>
    <row r="323" spans="1:9">
      <c r="A323" s="484"/>
      <c r="B323" s="484"/>
      <c r="D323" s="1307"/>
      <c r="E323" s="1307"/>
      <c r="F323" s="1307"/>
      <c r="I323" s="490"/>
    </row>
    <row r="324" spans="1:9">
      <c r="A324" s="484"/>
      <c r="B324" s="484"/>
      <c r="D324" s="1307"/>
      <c r="E324" s="1307"/>
      <c r="F324" s="1307"/>
      <c r="I324" s="490"/>
    </row>
    <row r="325" spans="1:9">
      <c r="A325" s="484"/>
      <c r="B325" s="484"/>
      <c r="D325" s="1307"/>
      <c r="E325" s="1307"/>
      <c r="F325" s="1307"/>
      <c r="I325" s="490"/>
    </row>
    <row r="326" spans="1:9">
      <c r="A326" s="484"/>
      <c r="B326" s="484"/>
      <c r="D326" s="1307"/>
      <c r="E326" s="1307"/>
      <c r="F326" s="1307"/>
      <c r="I326" s="490"/>
    </row>
    <row r="327" spans="1:9">
      <c r="A327" s="484"/>
      <c r="B327" s="484"/>
      <c r="D327" s="1307"/>
      <c r="E327" s="1307"/>
      <c r="F327" s="1307"/>
      <c r="I327" s="490"/>
    </row>
    <row r="328" spans="1:9">
      <c r="A328" s="484"/>
      <c r="B328" s="484"/>
      <c r="D328" s="1307"/>
      <c r="E328" s="1307"/>
      <c r="F328" s="1307"/>
      <c r="I328" s="490"/>
    </row>
    <row r="329" spans="1:9">
      <c r="A329" s="484"/>
      <c r="B329" s="484"/>
      <c r="D329" s="1307"/>
      <c r="E329" s="1307"/>
      <c r="F329" s="1307"/>
      <c r="I329" s="490"/>
    </row>
    <row r="330" spans="1:9">
      <c r="A330" s="484"/>
      <c r="B330" s="484"/>
      <c r="D330" s="1307"/>
      <c r="E330" s="1307"/>
      <c r="F330" s="1307"/>
      <c r="I330" s="490"/>
    </row>
    <row r="331" spans="1:9">
      <c r="A331" s="484"/>
      <c r="B331" s="484"/>
      <c r="D331" s="1307"/>
      <c r="E331" s="1307"/>
      <c r="F331" s="1307"/>
      <c r="I331" s="490"/>
    </row>
    <row r="332" spans="1:9">
      <c r="A332" s="484"/>
      <c r="B332" s="484"/>
      <c r="D332" s="1307"/>
      <c r="E332" s="1307"/>
      <c r="F332" s="1307"/>
      <c r="I332" s="490"/>
    </row>
    <row r="333" spans="1:9">
      <c r="D333" s="446"/>
      <c r="E333" s="446"/>
      <c r="F333" s="446"/>
      <c r="I333" s="490"/>
    </row>
    <row r="334" spans="1:9">
      <c r="A334" s="484"/>
      <c r="B334" s="485" t="s">
        <v>2689</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2689</v>
      </c>
      <c r="D344" s="1307" t="s">
        <v>1876</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8" t="s">
        <v>979</v>
      </c>
      <c r="E351" s="1318"/>
      <c r="F351" s="1318"/>
      <c r="G351" s="1022"/>
      <c r="H351" s="1022"/>
      <c r="I351" s="1150"/>
    </row>
    <row r="352" spans="1:9" ht="13.5" thickTop="1">
      <c r="D352" s="1328" t="s">
        <v>2200</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309" t="s">
        <v>1874</v>
      </c>
      <c r="E355" s="1309"/>
      <c r="F355" s="1309"/>
      <c r="I355" s="490"/>
    </row>
    <row r="356" spans="1:9" ht="12.75" customHeight="1">
      <c r="D356" s="1032"/>
      <c r="E356" s="96" t="s">
        <v>1873</v>
      </c>
      <c r="F356" s="1032"/>
      <c r="I356" s="490"/>
    </row>
    <row r="357" spans="1:9">
      <c r="D357" s="1307" t="s">
        <v>1239</v>
      </c>
      <c r="E357" s="1307"/>
      <c r="F357" s="1307"/>
      <c r="I357" s="490"/>
    </row>
    <row r="358" spans="1:9">
      <c r="D358" s="1307"/>
      <c r="E358" s="1307"/>
      <c r="F358" s="1307"/>
      <c r="I358" s="490"/>
    </row>
    <row r="359" spans="1:9">
      <c r="D359" s="1307"/>
      <c r="E359" s="1307"/>
      <c r="F359" s="1307"/>
      <c r="I359" s="490"/>
    </row>
    <row r="360" spans="1:9">
      <c r="A360" s="484"/>
      <c r="B360" s="485" t="s">
        <v>2689</v>
      </c>
      <c r="C360" s="476"/>
      <c r="D360" s="1317" t="s">
        <v>2017</v>
      </c>
      <c r="E360" s="1317"/>
      <c r="F360" s="1317"/>
      <c r="I360" s="480"/>
    </row>
    <row r="361" spans="1:9">
      <c r="A361" s="476"/>
      <c r="B361" s="476"/>
      <c r="C361" s="476"/>
      <c r="D361" s="447"/>
      <c r="E361" s="447"/>
      <c r="F361" s="446"/>
      <c r="I361" s="490"/>
    </row>
    <row r="362" spans="1:9">
      <c r="A362" s="476"/>
      <c r="B362" s="485" t="s">
        <v>2689</v>
      </c>
      <c r="C362" s="476"/>
      <c r="D362" s="1279" t="s">
        <v>2018</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65" customHeight="1">
      <c r="A375" s="476"/>
      <c r="B375" s="485" t="s">
        <v>2689</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2689</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2689</v>
      </c>
      <c r="C387" s="476"/>
      <c r="D387" s="1279" t="s">
        <v>1133</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1134</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5" customHeight="1">
      <c r="A401" s="476"/>
      <c r="B401" s="476"/>
      <c r="C401" s="476"/>
      <c r="D401" s="1279" t="s">
        <v>1135</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2689</v>
      </c>
      <c r="C420" s="476"/>
      <c r="D420" s="1279" t="s">
        <v>1136</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5" customHeight="1">
      <c r="A423" s="484"/>
      <c r="B423" s="485" t="s">
        <v>2689</v>
      </c>
      <c r="D423" s="1279" t="s">
        <v>1856</v>
      </c>
      <c r="E423" s="1279"/>
      <c r="F423" s="1279"/>
      <c r="I423" s="490"/>
    </row>
    <row r="424" spans="1:9" ht="14.5" customHeight="1">
      <c r="A424" s="484"/>
      <c r="D424" s="1279"/>
      <c r="E424" s="1279"/>
      <c r="F424" s="1279"/>
      <c r="I424" s="490"/>
    </row>
    <row r="425" spans="1:9" ht="14.5" customHeight="1">
      <c r="A425" s="484"/>
      <c r="D425" s="1279"/>
      <c r="E425" s="1279"/>
      <c r="F425" s="1279"/>
      <c r="I425" s="490"/>
    </row>
    <row r="426" spans="1:9" ht="14.5" customHeight="1">
      <c r="A426" s="484"/>
      <c r="D426" s="1279"/>
      <c r="E426" s="1279"/>
      <c r="F426" s="1279"/>
      <c r="I426" s="490"/>
    </row>
    <row r="427" spans="1:9" ht="14.5" customHeight="1">
      <c r="A427" s="484"/>
      <c r="D427" s="1279"/>
      <c r="E427" s="1279"/>
      <c r="F427" s="1279"/>
      <c r="I427" s="490"/>
    </row>
    <row r="428" spans="1:9" ht="14.5" customHeight="1">
      <c r="A428" s="484"/>
      <c r="D428" s="385"/>
      <c r="E428" s="385"/>
      <c r="F428" s="385"/>
      <c r="I428" s="490"/>
    </row>
    <row r="429" spans="1:9" ht="13.75" customHeight="1">
      <c r="A429" s="484"/>
      <c r="B429" s="485" t="s">
        <v>2689</v>
      </c>
      <c r="C429" s="476"/>
      <c r="D429" s="1279" t="s">
        <v>1240</v>
      </c>
      <c r="E429" s="1279"/>
      <c r="F429" s="1279"/>
      <c r="I429" s="490"/>
    </row>
    <row r="430" spans="1:9">
      <c r="A430" s="497"/>
      <c r="B430" s="497"/>
      <c r="C430" s="476"/>
      <c r="D430" s="1279"/>
      <c r="E430" s="1279"/>
      <c r="F430" s="1279"/>
      <c r="I430" s="490"/>
    </row>
    <row r="431" spans="1:9">
      <c r="A431" s="497"/>
      <c r="B431" s="497"/>
      <c r="C431" s="476"/>
      <c r="D431" s="1279"/>
      <c r="E431" s="1279"/>
      <c r="F431" s="1279"/>
      <c r="I431" s="490"/>
    </row>
    <row r="432" spans="1:9">
      <c r="A432" s="497"/>
      <c r="B432" s="497"/>
      <c r="C432" s="476"/>
      <c r="D432" s="1279"/>
      <c r="E432" s="1279"/>
      <c r="F432" s="1279"/>
      <c r="I432" s="490"/>
    </row>
    <row r="433" spans="1:9" ht="15.75" customHeight="1">
      <c r="A433" s="497"/>
      <c r="B433" s="497"/>
      <c r="C433" s="476"/>
      <c r="D433" s="1338" t="s">
        <v>2614</v>
      </c>
      <c r="E433" s="1279"/>
      <c r="F433" s="1279"/>
      <c r="I433" s="490"/>
    </row>
    <row r="434" spans="1:9">
      <c r="D434" s="446"/>
      <c r="E434" s="446"/>
      <c r="F434" s="446"/>
      <c r="I434" s="490"/>
    </row>
    <row r="435" spans="1:9">
      <c r="A435" s="484"/>
      <c r="B435" s="485" t="s">
        <v>2689</v>
      </c>
      <c r="C435" s="487"/>
      <c r="D435" s="1307" t="s">
        <v>2019</v>
      </c>
      <c r="E435" s="1307"/>
      <c r="F435" s="1307"/>
      <c r="I435" s="490"/>
    </row>
    <row r="436" spans="1:9">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5" customHeight="1">
      <c r="D465" s="1307"/>
      <c r="E465" s="1307"/>
      <c r="F465" s="1307"/>
      <c r="I465" s="490"/>
    </row>
    <row r="466" spans="1:9">
      <c r="D466" s="446"/>
      <c r="E466" s="446"/>
      <c r="F466" s="446"/>
      <c r="I466" s="490"/>
    </row>
    <row r="467" spans="1:9">
      <c r="A467" s="484"/>
      <c r="B467" s="485" t="s">
        <v>2689</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c r="B471" s="485" t="s">
        <v>2689</v>
      </c>
      <c r="C471" s="484"/>
      <c r="D471" s="1307" t="s">
        <v>1197</v>
      </c>
      <c r="E471" s="1307"/>
      <c r="F471" s="1307"/>
      <c r="I471" s="490"/>
    </row>
    <row r="472" spans="1:9">
      <c r="D472" s="1307"/>
      <c r="E472" s="1307"/>
      <c r="F472" s="1307"/>
      <c r="I472" s="490"/>
    </row>
    <row r="473" spans="1:9">
      <c r="D473" s="446"/>
      <c r="E473" s="446"/>
      <c r="F473" s="446"/>
      <c r="I473" s="490"/>
    </row>
    <row r="474" spans="1:9">
      <c r="B474" s="485" t="s">
        <v>2689</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2689</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2689</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2689</v>
      </c>
      <c r="C486" s="402"/>
      <c r="D486" s="1307"/>
      <c r="E486" s="1307"/>
      <c r="F486" s="1307"/>
      <c r="I486" s="490"/>
    </row>
    <row r="487" spans="1:9">
      <c r="A487" s="402"/>
      <c r="C487" s="402"/>
      <c r="D487" s="1307"/>
      <c r="E487" s="1307"/>
      <c r="F487" s="1307"/>
      <c r="I487" s="490"/>
    </row>
    <row r="488" spans="1:9">
      <c r="A488" s="402"/>
      <c r="B488" s="485" t="s">
        <v>2689</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2689</v>
      </c>
      <c r="D494" s="1309" t="s">
        <v>1140</v>
      </c>
      <c r="E494" s="1309"/>
      <c r="F494" s="1309"/>
      <c r="I494" s="490"/>
    </row>
    <row r="495" spans="1:9">
      <c r="A495" s="446"/>
      <c r="B495" s="446"/>
      <c r="I495" s="490"/>
    </row>
    <row r="496" spans="1:9">
      <c r="A496" s="1308" t="s">
        <v>1050</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c r="A499" s="484"/>
      <c r="B499" s="484"/>
      <c r="D499" s="1317" t="s">
        <v>1141</v>
      </c>
      <c r="E499" s="1317"/>
      <c r="F499" s="1317"/>
      <c r="I499" s="490"/>
    </row>
    <row r="500" spans="1:9">
      <c r="A500" s="484"/>
      <c r="B500" s="484"/>
      <c r="D500" s="447"/>
      <c r="I500" s="490"/>
    </row>
    <row r="501" spans="1:9">
      <c r="A501" s="484"/>
      <c r="B501" s="485" t="s">
        <v>2689</v>
      </c>
      <c r="D501" s="1279" t="s">
        <v>1142</v>
      </c>
      <c r="E501" s="1279"/>
      <c r="F501" s="1279"/>
      <c r="I501" s="490"/>
    </row>
    <row r="502" spans="1:9">
      <c r="A502" s="484"/>
      <c r="B502" s="484"/>
      <c r="D502" s="1279"/>
      <c r="E502" s="1279"/>
      <c r="F502" s="1279"/>
      <c r="I502" s="490"/>
    </row>
    <row r="503" spans="1:9">
      <c r="A503" s="484"/>
      <c r="B503" s="484"/>
      <c r="D503" s="446"/>
      <c r="I503" s="490"/>
    </row>
    <row r="504" spans="1:9" ht="12.75" customHeight="1">
      <c r="B504" s="485" t="s">
        <v>2689</v>
      </c>
      <c r="D504" s="1323" t="s">
        <v>1273</v>
      </c>
      <c r="E504" s="1323"/>
      <c r="F504" s="1323"/>
      <c r="I504" s="490"/>
    </row>
    <row r="505" spans="1:9">
      <c r="A505" s="484"/>
      <c r="D505" s="1323"/>
      <c r="E505" s="1323"/>
      <c r="F505" s="1323"/>
      <c r="I505" s="490"/>
    </row>
    <row r="506" spans="1:9">
      <c r="A506" s="484"/>
      <c r="B506" s="484"/>
      <c r="D506" s="1323"/>
      <c r="E506" s="1323"/>
      <c r="F506" s="1323"/>
      <c r="I506" s="490"/>
    </row>
    <row r="507" spans="1:9">
      <c r="A507" s="484"/>
      <c r="B507" s="484"/>
      <c r="D507" s="1323"/>
      <c r="E507" s="1323"/>
      <c r="F507" s="1323"/>
      <c r="I507" s="490"/>
    </row>
    <row r="508" spans="1:9">
      <c r="A508" s="484"/>
      <c r="D508" s="520"/>
      <c r="E508" s="520"/>
      <c r="F508" s="520"/>
      <c r="I508" s="490"/>
    </row>
    <row r="509" spans="1:9">
      <c r="A509" s="484"/>
      <c r="B509" s="485" t="s">
        <v>2689</v>
      </c>
      <c r="D509" s="1309" t="s">
        <v>1143</v>
      </c>
      <c r="E509" s="1309"/>
      <c r="F509" s="1309"/>
      <c r="I509" s="490"/>
    </row>
    <row r="510" spans="1:9">
      <c r="A510" s="484"/>
      <c r="B510" s="484"/>
      <c r="D510" s="446"/>
      <c r="I510" s="490"/>
    </row>
    <row r="511" spans="1:9">
      <c r="A511" s="484"/>
      <c r="B511" s="485" t="s">
        <v>2689</v>
      </c>
      <c r="D511" s="1307" t="s">
        <v>1144</v>
      </c>
      <c r="E511" s="1307"/>
      <c r="F511" s="1307"/>
      <c r="I511" s="490"/>
    </row>
    <row r="512" spans="1:9">
      <c r="A512" s="484"/>
      <c r="D512" s="1307"/>
      <c r="E512" s="1307"/>
      <c r="F512" s="1307"/>
      <c r="I512" s="490"/>
    </row>
    <row r="513" spans="1:9">
      <c r="A513" s="490"/>
      <c r="B513" s="490"/>
      <c r="D513" s="447"/>
      <c r="I513" s="490"/>
    </row>
    <row r="514" spans="1:9">
      <c r="A514" s="490"/>
      <c r="B514" s="485" t="s">
        <v>2689</v>
      </c>
      <c r="D514" s="1309" t="s">
        <v>1145</v>
      </c>
      <c r="E514" s="1309"/>
      <c r="F514" s="1309"/>
      <c r="I514" s="490"/>
    </row>
    <row r="515" spans="1:9">
      <c r="D515" s="446"/>
      <c r="E515" s="446"/>
      <c r="F515" s="446"/>
      <c r="I515" s="490"/>
    </row>
    <row r="516" spans="1:9">
      <c r="B516" s="485" t="s">
        <v>2689</v>
      </c>
      <c r="D516" s="1307" t="s">
        <v>2223</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2761</v>
      </c>
      <c r="C527" s="483"/>
      <c r="D527" s="1279" t="s">
        <v>2020</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2689</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4" customHeight="1">
      <c r="A536" s="483"/>
      <c r="B536" s="485" t="s">
        <v>2689</v>
      </c>
      <c r="C536" s="483"/>
      <c r="D536" s="1307" t="s">
        <v>2638</v>
      </c>
      <c r="E536" s="1307"/>
      <c r="F536" s="1307"/>
      <c r="I536" s="490"/>
    </row>
    <row r="537" spans="1:9" ht="13.4"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1052</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1081</v>
      </c>
      <c r="E547" s="1309"/>
      <c r="F547" s="1309"/>
      <c r="I547" s="490"/>
    </row>
    <row r="548" spans="1:9">
      <c r="C548" s="487"/>
      <c r="D548" s="446"/>
      <c r="E548" s="446"/>
      <c r="F548" s="446"/>
      <c r="I548" s="490"/>
    </row>
    <row r="549" spans="1:9" ht="13.75" customHeight="1">
      <c r="A549" s="484"/>
      <c r="B549" s="485" t="s">
        <v>2761</v>
      </c>
      <c r="C549" s="487"/>
      <c r="D549" s="1309" t="s">
        <v>884</v>
      </c>
      <c r="E549" s="1309"/>
      <c r="F549" s="1309"/>
      <c r="I549" s="490"/>
    </row>
    <row r="550" spans="1:9" ht="13.75" customHeight="1">
      <c r="A550" s="487"/>
      <c r="B550" s="487"/>
      <c r="C550" s="487"/>
      <c r="D550" s="446"/>
      <c r="I550" s="490"/>
    </row>
    <row r="551" spans="1:9">
      <c r="A551" s="484"/>
      <c r="B551" s="485" t="s">
        <v>2761</v>
      </c>
      <c r="C551" s="487"/>
      <c r="D551" s="1307" t="s">
        <v>1082</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c r="A554" s="484"/>
      <c r="B554" s="485" t="s">
        <v>2761</v>
      </c>
      <c r="C554" s="487"/>
      <c r="D554" s="1307" t="s">
        <v>1083</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c r="A557" s="484"/>
      <c r="B557" s="485" t="s">
        <v>2761</v>
      </c>
      <c r="C557" s="487"/>
      <c r="D557" s="1307" t="s">
        <v>1084</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c r="A560" s="484"/>
      <c r="B560" s="485" t="s">
        <v>2761</v>
      </c>
      <c r="C560" s="487"/>
      <c r="D560" s="1307" t="s">
        <v>1085</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c r="A564" s="484"/>
      <c r="B564" s="485" t="s">
        <v>2689</v>
      </c>
      <c r="C564" s="487"/>
      <c r="D564" s="1307" t="s">
        <v>2201</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c r="A567" s="484"/>
      <c r="B567" s="485" t="s">
        <v>2761</v>
      </c>
      <c r="C567" s="487"/>
      <c r="D567" s="1307" t="s">
        <v>1086</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c r="A570" s="484"/>
      <c r="B570" s="485" t="s">
        <v>2761</v>
      </c>
      <c r="C570" s="487"/>
      <c r="D570" s="1309" t="s">
        <v>1087</v>
      </c>
      <c r="E570" s="1309"/>
      <c r="F570" s="1309"/>
      <c r="I570" s="490"/>
    </row>
    <row r="571" spans="1:9">
      <c r="A571" s="490"/>
      <c r="B571" s="490"/>
      <c r="C571" s="487"/>
      <c r="D571" s="1309" t="s">
        <v>1880</v>
      </c>
      <c r="E571" s="1309"/>
      <c r="F571" s="1309"/>
      <c r="I571" s="490"/>
    </row>
    <row r="572" spans="1:9">
      <c r="A572" s="490"/>
      <c r="B572" s="490"/>
      <c r="C572" s="487"/>
      <c r="E572" s="96" t="s">
        <v>1879</v>
      </c>
      <c r="F572" s="404"/>
      <c r="I572" s="490"/>
    </row>
    <row r="573" spans="1:9">
      <c r="A573" s="484"/>
      <c r="B573" s="484"/>
      <c r="C573" s="487"/>
      <c r="E573" s="446"/>
      <c r="F573" s="446"/>
      <c r="I573" s="490"/>
    </row>
    <row r="574" spans="1:9">
      <c r="A574" s="484"/>
      <c r="B574" s="485" t="s">
        <v>2761</v>
      </c>
      <c r="C574" s="487"/>
      <c r="D574" s="1309" t="s">
        <v>1088</v>
      </c>
      <c r="E574" s="1309"/>
      <c r="F574" s="1309"/>
      <c r="I574" s="490"/>
    </row>
    <row r="575" spans="1:9">
      <c r="C575" s="487"/>
      <c r="D575" s="1307" t="s">
        <v>1089</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c r="A579" s="484"/>
      <c r="B579" s="485" t="s">
        <v>2761</v>
      </c>
      <c r="C579" s="487"/>
      <c r="D579" s="1307" t="s">
        <v>2022</v>
      </c>
      <c r="E579" s="1307"/>
      <c r="F579" s="1307"/>
      <c r="I579" s="490"/>
    </row>
    <row r="580" spans="1:9">
      <c r="A580" s="484"/>
      <c r="B580" s="484"/>
      <c r="C580" s="487"/>
      <c r="D580" s="1307"/>
      <c r="E580" s="1307"/>
      <c r="F580" s="1307"/>
      <c r="I580" s="490"/>
    </row>
    <row r="581" spans="1:9">
      <c r="A581" s="484"/>
      <c r="B581" s="484"/>
      <c r="C581" s="487"/>
      <c r="D581" s="1307"/>
      <c r="E581" s="1307"/>
      <c r="F581" s="1307"/>
      <c r="I581" s="490"/>
    </row>
    <row r="582" spans="1:9">
      <c r="A582" s="484"/>
      <c r="B582" s="484"/>
      <c r="C582" s="487"/>
      <c r="D582" s="1307"/>
      <c r="E582" s="1307"/>
      <c r="F582" s="1307"/>
      <c r="I582" s="490"/>
    </row>
    <row r="583" spans="1:9">
      <c r="A583" s="484"/>
      <c r="B583" s="484"/>
      <c r="C583" s="487"/>
      <c r="D583" s="446"/>
      <c r="E583" s="446"/>
      <c r="F583" s="446"/>
      <c r="I583" s="490"/>
    </row>
    <row r="584" spans="1:9">
      <c r="A584" s="1308" t="s">
        <v>1054</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1067</v>
      </c>
      <c r="E587" s="1323"/>
      <c r="F587" s="1323"/>
      <c r="I587" s="490"/>
    </row>
    <row r="588" spans="1:9">
      <c r="A588" s="402"/>
      <c r="B588" s="402"/>
      <c r="C588" s="483"/>
      <c r="D588" s="499"/>
      <c r="I588" s="490"/>
    </row>
    <row r="589" spans="1:9" hidden="1">
      <c r="A589" s="483"/>
      <c r="B589" s="485" t="s">
        <v>307</v>
      </c>
      <c r="D589" s="1323" t="s">
        <v>888</v>
      </c>
      <c r="E589" s="1323"/>
      <c r="F589" s="1323"/>
      <c r="I589" s="490"/>
    </row>
    <row r="590" spans="1:9" hidden="1">
      <c r="A590" s="490"/>
      <c r="B590" s="490"/>
      <c r="D590" s="476"/>
      <c r="I590" s="490"/>
    </row>
    <row r="591" spans="1:9">
      <c r="A591" s="490"/>
      <c r="B591" s="485" t="s">
        <v>2761</v>
      </c>
      <c r="D591" s="1323" t="s">
        <v>2023</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2761</v>
      </c>
      <c r="D595" s="1323" t="s">
        <v>1068</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2761</v>
      </c>
      <c r="D600" s="1323" t="s">
        <v>2024</v>
      </c>
      <c r="E600" s="1323"/>
      <c r="F600" s="1323"/>
      <c r="I600" s="490"/>
    </row>
    <row r="601" spans="1:9">
      <c r="A601" s="490"/>
      <c r="B601" s="490"/>
      <c r="D601" s="1323"/>
      <c r="E601" s="1323"/>
      <c r="F601" s="1323"/>
      <c r="I601" s="490"/>
    </row>
    <row r="602" spans="1:9">
      <c r="A602" s="490"/>
      <c r="B602" s="490"/>
      <c r="D602" s="499"/>
      <c r="I602" s="490"/>
    </row>
    <row r="603" spans="1:9">
      <c r="A603" s="490"/>
      <c r="B603" s="485" t="s">
        <v>2689</v>
      </c>
      <c r="D603" s="1323" t="s">
        <v>1069</v>
      </c>
      <c r="E603" s="1323"/>
      <c r="F603" s="1323"/>
      <c r="I603" s="490"/>
    </row>
    <row r="604" spans="1:9">
      <c r="A604" s="490"/>
      <c r="B604" s="490"/>
      <c r="D604" s="1323"/>
      <c r="E604" s="1323"/>
      <c r="F604" s="1323"/>
      <c r="I604" s="490"/>
    </row>
    <row r="605" spans="1:9">
      <c r="A605" s="484"/>
      <c r="B605" s="484"/>
      <c r="D605" s="499"/>
      <c r="I605" s="490"/>
    </row>
    <row r="606" spans="1:9">
      <c r="A606" s="1308" t="s">
        <v>1055</v>
      </c>
      <c r="B606" s="1308"/>
      <c r="C606" s="1308"/>
      <c r="D606" s="1308"/>
      <c r="E606" s="1308"/>
      <c r="F606" s="1308"/>
      <c r="G606" s="1308"/>
      <c r="H606" s="1023"/>
      <c r="I606" s="1147"/>
    </row>
    <row r="607" spans="1:9">
      <c r="I607" s="490"/>
    </row>
    <row r="608" spans="1:9">
      <c r="D608" s="1310" t="s">
        <v>1107</v>
      </c>
      <c r="E608" s="1310"/>
      <c r="F608" s="1310"/>
      <c r="I608" s="490"/>
    </row>
    <row r="609" spans="1:9">
      <c r="D609" s="1289" t="s">
        <v>1108</v>
      </c>
      <c r="E609" s="1289"/>
      <c r="F609" s="1289"/>
      <c r="I609" s="490"/>
    </row>
    <row r="610" spans="1:9">
      <c r="D610" s="444"/>
      <c r="I610" s="490"/>
    </row>
    <row r="611" spans="1:9" ht="14.25" customHeight="1">
      <c r="A611" s="484"/>
      <c r="B611" s="485" t="s">
        <v>2761</v>
      </c>
      <c r="D611" s="1324" t="s">
        <v>1881</v>
      </c>
      <c r="E611" s="1324"/>
      <c r="F611" s="1324"/>
      <c r="I611" s="490"/>
    </row>
    <row r="612" spans="1:9">
      <c r="D612" s="1324"/>
      <c r="E612" s="1324"/>
      <c r="F612" s="1324"/>
      <c r="I612" s="490"/>
    </row>
    <row r="613" spans="1:9">
      <c r="D613" s="385"/>
      <c r="E613" s="1031" t="s">
        <v>1882</v>
      </c>
      <c r="F613" s="385"/>
      <c r="I613" s="490"/>
    </row>
    <row r="614" spans="1:9">
      <c r="I614" s="490"/>
    </row>
    <row r="615" spans="1:9">
      <c r="A615" s="1308" t="s">
        <v>1056</v>
      </c>
      <c r="B615" s="1308"/>
      <c r="C615" s="1308"/>
      <c r="D615" s="1308"/>
      <c r="E615" s="1308"/>
      <c r="F615" s="1308"/>
      <c r="G615" s="1308"/>
      <c r="H615" s="1023"/>
      <c r="I615" s="1147"/>
    </row>
    <row r="616" spans="1:9">
      <c r="A616" s="446"/>
      <c r="B616" s="446"/>
      <c r="I616" s="490"/>
    </row>
    <row r="617" spans="1:9">
      <c r="A617" s="482"/>
      <c r="B617" s="482"/>
      <c r="C617" s="482"/>
      <c r="D617" s="1319" t="s">
        <v>1109</v>
      </c>
      <c r="E617" s="1319"/>
      <c r="F617" s="1319"/>
      <c r="I617" s="490"/>
    </row>
    <row r="618" spans="1:9">
      <c r="A618" s="482"/>
      <c r="B618" s="482"/>
      <c r="C618" s="482"/>
      <c r="D618" s="1319"/>
      <c r="E618" s="1319"/>
      <c r="F618" s="1319"/>
      <c r="I618" s="490"/>
    </row>
    <row r="619" spans="1:9">
      <c r="C619" s="483"/>
      <c r="D619" s="1289" t="s">
        <v>1110</v>
      </c>
      <c r="E619" s="1289"/>
      <c r="F619" s="1289"/>
      <c r="I619" s="490"/>
    </row>
    <row r="620" spans="1:9">
      <c r="C620" s="483"/>
      <c r="D620" s="444"/>
      <c r="E620" s="444"/>
      <c r="F620" s="444"/>
      <c r="I620" s="490"/>
    </row>
    <row r="621" spans="1:9">
      <c r="B621" s="485" t="s">
        <v>2761</v>
      </c>
      <c r="C621" s="483"/>
      <c r="D621" s="1288" t="s">
        <v>2605</v>
      </c>
      <c r="E621" s="1288"/>
      <c r="F621" s="1288"/>
      <c r="I621" s="490"/>
    </row>
    <row r="622" spans="1:9">
      <c r="C622" s="483"/>
      <c r="D622" s="444"/>
      <c r="E622" s="444"/>
      <c r="F622" s="444"/>
      <c r="I622" s="490"/>
    </row>
    <row r="623" spans="1:9" ht="12.75" customHeight="1">
      <c r="A623" s="490"/>
      <c r="B623" s="485" t="s">
        <v>2761</v>
      </c>
      <c r="D623" s="1306" t="s">
        <v>1111</v>
      </c>
      <c r="E623" s="1306"/>
      <c r="F623" s="1306"/>
      <c r="I623" s="490"/>
    </row>
    <row r="624" spans="1:9">
      <c r="D624" s="1306"/>
      <c r="E624" s="1306"/>
      <c r="F624" s="1306"/>
      <c r="I624" s="490"/>
    </row>
    <row r="625" spans="1:9">
      <c r="I625" s="490"/>
    </row>
    <row r="626" spans="1:9">
      <c r="B626" s="485" t="s">
        <v>2761</v>
      </c>
      <c r="D626" s="1306" t="s">
        <v>1112</v>
      </c>
      <c r="E626" s="1306"/>
      <c r="F626" s="1306"/>
      <c r="I626" s="490"/>
    </row>
    <row r="627" spans="1:9">
      <c r="C627" s="500"/>
      <c r="D627" s="1306"/>
      <c r="E627" s="1306"/>
      <c r="F627" s="1306"/>
      <c r="I627" s="490"/>
    </row>
    <row r="628" spans="1:9">
      <c r="C628" s="500"/>
      <c r="I628" s="490"/>
    </row>
    <row r="629" spans="1:9">
      <c r="B629" s="485" t="s">
        <v>2689</v>
      </c>
      <c r="C629" s="500"/>
      <c r="D629" s="1306" t="s">
        <v>1113</v>
      </c>
      <c r="E629" s="1306"/>
      <c r="F629" s="1306"/>
      <c r="I629" s="490"/>
    </row>
    <row r="630" spans="1:9">
      <c r="C630" s="500"/>
      <c r="D630" s="1306"/>
      <c r="E630" s="1306"/>
      <c r="F630" s="1306"/>
      <c r="I630" s="500"/>
    </row>
    <row r="631" spans="1:9">
      <c r="C631" s="500"/>
      <c r="I631" s="490"/>
    </row>
    <row r="632" spans="1:9">
      <c r="B632" s="485" t="s">
        <v>2689</v>
      </c>
      <c r="C632" s="500"/>
      <c r="D632" s="1288" t="s">
        <v>2550</v>
      </c>
      <c r="E632" s="1288"/>
      <c r="F632" s="1288"/>
      <c r="I632" s="490"/>
    </row>
    <row r="633" spans="1:9">
      <c r="C633" s="500"/>
      <c r="I633" s="490"/>
    </row>
    <row r="634" spans="1:9">
      <c r="A634" s="1308" t="s">
        <v>1057</v>
      </c>
      <c r="B634" s="1308"/>
      <c r="C634" s="1308"/>
      <c r="D634" s="1308"/>
      <c r="E634" s="1308"/>
      <c r="F634" s="1308"/>
      <c r="G634" s="1308"/>
      <c r="H634" s="1023"/>
      <c r="I634" s="1147"/>
    </row>
    <row r="635" spans="1:9">
      <c r="A635" s="482"/>
      <c r="B635" s="482"/>
      <c r="C635" s="482"/>
      <c r="I635" s="490"/>
    </row>
    <row r="636" spans="1:9">
      <c r="C636" s="490"/>
      <c r="D636" s="1310" t="s">
        <v>1114</v>
      </c>
      <c r="E636" s="1310"/>
      <c r="F636" s="1310"/>
      <c r="I636" s="490"/>
    </row>
    <row r="637" spans="1:9">
      <c r="A637" s="490"/>
      <c r="B637" s="490"/>
      <c r="D637" s="404"/>
      <c r="I637" s="490"/>
    </row>
    <row r="638" spans="1:9" ht="14.25" customHeight="1">
      <c r="A638" s="484"/>
      <c r="B638" s="485" t="s">
        <v>2761</v>
      </c>
      <c r="D638" s="1324" t="s">
        <v>2025</v>
      </c>
      <c r="E638" s="1324"/>
      <c r="F638" s="1324"/>
      <c r="I638" s="490"/>
    </row>
    <row r="639" spans="1:9">
      <c r="D639" s="1324"/>
      <c r="E639" s="1324"/>
      <c r="F639" s="1324"/>
      <c r="I639" s="490"/>
    </row>
    <row r="640" spans="1:9">
      <c r="D640" s="385"/>
      <c r="E640" s="1031" t="s">
        <v>1884</v>
      </c>
      <c r="F640" s="385"/>
      <c r="I640" s="490"/>
    </row>
    <row r="641" spans="1:9">
      <c r="D641" s="1307" t="s">
        <v>1883</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c r="A645" s="484"/>
      <c r="B645" s="485" t="s">
        <v>2689</v>
      </c>
      <c r="D645" s="1307" t="s">
        <v>1115</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c r="A648" s="484"/>
      <c r="B648" s="485" t="s">
        <v>2689</v>
      </c>
      <c r="C648" s="487"/>
      <c r="D648" s="1307" t="s">
        <v>1225</v>
      </c>
      <c r="E648" s="1307"/>
      <c r="F648" s="1307"/>
      <c r="I648" s="490"/>
    </row>
    <row r="649" spans="1:9">
      <c r="A649" s="484"/>
      <c r="B649" s="484"/>
      <c r="C649" s="487"/>
      <c r="D649" s="1307"/>
      <c r="E649" s="1307"/>
      <c r="F649" s="1307"/>
      <c r="I649" s="490"/>
    </row>
    <row r="650" spans="1:9">
      <c r="A650" s="484"/>
      <c r="B650" s="484"/>
      <c r="C650" s="487"/>
      <c r="D650" s="1307"/>
      <c r="E650" s="1307"/>
      <c r="F650" s="1307"/>
      <c r="I650" s="490"/>
    </row>
    <row r="651" spans="1:9">
      <c r="A651" s="487"/>
      <c r="B651" s="485" t="s">
        <v>2689</v>
      </c>
      <c r="C651" s="487"/>
      <c r="D651" s="1309" t="s">
        <v>1116</v>
      </c>
      <c r="E651" s="1309"/>
      <c r="F651" s="1309"/>
      <c r="I651" s="490"/>
    </row>
    <row r="652" spans="1:9">
      <c r="A652" s="487"/>
      <c r="B652" s="487"/>
      <c r="C652" s="487"/>
      <c r="D652" s="446"/>
      <c r="E652" s="446"/>
      <c r="F652" s="446"/>
      <c r="I652" s="490"/>
    </row>
    <row r="653" spans="1:9">
      <c r="A653" s="1308" t="s">
        <v>1058</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1146</v>
      </c>
      <c r="E655" s="1310"/>
      <c r="F655" s="1310"/>
      <c r="I655" s="490"/>
    </row>
    <row r="656" spans="1:9">
      <c r="A656" s="483"/>
      <c r="B656" s="483"/>
      <c r="C656" s="483"/>
      <c r="D656" s="1309" t="s">
        <v>1147</v>
      </c>
      <c r="E656" s="1309"/>
      <c r="F656" s="1309"/>
      <c r="I656" s="490"/>
    </row>
    <row r="657" spans="1:9">
      <c r="A657" s="483"/>
      <c r="B657" s="483"/>
      <c r="C657" s="483"/>
      <c r="D657" s="446"/>
      <c r="E657" s="446"/>
      <c r="F657" s="446"/>
      <c r="I657" s="490"/>
    </row>
    <row r="658" spans="1:9" ht="12.75" customHeight="1">
      <c r="B658" s="485" t="s">
        <v>2689</v>
      </c>
      <c r="C658" s="487"/>
      <c r="D658" s="1307" t="s">
        <v>1281</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5" customHeight="1">
      <c r="A662" s="484"/>
      <c r="B662" s="484"/>
      <c r="C662" s="487"/>
      <c r="D662" s="385"/>
      <c r="E662" s="385"/>
      <c r="F662" s="385"/>
      <c r="I662" s="490"/>
    </row>
    <row r="663" spans="1:9" ht="12.75" customHeight="1">
      <c r="A663" s="483"/>
      <c r="B663" s="485" t="s">
        <v>2689</v>
      </c>
      <c r="C663" s="487"/>
      <c r="D663" s="1307" t="s">
        <v>1283</v>
      </c>
      <c r="E663" s="1307"/>
      <c r="F663" s="1307"/>
      <c r="I663" s="490"/>
    </row>
    <row r="664" spans="1:9">
      <c r="A664" s="483"/>
      <c r="B664" s="484"/>
      <c r="C664" s="487"/>
      <c r="D664" s="1307"/>
      <c r="E664" s="1307"/>
      <c r="F664" s="1307"/>
      <c r="I664" s="490"/>
    </row>
    <row r="665" spans="1:9">
      <c r="A665" s="483"/>
      <c r="B665" s="484"/>
      <c r="C665" s="487"/>
      <c r="D665" s="1307"/>
      <c r="E665" s="1307"/>
      <c r="F665" s="1307"/>
      <c r="I665" s="490"/>
    </row>
    <row r="666" spans="1:9">
      <c r="A666" s="483"/>
      <c r="B666" s="484"/>
      <c r="C666" s="487"/>
      <c r="D666" s="1307"/>
      <c r="E666" s="1307"/>
      <c r="F666" s="1307"/>
      <c r="I666" s="490"/>
    </row>
    <row r="667" spans="1:9">
      <c r="A667" s="483"/>
      <c r="B667" s="484"/>
      <c r="C667" s="487"/>
      <c r="D667" s="1307"/>
      <c r="E667" s="1307"/>
      <c r="F667" s="1307"/>
      <c r="I667" s="490"/>
    </row>
    <row r="668" spans="1:9" ht="14.25" customHeight="1">
      <c r="A668" s="483"/>
      <c r="B668" s="484"/>
      <c r="C668" s="487"/>
      <c r="F668" s="386"/>
      <c r="I668" s="490"/>
    </row>
    <row r="669" spans="1:9" ht="12.75" customHeight="1">
      <c r="A669" s="483"/>
      <c r="B669" s="485" t="s">
        <v>2689</v>
      </c>
      <c r="C669" s="487"/>
      <c r="D669" s="1307" t="s">
        <v>1282</v>
      </c>
      <c r="E669" s="1307"/>
      <c r="F669" s="1307"/>
      <c r="I669" s="490"/>
    </row>
    <row r="670" spans="1:9">
      <c r="A670" s="483"/>
      <c r="B670" s="484"/>
      <c r="C670" s="487"/>
      <c r="D670" s="1307"/>
      <c r="E670" s="1307"/>
      <c r="F670" s="1307"/>
      <c r="I670" s="490"/>
    </row>
    <row r="671" spans="1:9">
      <c r="A671" s="484"/>
      <c r="B671" s="484"/>
      <c r="C671" s="487"/>
      <c r="D671" s="1307"/>
      <c r="E671" s="1307"/>
      <c r="F671" s="1307"/>
      <c r="I671" s="490"/>
    </row>
    <row r="672" spans="1:9">
      <c r="A672" s="484"/>
      <c r="B672" s="484"/>
      <c r="C672" s="487"/>
      <c r="D672" s="1307"/>
      <c r="E672" s="1307"/>
      <c r="F672" s="1307"/>
      <c r="I672" s="490"/>
    </row>
    <row r="673" spans="1:11">
      <c r="A673" s="484"/>
      <c r="B673" s="484"/>
      <c r="C673" s="487"/>
      <c r="D673" s="445"/>
      <c r="E673" s="445"/>
      <c r="F673" s="445"/>
      <c r="I673" s="490"/>
    </row>
    <row r="674" spans="1:11" ht="12.75" customHeight="1">
      <c r="A674" s="483"/>
      <c r="B674" s="485" t="s">
        <v>2689</v>
      </c>
      <c r="C674" s="487"/>
      <c r="D674" s="1307" t="s">
        <v>2026</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1059</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1076</v>
      </c>
      <c r="E688" s="1309"/>
      <c r="F688" s="1309"/>
      <c r="H688" s="501"/>
      <c r="I688" s="483"/>
      <c r="J688" s="501"/>
      <c r="K688" s="501"/>
    </row>
    <row r="689" spans="1:11">
      <c r="A689" s="483"/>
      <c r="B689" s="483"/>
      <c r="C689" s="483"/>
      <c r="H689" s="501"/>
      <c r="I689" s="483"/>
      <c r="J689" s="501"/>
      <c r="K689" s="501"/>
    </row>
    <row r="690" spans="1:11">
      <c r="A690" s="484"/>
      <c r="B690" s="485" t="s">
        <v>2689</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2689</v>
      </c>
      <c r="C695" s="483"/>
      <c r="D695" s="1307" t="s">
        <v>2027</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c r="A699" s="484"/>
      <c r="B699" s="485" t="s">
        <v>2689</v>
      </c>
      <c r="C699" s="483"/>
      <c r="D699" s="1309" t="s">
        <v>917</v>
      </c>
      <c r="E699" s="1309"/>
      <c r="F699" s="1309"/>
      <c r="H699" s="501"/>
      <c r="I699" s="483"/>
      <c r="J699" s="501"/>
      <c r="K699" s="501"/>
    </row>
    <row r="700" spans="1:11">
      <c r="A700" s="484"/>
      <c r="B700" s="484"/>
      <c r="C700" s="483"/>
      <c r="D700" s="1309" t="s">
        <v>894</v>
      </c>
      <c r="E700" s="1309"/>
      <c r="F700" s="1309"/>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2689</v>
      </c>
      <c r="C703" s="483"/>
      <c r="D703" s="1309" t="s">
        <v>2401</v>
      </c>
      <c r="E703" s="1309"/>
      <c r="F703" s="1309"/>
      <c r="H703" s="501"/>
      <c r="I703" s="483"/>
      <c r="J703" s="501"/>
      <c r="K703" s="501"/>
    </row>
    <row r="704" spans="1:11">
      <c r="A704" s="484"/>
      <c r="B704" s="484"/>
      <c r="C704" s="483"/>
      <c r="D704" s="1309" t="s">
        <v>894</v>
      </c>
      <c r="E704" s="1309"/>
      <c r="F704" s="1309"/>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c r="A707" s="484"/>
      <c r="B707" s="485" t="s">
        <v>2689</v>
      </c>
      <c r="C707" s="483"/>
      <c r="D707" s="1307" t="s">
        <v>2198</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2689</v>
      </c>
      <c r="C714" s="483"/>
      <c r="D714" s="1307" t="s">
        <v>1201</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c r="A717" s="484"/>
      <c r="B717" s="485" t="s">
        <v>2689</v>
      </c>
      <c r="C717" s="483"/>
      <c r="D717" s="1307" t="s">
        <v>1077</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2689</v>
      </c>
      <c r="C730" s="483"/>
      <c r="D730" s="1307" t="s">
        <v>2394</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2689</v>
      </c>
      <c r="C734" s="483"/>
      <c r="D734" s="1307" t="s">
        <v>2393</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2689</v>
      </c>
      <c r="C738" s="483"/>
      <c r="D738" s="1307" t="s">
        <v>2392</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c r="A743" s="484"/>
      <c r="B743" s="485" t="s">
        <v>2689</v>
      </c>
      <c r="C743" s="483"/>
      <c r="D743" s="1307" t="s">
        <v>1078</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c r="A749" s="484"/>
      <c r="B749" s="485" t="s">
        <v>2689</v>
      </c>
      <c r="C749" s="483"/>
      <c r="D749" s="1307" t="s">
        <v>2101</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2615</v>
      </c>
      <c r="E756" s="1312"/>
      <c r="F756" s="1312"/>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5" customHeight="1">
      <c r="C760" s="483"/>
      <c r="D760" s="1327" t="s">
        <v>1070</v>
      </c>
      <c r="E760" s="1327"/>
      <c r="F760" s="1327"/>
      <c r="G760" s="501"/>
      <c r="H760" s="501"/>
      <c r="I760" s="483"/>
      <c r="J760" s="501"/>
      <c r="K760" s="501"/>
    </row>
    <row r="761" spans="1:11">
      <c r="A761" s="483"/>
      <c r="B761" s="483"/>
      <c r="C761" s="483"/>
      <c r="D761" s="1313" t="s">
        <v>1071</v>
      </c>
      <c r="E761" s="1313"/>
      <c r="F761" s="1313"/>
      <c r="G761" s="501"/>
      <c r="H761" s="501"/>
      <c r="I761" s="483"/>
      <c r="J761" s="501"/>
      <c r="K761" s="501"/>
    </row>
    <row r="762" spans="1:11">
      <c r="A762" s="483"/>
      <c r="B762" s="483"/>
      <c r="C762" s="483"/>
      <c r="G762" s="501"/>
      <c r="H762" s="501"/>
      <c r="I762" s="483"/>
      <c r="J762" s="501"/>
      <c r="K762" s="501"/>
    </row>
    <row r="763" spans="1:11">
      <c r="A763" s="484"/>
      <c r="B763" s="485" t="s">
        <v>2761</v>
      </c>
      <c r="D763" s="1307" t="s">
        <v>1072</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5"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c r="A770" s="503"/>
      <c r="B770" s="485" t="s">
        <v>2761</v>
      </c>
      <c r="C770" s="504"/>
      <c r="D770" s="1307" t="s">
        <v>1241</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c r="A775" s="484"/>
      <c r="B775" s="485" t="s">
        <v>2689</v>
      </c>
      <c r="C775" s="504"/>
      <c r="D775" s="1306" t="s">
        <v>1242</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c r="A779" s="484"/>
      <c r="B779" s="485" t="s">
        <v>2689</v>
      </c>
      <c r="D779" s="1307" t="s">
        <v>1198</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2689</v>
      </c>
      <c r="D782" s="1307" t="s">
        <v>1215</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1790</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1830</v>
      </c>
      <c r="E788" s="1325"/>
      <c r="F788" s="1325"/>
      <c r="G788" s="3"/>
      <c r="I788" s="490"/>
    </row>
    <row r="789" spans="1:11">
      <c r="A789" s="57"/>
      <c r="B789" s="57"/>
      <c r="C789" s="354"/>
      <c r="D789" s="1317" t="s">
        <v>1744</v>
      </c>
      <c r="E789" s="1317"/>
      <c r="F789" s="1317"/>
      <c r="G789" s="3"/>
      <c r="I789" s="490"/>
    </row>
    <row r="790" spans="1:11">
      <c r="A790" s="57"/>
      <c r="B790" s="57"/>
      <c r="C790" s="354"/>
      <c r="D790" s="447"/>
      <c r="E790" s="447"/>
      <c r="F790" s="447"/>
      <c r="G790" s="3"/>
      <c r="I790" s="490"/>
    </row>
    <row r="791" spans="1:11">
      <c r="A791" s="57"/>
      <c r="B791" s="485" t="s">
        <v>2689</v>
      </c>
      <c r="C791" s="354"/>
      <c r="D791" s="1299" t="s">
        <v>1745</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2689</v>
      </c>
      <c r="C795" s="172"/>
      <c r="D795" s="1299" t="s">
        <v>1746</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c r="A799" s="175"/>
      <c r="B799" s="485" t="s">
        <v>2689</v>
      </c>
      <c r="C799" s="984"/>
      <c r="D799" s="1299" t="s">
        <v>1747</v>
      </c>
      <c r="E799" s="1299"/>
      <c r="F799" s="1299"/>
      <c r="G799" s="983"/>
      <c r="I799" s="483"/>
    </row>
    <row r="800" spans="1:11">
      <c r="A800" s="175"/>
      <c r="B800" s="175"/>
      <c r="C800" s="984"/>
      <c r="D800" s="1299"/>
      <c r="E800" s="1299"/>
      <c r="F800" s="1299"/>
      <c r="G800" s="983"/>
      <c r="I800" s="490"/>
    </row>
    <row r="801" spans="1:9">
      <c r="A801" s="175"/>
      <c r="B801" s="175"/>
      <c r="C801" s="984"/>
      <c r="D801" s="1299"/>
      <c r="E801" s="1299"/>
      <c r="F801" s="1299"/>
      <c r="G801" s="983"/>
      <c r="I801" s="490"/>
    </row>
    <row r="802" spans="1:9">
      <c r="A802" s="175"/>
      <c r="B802" s="175"/>
      <c r="C802" s="984"/>
      <c r="D802" s="118"/>
      <c r="E802" s="3"/>
      <c r="F802" s="3"/>
      <c r="G802" s="983"/>
      <c r="I802" s="490"/>
    </row>
    <row r="803" spans="1:9">
      <c r="A803" s="175"/>
      <c r="B803" s="485" t="s">
        <v>2689</v>
      </c>
      <c r="C803" s="984"/>
      <c r="D803" s="1299" t="s">
        <v>1748</v>
      </c>
      <c r="E803" s="1299"/>
      <c r="F803" s="1299"/>
      <c r="G803" s="983"/>
      <c r="I803" s="483"/>
    </row>
    <row r="804" spans="1:9">
      <c r="A804" s="175"/>
      <c r="B804" s="175"/>
      <c r="C804" s="984"/>
      <c r="D804" s="1299"/>
      <c r="E804" s="1299"/>
      <c r="F804" s="1299"/>
      <c r="G804" s="983"/>
      <c r="I804" s="490"/>
    </row>
    <row r="805" spans="1:9">
      <c r="A805" s="175"/>
      <c r="B805" s="175"/>
      <c r="C805" s="984"/>
      <c r="D805" s="1299"/>
      <c r="E805" s="1299"/>
      <c r="F805" s="1299"/>
      <c r="G805" s="983"/>
      <c r="I805" s="490"/>
    </row>
    <row r="806" spans="1:9">
      <c r="A806" s="175"/>
      <c r="B806" s="175"/>
      <c r="C806" s="984"/>
      <c r="D806" s="1299"/>
      <c r="E806" s="1299"/>
      <c r="F806" s="1299"/>
      <c r="G806" s="983"/>
      <c r="I806" s="490"/>
    </row>
    <row r="807" spans="1:9">
      <c r="A807" s="175"/>
      <c r="B807" s="175"/>
      <c r="C807" s="984"/>
      <c r="D807" s="1299"/>
      <c r="E807" s="1299"/>
      <c r="F807" s="1299"/>
      <c r="G807" s="983"/>
      <c r="I807" s="490"/>
    </row>
    <row r="808" spans="1:9">
      <c r="A808" s="175"/>
      <c r="B808" s="175"/>
      <c r="C808" s="984"/>
      <c r="D808" s="1299"/>
      <c r="E808" s="1299"/>
      <c r="F808" s="1299"/>
      <c r="G808" s="983"/>
      <c r="I808" s="490"/>
    </row>
    <row r="809" spans="1:9">
      <c r="A809" s="175"/>
      <c r="B809" s="175"/>
      <c r="C809" s="984"/>
      <c r="D809" s="1299" t="s">
        <v>1791</v>
      </c>
      <c r="E809" s="1299"/>
      <c r="F809" s="1299"/>
      <c r="G809" s="983"/>
      <c r="I809" s="490"/>
    </row>
    <row r="810" spans="1:9">
      <c r="A810" s="175"/>
      <c r="B810" s="175"/>
      <c r="C810" s="984"/>
      <c r="D810" s="1299"/>
      <c r="E810" s="1299"/>
      <c r="F810" s="1299"/>
      <c r="G810" s="983"/>
      <c r="I810" s="490"/>
    </row>
    <row r="811" spans="1:9">
      <c r="A811" s="175"/>
      <c r="B811" s="175"/>
      <c r="C811" s="984"/>
      <c r="D811" s="1299"/>
      <c r="E811" s="1299"/>
      <c r="F811" s="1299"/>
      <c r="G811" s="983"/>
      <c r="I811" s="490"/>
    </row>
    <row r="812" spans="1:9">
      <c r="A812" s="175"/>
      <c r="B812" s="354"/>
      <c r="C812" s="984"/>
      <c r="D812" s="985"/>
      <c r="E812" s="985"/>
      <c r="F812" s="985"/>
      <c r="G812" s="983"/>
      <c r="I812" s="490"/>
    </row>
    <row r="813" spans="1:9">
      <c r="A813" s="175"/>
      <c r="B813" s="485" t="s">
        <v>2689</v>
      </c>
      <c r="C813" s="984"/>
      <c r="D813" s="1299" t="s">
        <v>1749</v>
      </c>
      <c r="E813" s="1299"/>
      <c r="F813" s="1299"/>
      <c r="G813" s="983"/>
      <c r="I813" s="483"/>
    </row>
    <row r="814" spans="1:9">
      <c r="A814" s="175"/>
      <c r="B814" s="175"/>
      <c r="C814" s="984"/>
      <c r="D814" s="1299"/>
      <c r="E814" s="1299"/>
      <c r="F814" s="1299"/>
      <c r="G814" s="983"/>
      <c r="I814" s="490"/>
    </row>
    <row r="815" spans="1:9">
      <c r="A815" s="175"/>
      <c r="B815" s="175"/>
      <c r="C815" s="984"/>
      <c r="D815" s="1299"/>
      <c r="E815" s="1299"/>
      <c r="F815" s="1299"/>
      <c r="G815" s="983"/>
      <c r="I815" s="490"/>
    </row>
    <row r="816" spans="1:9">
      <c r="A816" s="175"/>
      <c r="B816" s="175"/>
      <c r="C816" s="984"/>
      <c r="D816" s="1299"/>
      <c r="E816" s="1299"/>
      <c r="F816" s="1299"/>
      <c r="G816" s="983"/>
      <c r="I816" s="490"/>
    </row>
    <row r="817" spans="1:9">
      <c r="A817" s="175"/>
      <c r="B817" s="175"/>
      <c r="C817" s="984"/>
      <c r="D817" s="1299"/>
      <c r="E817" s="1299"/>
      <c r="F817" s="1299"/>
      <c r="G817" s="983"/>
      <c r="I817" s="490"/>
    </row>
    <row r="818" spans="1:9">
      <c r="A818" s="175"/>
      <c r="B818" s="175"/>
      <c r="C818" s="984"/>
      <c r="D818" s="1299"/>
      <c r="E818" s="1299"/>
      <c r="F818" s="1299"/>
      <c r="G818" s="983"/>
      <c r="I818" s="490"/>
    </row>
    <row r="819" spans="1:9">
      <c r="A819" s="175"/>
      <c r="B819" s="175"/>
      <c r="C819" s="984"/>
      <c r="D819" s="977"/>
      <c r="E819" s="977"/>
      <c r="F819" s="977"/>
      <c r="G819" s="983"/>
      <c r="I819" s="490"/>
    </row>
    <row r="820" spans="1:9">
      <c r="A820" s="175"/>
      <c r="B820" s="485" t="s">
        <v>2761</v>
      </c>
      <c r="C820" s="984"/>
      <c r="D820" s="1299" t="s">
        <v>1750</v>
      </c>
      <c r="E820" s="1299"/>
      <c r="F820" s="1299"/>
      <c r="G820" s="983"/>
      <c r="I820" s="483"/>
    </row>
    <row r="821" spans="1:9">
      <c r="A821" s="175"/>
      <c r="B821" s="175"/>
      <c r="C821" s="984"/>
      <c r="D821" s="1299"/>
      <c r="E821" s="1299"/>
      <c r="F821" s="1299"/>
      <c r="G821" s="983"/>
      <c r="I821" s="490"/>
    </row>
    <row r="822" spans="1:9">
      <c r="A822" s="175"/>
      <c r="B822" s="175"/>
      <c r="C822" s="984"/>
      <c r="D822" s="1299"/>
      <c r="E822" s="1299"/>
      <c r="F822" s="1299"/>
      <c r="G822" s="983"/>
      <c r="I822" s="490"/>
    </row>
    <row r="823" spans="1:9">
      <c r="A823" s="175"/>
      <c r="B823" s="175"/>
      <c r="C823" s="984"/>
      <c r="D823" s="1299"/>
      <c r="E823" s="1299"/>
      <c r="F823" s="1299"/>
      <c r="G823" s="983"/>
      <c r="I823" s="490"/>
    </row>
    <row r="824" spans="1:9">
      <c r="A824" s="175"/>
      <c r="B824" s="175"/>
      <c r="C824" s="984"/>
      <c r="D824" s="1299"/>
      <c r="E824" s="1299"/>
      <c r="F824" s="1299"/>
      <c r="G824" s="983"/>
      <c r="I824" s="490"/>
    </row>
    <row r="825" spans="1:9">
      <c r="A825" s="175"/>
      <c r="B825" s="175"/>
      <c r="C825" s="984"/>
      <c r="D825" s="1299"/>
      <c r="E825" s="1299"/>
      <c r="F825" s="1299"/>
      <c r="G825" s="983"/>
      <c r="I825" s="490"/>
    </row>
    <row r="826" spans="1:9">
      <c r="A826" s="175"/>
      <c r="B826" s="175"/>
      <c r="C826" s="984"/>
      <c r="D826" s="977"/>
      <c r="E826" s="977"/>
      <c r="F826" s="977"/>
      <c r="G826" s="983"/>
      <c r="I826" s="490"/>
    </row>
    <row r="827" spans="1:9">
      <c r="A827" s="175"/>
      <c r="B827" s="485" t="s">
        <v>2689</v>
      </c>
      <c r="C827" s="984"/>
      <c r="D827" s="1295" t="s">
        <v>1751</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1752</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1792</v>
      </c>
      <c r="E836" s="1315"/>
      <c r="F836" s="1315"/>
      <c r="G836" s="3"/>
      <c r="I836" s="490"/>
    </row>
    <row r="837" spans="1:9" ht="14.25" customHeight="1">
      <c r="A837" s="175"/>
      <c r="B837" s="175"/>
      <c r="C837" s="354"/>
      <c r="D837" s="1269" t="s">
        <v>1753</v>
      </c>
      <c r="E837" s="1269"/>
      <c r="F837" s="1269"/>
      <c r="G837" s="3"/>
      <c r="I837" s="490"/>
    </row>
    <row r="838" spans="1:9" ht="12.75" customHeight="1">
      <c r="A838" s="175"/>
      <c r="B838" s="175"/>
      <c r="C838" s="354"/>
      <c r="D838" s="441"/>
      <c r="E838" s="441"/>
      <c r="F838" s="441"/>
      <c r="G838" s="3"/>
      <c r="I838" s="490"/>
    </row>
    <row r="839" spans="1:9" ht="12.75" customHeight="1">
      <c r="A839" s="354"/>
      <c r="B839" s="485" t="s">
        <v>2761</v>
      </c>
      <c r="C839" s="984"/>
      <c r="D839" s="1269" t="s">
        <v>1754</v>
      </c>
      <c r="E839" s="1269"/>
      <c r="F839" s="1269"/>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2033</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2761</v>
      </c>
      <c r="C853" s="984"/>
      <c r="D853" s="1269" t="s">
        <v>1755</v>
      </c>
      <c r="E853" s="1269"/>
      <c r="F853" s="1269"/>
      <c r="G853" s="3"/>
      <c r="I853" s="490" t="s">
        <v>1857</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2689</v>
      </c>
      <c r="C857" s="984"/>
      <c r="D857" s="1315" t="s">
        <v>1756</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2028</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2689</v>
      </c>
      <c r="C866" s="984"/>
      <c r="D866" s="1269" t="s">
        <v>1757</v>
      </c>
      <c r="E866" s="1269"/>
      <c r="F866" s="1269"/>
      <c r="G866" s="3"/>
      <c r="I866" s="490" t="s">
        <v>1855</v>
      </c>
    </row>
    <row r="867" spans="1:9" ht="12.75" customHeight="1">
      <c r="A867" s="175"/>
      <c r="B867" s="175"/>
      <c r="C867" s="984"/>
      <c r="D867" s="1269" t="s">
        <v>1758</v>
      </c>
      <c r="E867" s="1269"/>
      <c r="F867" s="1269"/>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2689</v>
      </c>
      <c r="C870" s="984"/>
      <c r="D870" s="1269" t="s">
        <v>1759</v>
      </c>
      <c r="E870" s="1269"/>
      <c r="F870" s="1269"/>
      <c r="G870" s="3"/>
      <c r="I870" s="490" t="s">
        <v>1858</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1793</v>
      </c>
      <c r="E877" s="1296"/>
      <c r="F877" s="1296"/>
      <c r="G877" s="983"/>
      <c r="I877" s="490"/>
    </row>
    <row r="878" spans="1:9" ht="12.75" customHeight="1">
      <c r="A878" s="354"/>
      <c r="B878" s="354"/>
      <c r="C878" s="174"/>
      <c r="D878" s="1314" t="s">
        <v>1761</v>
      </c>
      <c r="E878" s="1314"/>
      <c r="F878" s="1314"/>
      <c r="G878" s="983"/>
      <c r="I878" s="490"/>
    </row>
    <row r="879" spans="1:9" ht="12.75" customHeight="1">
      <c r="A879" s="354"/>
      <c r="B879" s="354"/>
      <c r="C879" s="174"/>
      <c r="D879" s="990"/>
      <c r="E879" s="990"/>
      <c r="F879" s="990"/>
      <c r="G879" s="983"/>
      <c r="I879" s="490"/>
    </row>
    <row r="880" spans="1:9" ht="12.75" customHeight="1">
      <c r="A880" s="175"/>
      <c r="B880" s="485" t="s">
        <v>2761</v>
      </c>
      <c r="C880" s="354"/>
      <c r="D880" s="1297" t="s">
        <v>1762</v>
      </c>
      <c r="E880" s="1297"/>
      <c r="F880" s="129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2761</v>
      </c>
      <c r="C883" s="354"/>
      <c r="D883" s="1269" t="s">
        <v>1763</v>
      </c>
      <c r="E883" s="1321"/>
      <c r="F883" s="1321"/>
      <c r="G883" s="3"/>
      <c r="I883" s="490" t="s">
        <v>1858</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2689</v>
      </c>
      <c r="C886" s="354"/>
      <c r="D886" s="1322" t="s">
        <v>1764</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2028</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2689</v>
      </c>
      <c r="C895" s="354"/>
      <c r="D895" s="1288" t="s">
        <v>1757</v>
      </c>
      <c r="E895" s="1288"/>
      <c r="F895" s="1288"/>
      <c r="G895" s="983"/>
      <c r="I895" s="490"/>
    </row>
    <row r="896" spans="1:9" ht="12.75" customHeight="1">
      <c r="A896" s="175"/>
      <c r="B896" s="175"/>
      <c r="C896" s="354"/>
      <c r="D896" s="1288" t="s">
        <v>1758</v>
      </c>
      <c r="E896" s="1288"/>
      <c r="F896" s="128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2689</v>
      </c>
      <c r="C899" s="354"/>
      <c r="D899" s="1269" t="s">
        <v>1759</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1794</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1800</v>
      </c>
      <c r="E906" s="1291"/>
      <c r="F906" s="1291"/>
      <c r="G906" s="57"/>
      <c r="I906" s="490"/>
    </row>
    <row r="907" spans="1:9" ht="12.75" customHeight="1">
      <c r="A907" s="57"/>
      <c r="B907" s="57"/>
      <c r="C907" s="57"/>
      <c r="D907" s="976"/>
      <c r="E907" s="976"/>
      <c r="F907" s="976"/>
      <c r="G907" s="57"/>
      <c r="I907" s="490"/>
    </row>
    <row r="908" spans="1:9" ht="12.75" customHeight="1">
      <c r="A908" s="57"/>
      <c r="B908" s="485" t="s">
        <v>2761</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1795</v>
      </c>
      <c r="E910" s="1291"/>
      <c r="F910" s="1291"/>
      <c r="G910" s="983"/>
      <c r="I910" s="490"/>
    </row>
    <row r="911" spans="1:9" ht="12.75" customHeight="1">
      <c r="A911" s="172"/>
      <c r="B911" s="172"/>
      <c r="C911" s="172"/>
      <c r="D911" s="1297" t="s">
        <v>1765</v>
      </c>
      <c r="E911" s="1297"/>
      <c r="F911" s="1297"/>
      <c r="G911" s="983"/>
      <c r="I911" s="490"/>
    </row>
    <row r="912" spans="1:9" ht="12.75" customHeight="1">
      <c r="A912" s="984"/>
      <c r="B912" s="984"/>
      <c r="C912" s="984"/>
      <c r="D912" s="2"/>
      <c r="E912" s="983"/>
      <c r="F912" s="983"/>
      <c r="G912" s="983"/>
      <c r="I912" s="490"/>
    </row>
    <row r="913" spans="1:9" ht="12.75" customHeight="1">
      <c r="A913" s="175"/>
      <c r="B913" s="485" t="s">
        <v>2761</v>
      </c>
      <c r="C913" s="354"/>
      <c r="D913" s="1269" t="s">
        <v>1769</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1768</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2761</v>
      </c>
      <c r="C918" s="174"/>
      <c r="D918" s="1280" t="s">
        <v>1766</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2689</v>
      </c>
      <c r="C927" s="984"/>
      <c r="D927" s="1269" t="s">
        <v>1770</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2689</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2689</v>
      </c>
      <c r="C935" s="984"/>
      <c r="D935" s="1297" t="s">
        <v>2029</v>
      </c>
      <c r="E935" s="1297"/>
      <c r="F935" s="1297"/>
      <c r="G935" s="983"/>
      <c r="I935" s="490"/>
    </row>
    <row r="936" spans="1:9" ht="12.75" customHeight="1">
      <c r="A936" s="984"/>
      <c r="B936" s="984"/>
      <c r="C936" s="984"/>
      <c r="D936" s="118"/>
      <c r="E936" s="983"/>
      <c r="F936" s="983"/>
      <c r="G936" s="983"/>
      <c r="I936" s="490"/>
    </row>
    <row r="937" spans="1:9" ht="12.75" customHeight="1">
      <c r="A937" s="984"/>
      <c r="B937" s="485" t="s">
        <v>2689</v>
      </c>
      <c r="C937" s="984"/>
      <c r="D937" s="1297" t="s">
        <v>2030</v>
      </c>
      <c r="E937" s="1297"/>
      <c r="F937" s="1297"/>
      <c r="G937" s="983"/>
      <c r="I937" s="490"/>
    </row>
    <row r="938" spans="1:9" ht="12.75" customHeight="1">
      <c r="A938" s="174"/>
      <c r="B938" s="174"/>
      <c r="C938" s="174"/>
      <c r="D938" s="2"/>
      <c r="E938" s="3"/>
      <c r="F938" s="983"/>
      <c r="G938" s="983"/>
      <c r="I938" s="490"/>
    </row>
    <row r="939" spans="1:9" ht="12.75" customHeight="1">
      <c r="A939" s="992"/>
      <c r="B939" s="485" t="s">
        <v>2689</v>
      </c>
      <c r="C939" s="993"/>
      <c r="D939" s="1280" t="s">
        <v>1767</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2761</v>
      </c>
      <c r="C949" s="174"/>
      <c r="D949" s="1305" t="s">
        <v>1861</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2761</v>
      </c>
      <c r="C957" s="174"/>
      <c r="D957" s="1279" t="s">
        <v>2094</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2689</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2689</v>
      </c>
      <c r="C969" s="174"/>
      <c r="D969" s="1280" t="s">
        <v>1860</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1773</v>
      </c>
      <c r="E974" s="1296"/>
      <c r="F974" s="1296"/>
      <c r="G974" s="3"/>
      <c r="I974" s="490"/>
    </row>
    <row r="975" spans="1:9" ht="12.75" customHeight="1">
      <c r="A975" s="175"/>
      <c r="B975" s="485" t="s">
        <v>2689</v>
      </c>
      <c r="C975" s="354"/>
      <c r="D975" s="1297" t="s">
        <v>1796</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1774</v>
      </c>
      <c r="E977" s="1296"/>
      <c r="F977" s="1296"/>
      <c r="G977"/>
      <c r="I977" s="490"/>
    </row>
    <row r="978" spans="1:9" ht="12.75" customHeight="1">
      <c r="A978" s="175"/>
      <c r="B978" s="485" t="s">
        <v>2761</v>
      </c>
      <c r="C978" s="354"/>
      <c r="D978" s="1269" t="s">
        <v>2031</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1775</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1797</v>
      </c>
      <c r="E996" s="1296"/>
      <c r="F996" s="1296"/>
      <c r="G996" s="3"/>
      <c r="I996" s="490"/>
    </row>
    <row r="997" spans="1:9" ht="12.75" customHeight="1">
      <c r="A997" s="172"/>
      <c r="B997" s="172"/>
      <c r="C997" s="172"/>
      <c r="D997" s="1297" t="s">
        <v>1776</v>
      </c>
      <c r="E997" s="1297"/>
      <c r="F997" s="1297"/>
      <c r="G997" s="3"/>
      <c r="I997" s="490"/>
    </row>
    <row r="998" spans="1:9" ht="12.75" customHeight="1">
      <c r="A998" s="172"/>
      <c r="B998" s="172"/>
      <c r="C998" s="172"/>
      <c r="D998" s="3"/>
      <c r="E998" s="3"/>
      <c r="F998" s="983"/>
      <c r="G998"/>
      <c r="I998" s="490"/>
    </row>
    <row r="999" spans="1:9" ht="12.75" customHeight="1">
      <c r="A999" s="354"/>
      <c r="B999" s="485" t="s">
        <v>2761</v>
      </c>
      <c r="C999" s="354"/>
      <c r="D999" s="1298" t="s">
        <v>1889</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2689</v>
      </c>
      <c r="C1007" s="174"/>
      <c r="D1007" s="1269" t="s">
        <v>1777</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2689</v>
      </c>
      <c r="C1012" s="174"/>
      <c r="D1012" s="1269" t="s">
        <v>2185</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2689</v>
      </c>
      <c r="C1015" s="354"/>
      <c r="D1015" s="1297" t="s">
        <v>1778</v>
      </c>
      <c r="E1015" s="1297"/>
      <c r="F1015" s="1297"/>
      <c r="G1015"/>
      <c r="I1015" s="490"/>
    </row>
    <row r="1016" spans="1:9" ht="12.75" customHeight="1">
      <c r="A1016" s="354"/>
      <c r="B1016" s="354"/>
      <c r="C1016" s="354"/>
      <c r="D1016" s="3"/>
      <c r="E1016" s="3"/>
      <c r="F1016" s="3"/>
      <c r="G1016"/>
      <c r="I1016" s="490"/>
    </row>
    <row r="1017" spans="1:9" ht="12.75" customHeight="1">
      <c r="A1017" s="175"/>
      <c r="B1017" s="485" t="s">
        <v>2689</v>
      </c>
      <c r="C1017" s="354"/>
      <c r="D1017" s="1297" t="s">
        <v>1779</v>
      </c>
      <c r="E1017" s="1297"/>
      <c r="F1017" s="1297"/>
      <c r="G1017"/>
      <c r="I1017" s="490"/>
    </row>
    <row r="1018" spans="1:9" ht="12.75" customHeight="1">
      <c r="A1018" s="354"/>
      <c r="B1018" s="354"/>
      <c r="C1018" s="354"/>
      <c r="D1018" s="118"/>
      <c r="E1018" s="3"/>
      <c r="F1018" s="3"/>
      <c r="G1018"/>
      <c r="I1018" s="490"/>
    </row>
    <row r="1019" spans="1:9" ht="12.75" customHeight="1">
      <c r="A1019" s="175"/>
      <c r="B1019" s="485" t="s">
        <v>2761</v>
      </c>
      <c r="C1019" s="354"/>
      <c r="D1019" s="1297" t="s">
        <v>1780</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2761</v>
      </c>
      <c r="C1021" s="354"/>
      <c r="D1021" s="1269" t="s">
        <v>1781</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2689</v>
      </c>
      <c r="C1024" s="995"/>
      <c r="D1024" s="1299" t="s">
        <v>1782</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2689</v>
      </c>
      <c r="C1027" s="995"/>
      <c r="D1027" s="1292" t="s">
        <v>1783</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2689</v>
      </c>
      <c r="C1029" s="354"/>
      <c r="D1029" s="1297" t="s">
        <v>1784</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2689</v>
      </c>
      <c r="C1031" s="354"/>
      <c r="D1031" s="1269" t="s">
        <v>1785</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1786</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1787</v>
      </c>
      <c r="E1036" s="1291"/>
      <c r="F1036" s="1291"/>
      <c r="G1036" s="3"/>
      <c r="I1036" s="490"/>
    </row>
    <row r="1037" spans="1:9" ht="12.75" customHeight="1">
      <c r="A1037" s="354"/>
      <c r="B1037" s="354"/>
      <c r="C1037" s="354"/>
      <c r="D1037" s="1292" t="s">
        <v>1788</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1802</v>
      </c>
      <c r="E1039" s="1291"/>
      <c r="F1039" s="1291"/>
      <c r="G1039" s="3"/>
      <c r="I1039" s="490"/>
    </row>
    <row r="1040" spans="1:9" ht="12.75" customHeight="1">
      <c r="A1040" s="354"/>
      <c r="B1040" s="485" t="s">
        <v>2761</v>
      </c>
      <c r="C1040" s="354"/>
      <c r="D1040" s="1292" t="s">
        <v>1271</v>
      </c>
      <c r="E1040" s="1292"/>
      <c r="F1040" s="1292"/>
      <c r="G1040" s="3"/>
      <c r="I1040" s="490"/>
    </row>
    <row r="1041" spans="1:9" ht="12.75" customHeight="1">
      <c r="A1041" s="354"/>
      <c r="B1041" s="175"/>
      <c r="C1041" s="354"/>
      <c r="D1041" s="1292" t="s">
        <v>1789</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1798</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1272</v>
      </c>
      <c r="E1045" s="1290"/>
      <c r="F1045" s="1290"/>
      <c r="G1045" s="3"/>
      <c r="I1045" s="490"/>
    </row>
    <row r="1046" spans="1:9" ht="12.75" hidden="1" customHeight="1">
      <c r="A1046" s="118"/>
      <c r="B1046" s="485" t="s">
        <v>307</v>
      </c>
      <c r="D1046" s="1289" t="s">
        <v>1271</v>
      </c>
      <c r="E1046" s="1289"/>
      <c r="F1046" s="1289"/>
      <c r="G1046" s="3"/>
      <c r="I1046" s="490"/>
    </row>
    <row r="1047" spans="1:9" ht="12.75" hidden="1" customHeight="1">
      <c r="A1047" s="118"/>
      <c r="B1047" s="402"/>
      <c r="D1047" s="1289" t="s">
        <v>1799</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1066</v>
      </c>
      <c r="E1049" s="1294"/>
      <c r="F1049" s="1294"/>
      <c r="G1049" s="3"/>
      <c r="I1049" s="490"/>
    </row>
    <row r="1050" spans="1:9" ht="12.75" customHeight="1">
      <c r="A1050" s="319"/>
      <c r="B1050" s="319"/>
      <c r="C1050" s="319"/>
      <c r="D1050" s="1288" t="s">
        <v>2202</v>
      </c>
      <c r="E1050" s="1288"/>
      <c r="F1050" s="1288"/>
      <c r="G1050" s="98"/>
      <c r="I1050" s="490"/>
    </row>
    <row r="1051" spans="1:9" ht="12.75" customHeight="1">
      <c r="A1051" s="175"/>
      <c r="B1051" s="485" t="s">
        <v>2689</v>
      </c>
      <c r="C1051" s="354"/>
      <c r="D1051" s="1288" t="s">
        <v>985</v>
      </c>
      <c r="E1051" s="1288"/>
      <c r="F1051" s="128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3" t="s">
        <v>2618</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2689</v>
      </c>
      <c r="C1059" s="402"/>
      <c r="D1059" s="1301" t="s">
        <v>1803</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2761</v>
      </c>
      <c r="C1067" s="402"/>
      <c r="D1067" s="402" t="s">
        <v>1801</v>
      </c>
      <c r="I1067" s="490"/>
    </row>
    <row r="1068" spans="1:9">
      <c r="A1068" s="402"/>
      <c r="B1068" s="402"/>
      <c r="C1068" s="402"/>
      <c r="I1068" s="490"/>
    </row>
    <row r="1069" spans="1:9">
      <c r="A1069" s="402"/>
      <c r="B1069" s="485" t="s">
        <v>2689</v>
      </c>
      <c r="C1069" s="402"/>
      <c r="D1069" s="1301" t="s">
        <v>1804</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1805</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2761</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2761</v>
      </c>
      <c r="C1081" s="402"/>
      <c r="D1081" s="1304" t="s">
        <v>2624</v>
      </c>
      <c r="E1081" s="1304"/>
      <c r="F1081" s="1304"/>
      <c r="I1081" s="490"/>
    </row>
    <row r="1082" spans="1:9">
      <c r="A1082" s="402"/>
      <c r="B1082" s="402"/>
      <c r="C1082" s="402"/>
      <c r="D1082" s="1304"/>
      <c r="E1082" s="1304"/>
      <c r="F1082" s="1304"/>
      <c r="I1082" s="490"/>
    </row>
    <row r="1083" spans="1:9">
      <c r="A1083" s="402"/>
      <c r="B1083" s="402"/>
      <c r="C1083" s="402"/>
      <c r="D1083" s="527" t="s">
        <v>2623</v>
      </c>
      <c r="I1083" s="490"/>
    </row>
    <row r="1084" spans="1:9">
      <c r="A1084" s="402"/>
      <c r="B1084" s="402"/>
      <c r="C1084" s="402"/>
      <c r="D1084" s="527"/>
      <c r="I1084" s="490"/>
    </row>
    <row r="1085" spans="1:9">
      <c r="A1085" s="402"/>
      <c r="B1085" s="485" t="s">
        <v>2689</v>
      </c>
      <c r="C1085" s="402"/>
      <c r="D1085" s="119" t="s">
        <v>2632</v>
      </c>
      <c r="I1085" s="490"/>
    </row>
    <row r="1086" spans="1:9">
      <c r="A1086" s="402"/>
      <c r="B1086" s="402"/>
      <c r="C1086" s="402"/>
      <c r="D1086" s="1269" t="s">
        <v>2634</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2689</v>
      </c>
      <c r="C1093" s="402"/>
      <c r="D1093" s="1300" t="s">
        <v>1807</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2635</v>
      </c>
      <c r="I1098" s="490"/>
    </row>
    <row r="1099" spans="1:9">
      <c r="A1099" s="402"/>
      <c r="B1099" s="402"/>
      <c r="C1099" s="402"/>
      <c r="I1099" s="490"/>
    </row>
    <row r="1100" spans="1:9">
      <c r="A1100" s="402"/>
      <c r="B1100" s="485" t="s">
        <v>2689</v>
      </c>
      <c r="C1100" s="402"/>
      <c r="D1100" s="1283" t="s">
        <v>2224</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1809</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2689</v>
      </c>
      <c r="C1107" s="402"/>
      <c r="D1107" s="1302" t="s">
        <v>1903</v>
      </c>
      <c r="E1107" s="1302"/>
      <c r="F1107" s="1302"/>
      <c r="I1107" s="490"/>
    </row>
    <row r="1108" spans="1:9">
      <c r="A1108" s="402"/>
      <c r="B1108" s="402"/>
      <c r="C1108" s="402"/>
      <c r="D1108" s="1302"/>
      <c r="E1108" s="1302"/>
      <c r="F1108" s="1302"/>
      <c r="I1108" s="490"/>
    </row>
    <row r="1109" spans="1:9">
      <c r="A1109" s="402"/>
      <c r="B1109" s="402"/>
      <c r="C1109" s="402"/>
      <c r="D1109" s="1303" t="s">
        <v>2639</v>
      </c>
      <c r="E1109" s="1269"/>
      <c r="F1109" s="1269"/>
      <c r="I1109" s="490"/>
    </row>
    <row r="1110" spans="1:9">
      <c r="A1110" s="402"/>
      <c r="B1110" s="402"/>
      <c r="C1110" s="402"/>
      <c r="D1110" s="527"/>
      <c r="I1110" s="490"/>
    </row>
    <row r="1111" spans="1:9">
      <c r="A1111" s="402"/>
      <c r="B1111" s="485" t="s">
        <v>2689</v>
      </c>
      <c r="C1111" s="402"/>
      <c r="D1111" s="1300" t="s">
        <v>2587</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2689</v>
      </c>
      <c r="C1115" s="402"/>
      <c r="D1115" s="1300" t="s">
        <v>2606</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ht="12.5">
      <c r="A1120" s="402"/>
      <c r="B1120" s="402"/>
      <c r="C1120" s="402"/>
      <c r="D1120" s="527"/>
      <c r="I1120" s="480"/>
    </row>
    <row r="1121" spans="1:9">
      <c r="A1121" s="402"/>
      <c r="B1121" s="485" t="s">
        <v>2761</v>
      </c>
      <c r="C1121" s="402"/>
      <c r="D1121" s="1300" t="s">
        <v>1810</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2761</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2689</v>
      </c>
      <c r="C1129" s="402"/>
      <c r="D1129" s="1269" t="s">
        <v>1863</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2689</v>
      </c>
      <c r="C1134" s="402"/>
      <c r="D1134" s="1274" t="s">
        <v>2616</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ht="12.5">
      <c r="A1141" s="402"/>
      <c r="B1141" s="485" t="s">
        <v>2689</v>
      </c>
      <c r="C1141" s="402"/>
      <c r="D1141" s="1301" t="s">
        <v>2588</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0 B36 B27 B33 B47 B41 B65 B52 B61 B56 B68 B72 B80 B100 B103 B96 B128 B131 B171 B177 B137 B182 B205 B213 B217 B250 B245 B256 B259 B267 B271 B278 B290 B293 B297 B305 B307 B313 B316 B318 B334 B344 B360 B362 B380 B387 B420 B423 B429 B355 B435 B467 B471 B474 B478 B481 B486 B488 B494 B501 B504 B509 B516 B536 B1069 B527 B549 B551 B554 B557 B603 B560 B567 B570 B574 B589 B579 B591 B595 B600 B564 B621 B623 B626 B629 B638 B645 B648 B651 B658 B663 B669 B674 B690 B695 B703 B707 B714 B1093 B730 B734 B738 B743 B763 B782 B749 B775 B779 B233 B530 B151 B92 B89 B201 B119 B197 B209 B228 B770 B791 B795 B799 B803 B820 B813 B839 B842 B853 B827 B857 B866 B880 B899 B870 B886 B895 B913 B937 B949 B964 B908 B918 B927 B930 B935 B957 B969 B978 B999 B975 B1007 B1012 B1015 B1019 B1021 B1017 B1024 B1027 B1029 B883 B1046 B1051 B1040 B1031 B1067 B1059 B1078 B1115 B1085 B1081 B1121 B1134 B1125 B1111 B1100 B375 B939 B511 B514 B717 B699 B611 B632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B722" workbookViewId="0">
      <selection activeCell="G738" activeCellId="4" sqref="G727:J728 G731:J731 G732:J732 G737:J737 G738:J738"/>
    </sheetView>
  </sheetViews>
  <sheetFormatPr defaultColWidth="0" defaultRowHeight="0" customHeight="1" zeroHeight="1"/>
  <cols>
    <col min="1" max="45" width="2.54296875" customWidth="1"/>
    <col min="46" max="46" width="12.453125" customWidth="1"/>
    <col min="47" max="16384" width="12.453125" hidden="1"/>
  </cols>
  <sheetData>
    <row r="1" spans="1:58" ht="13" customHeight="1">
      <c r="J1" s="100"/>
      <c r="AS1" s="1026">
        <v>4</v>
      </c>
      <c r="BD1" s="3" t="s">
        <v>2429</v>
      </c>
      <c r="BE1" s="3"/>
      <c r="BF1" s="3"/>
    </row>
    <row r="2" spans="1:58" ht="13" customHeight="1">
      <c r="BD2" s="3" t="s">
        <v>2430</v>
      </c>
      <c r="BE2" s="3" t="s">
        <v>2431</v>
      </c>
      <c r="BF2" s="3" t="s">
        <v>2432</v>
      </c>
    </row>
    <row r="3" spans="1:58" ht="13" customHeight="1">
      <c r="BD3" s="3" t="s">
        <v>2524</v>
      </c>
      <c r="BE3" t="str">
        <f>AC220</f>
        <v>Bay Area ((Alameda, Contra Costa, Marin, San Francisco, San Mateo, Santa Clara, and Santa Cruz Counties)</v>
      </c>
    </row>
    <row r="4" spans="1:58" ht="13" customHeight="1">
      <c r="BD4" s="3" t="s">
        <v>2439</v>
      </c>
      <c r="BE4" s="1180"/>
    </row>
    <row r="5" spans="1:58" ht="13" customHeight="1">
      <c r="BD5" s="3" t="s">
        <v>2440</v>
      </c>
      <c r="BE5">
        <f>SUMIF($AC$726:$AC$760,"&lt;=20%",$G$726:G$760)</f>
        <v>0</v>
      </c>
      <c r="BF5" s="3" t="s">
        <v>2445</v>
      </c>
    </row>
    <row r="6" spans="1:58" ht="13" customHeight="1">
      <c r="BD6" s="3" t="s">
        <v>2441</v>
      </c>
      <c r="BE6" s="1183">
        <f>SUMIF($AC$726:$AC$760,"&lt;=25%",$G$726:G$760)-SUM($BE$5:BE5)</f>
        <v>0</v>
      </c>
    </row>
    <row r="7" spans="1:58" ht="13" customHeight="1">
      <c r="BD7" s="1181" t="s">
        <v>2433</v>
      </c>
      <c r="BE7" s="1183">
        <f>SUMIF($AC$726:$AC$760,"&lt;=30%",$G$726:G$760)-SUM($BE$5:BE6)</f>
        <v>30</v>
      </c>
    </row>
    <row r="8" spans="1:58" ht="26.25" customHeight="1">
      <c r="A8" s="1468" t="s">
        <v>100</v>
      </c>
      <c r="B8" s="1468"/>
      <c r="C8" s="1468"/>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c r="AT8" s="1468"/>
      <c r="AU8" s="894"/>
      <c r="AV8" s="894"/>
      <c r="AW8" s="894"/>
      <c r="AX8" s="894"/>
      <c r="AY8" s="894"/>
      <c r="BD8" s="3" t="s">
        <v>2442</v>
      </c>
      <c r="BE8" s="1183">
        <f>SUMIF($AC$726:$AC$760,"&lt;=35%",$G$726:G$760)-SUM($BE$5:BE7)</f>
        <v>0</v>
      </c>
    </row>
    <row r="9" spans="1:58" ht="13" customHeight="1">
      <c r="A9" s="1344" t="s">
        <v>2034</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2434</v>
      </c>
      <c r="BE9" s="1183">
        <f>SUMIF($AC$726:$AC$760,"&lt;=40%",$G$726:G$760)-SUM($BE$5:BE8)</f>
        <v>13</v>
      </c>
    </row>
    <row r="10" spans="1:58" ht="13" customHeight="1">
      <c r="A10" s="1344" t="s">
        <v>2608</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2443</v>
      </c>
      <c r="BE10" s="1183">
        <f>SUMIF($AC$726:$AC$760,"&lt;=45%",$G$726:G$760)-SUM($BE$5:BE9)</f>
        <v>0</v>
      </c>
    </row>
    <row r="11" spans="1:58" ht="13" customHeight="1">
      <c r="A11" s="1344" t="s">
        <v>2532</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2435</v>
      </c>
      <c r="BE11" s="1183">
        <f>SUMIF($AC$726:$AC$760,"&lt;=50%",$G$726:G$760)-SUM($BE$5:BE10)</f>
        <v>17</v>
      </c>
    </row>
    <row r="12" spans="1:58" ht="13" customHeight="1">
      <c r="A12" s="1469" t="s">
        <v>2643</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c r="AT12" s="1469"/>
      <c r="AU12" s="6"/>
      <c r="AV12" s="6"/>
      <c r="AW12" s="6"/>
      <c r="AX12" s="6"/>
      <c r="AY12" s="6"/>
      <c r="BD12" s="3" t="s">
        <v>2444</v>
      </c>
      <c r="BE12" s="1183">
        <f>SUMIF($AC$726:$AC$760,"&lt;=55%",$G$726:G$760)-SUM($BE$5:BE11)</f>
        <v>0</v>
      </c>
    </row>
    <row r="13" spans="1:58" ht="13" customHeight="1">
      <c r="A13" s="1267" t="s">
        <v>2035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2436</v>
      </c>
      <c r="BE13" s="1183">
        <f>SUMIF($AC$726:$AC$760,"&lt;=60%",$G$726:G$760)-SUM($BE$5:BE12)</f>
        <v>11</v>
      </c>
    </row>
    <row r="14" spans="1:58" ht="13"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2437</v>
      </c>
      <c r="BE14" s="1183">
        <f>SUMIF($AC$726:$AC$760,"&lt;=70%",$G$726:G$760)-SUM($BE$5:BE13)</f>
        <v>12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12</v>
      </c>
    </row>
    <row r="16" spans="1:58" ht="13" customHeight="1">
      <c r="A16" s="57" t="s">
        <v>2036</v>
      </c>
      <c r="C16" s="4"/>
      <c r="D16" s="4"/>
      <c r="E16" s="4"/>
      <c r="F16" s="4"/>
      <c r="G16" s="4"/>
      <c r="H16" s="1429" t="s">
        <v>2644</v>
      </c>
      <c r="I16" s="1430"/>
      <c r="J16" s="1430"/>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30"/>
      <c r="AG16" s="1430"/>
      <c r="AH16" s="1430"/>
      <c r="AI16" s="1430"/>
      <c r="AJ16" s="1430"/>
      <c r="BD16" s="1182" t="s">
        <v>656</v>
      </c>
      <c r="BE16" s="1183" t="str">
        <f>Application!H18</f>
        <v>CSH San Pablo Housing</v>
      </c>
    </row>
    <row r="17" spans="1:58" ht="13" customHeight="1">
      <c r="BD17" s="1181" t="s">
        <v>2450</v>
      </c>
      <c r="BE17" s="1183">
        <f>Application!AA943</f>
        <v>0</v>
      </c>
    </row>
    <row r="18" spans="1:58" ht="13" customHeight="1">
      <c r="A18" s="57" t="s">
        <v>101</v>
      </c>
      <c r="C18" s="4"/>
      <c r="D18" s="4"/>
      <c r="E18" s="4"/>
      <c r="F18" s="4"/>
      <c r="G18" s="4"/>
      <c r="H18" s="1426" t="s">
        <v>2645</v>
      </c>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BD18" s="1182" t="s">
        <v>2451</v>
      </c>
      <c r="BE18" s="1183">
        <f>AA943</f>
        <v>0</v>
      </c>
    </row>
    <row r="19" spans="1:58" ht="13" customHeight="1">
      <c r="BD19" s="1181" t="s">
        <v>2452</v>
      </c>
      <c r="BE19" s="1183">
        <f>Application!M26</f>
        <v>4209279</v>
      </c>
    </row>
    <row r="20" spans="1:58" ht="13" customHeight="1">
      <c r="A20" s="1470" t="s">
        <v>873</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70"/>
      <c r="AQ20" s="1470"/>
      <c r="AR20" s="1470"/>
      <c r="AS20" s="1470"/>
      <c r="AT20" s="1470"/>
      <c r="AU20" s="896"/>
      <c r="AV20" s="896"/>
      <c r="AW20" s="896"/>
      <c r="AX20" s="896"/>
      <c r="AY20" s="896"/>
      <c r="BD20" s="1182" t="s">
        <v>2453</v>
      </c>
      <c r="BE20" s="1183">
        <f>Application!M27</f>
        <v>4422222</v>
      </c>
    </row>
    <row r="21" spans="1:58" ht="13" customHeight="1">
      <c r="A21" s="1401" t="s">
        <v>1009</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897"/>
      <c r="AN21" s="897"/>
      <c r="AO21" s="897"/>
      <c r="AP21" s="897"/>
      <c r="AQ21" s="897"/>
      <c r="AR21" s="897"/>
      <c r="AS21" s="897"/>
      <c r="AT21" s="897"/>
      <c r="AU21" s="897"/>
      <c r="AV21" s="897"/>
      <c r="AW21" s="897"/>
      <c r="AX21" s="897"/>
      <c r="AY21" s="897"/>
      <c r="BD21" s="1181" t="s">
        <v>2454</v>
      </c>
      <c r="BE21" s="1183">
        <f>Application!AM562</f>
        <v>23767000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86941310</v>
      </c>
      <c r="BF22" s="3" t="s">
        <v>2525</v>
      </c>
    </row>
    <row r="23" spans="1:58" ht="13" customHeight="1">
      <c r="A23" s="1302" t="s">
        <v>2102</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2455</v>
      </c>
      <c r="BE23" s="1183">
        <f>'Sources and Uses Budget'!B4</f>
        <v>5500000</v>
      </c>
    </row>
    <row r="24" spans="1:58" ht="13"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2456</v>
      </c>
      <c r="BE24" s="1183">
        <f>Application!AG459</f>
        <v>63306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3" customHeight="1">
      <c r="A26" s="4"/>
      <c r="C26" s="4"/>
      <c r="D26" s="4"/>
      <c r="E26" s="4"/>
      <c r="F26" s="4"/>
      <c r="G26" s="4"/>
      <c r="H26" s="4"/>
      <c r="I26" s="4"/>
      <c r="J26" s="4"/>
      <c r="K26" s="4"/>
      <c r="L26" s="4"/>
      <c r="M26" s="1428">
        <f>'Basis &amp; Credits'!AB56</f>
        <v>4209279</v>
      </c>
      <c r="N26" s="1428"/>
      <c r="O26" s="1428"/>
      <c r="P26" s="1428"/>
      <c r="Q26" s="1428"/>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2">
        <f>'Basis &amp; Credits'!AB78</f>
        <v>4422222</v>
      </c>
      <c r="N27" s="1402"/>
      <c r="O27" s="1402"/>
      <c r="P27" s="1402"/>
      <c r="Q27" s="1402"/>
      <c r="R27" s="3" t="s">
        <v>1267</v>
      </c>
      <c r="S27" s="4"/>
      <c r="T27" s="4"/>
      <c r="U27" s="4"/>
      <c r="V27" s="4"/>
      <c r="W27" s="4"/>
      <c r="X27" s="4"/>
      <c r="Y27" s="4"/>
      <c r="Z27" s="4"/>
      <c r="AF27" s="4"/>
      <c r="AG27" s="4"/>
      <c r="AH27" s="4"/>
      <c r="AI27" s="4"/>
      <c r="AJ27" s="4"/>
      <c r="AK27" s="4"/>
      <c r="BD27" s="1181" t="s">
        <v>2055</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3" customHeight="1">
      <c r="A29" s="1466" t="s">
        <v>2103</v>
      </c>
      <c r="B29" s="1466"/>
      <c r="C29" s="1466"/>
      <c r="D29" s="1466"/>
      <c r="E29" s="1466"/>
      <c r="F29" s="1466"/>
      <c r="G29" s="1466"/>
      <c r="H29" s="1466"/>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1466"/>
      <c r="AQ29" s="1466"/>
      <c r="AR29" s="1466"/>
      <c r="AS29" s="1466"/>
      <c r="AT29" s="1466"/>
      <c r="BD29" s="1181" t="s">
        <v>2459</v>
      </c>
      <c r="BE29" s="1183" t="b">
        <f>Application!M367="Yes"</f>
        <v>0</v>
      </c>
    </row>
    <row r="30" spans="1:58" ht="13" customHeight="1">
      <c r="A30" s="1466"/>
      <c r="B30" s="1466"/>
      <c r="C30" s="1466"/>
      <c r="D30" s="1466"/>
      <c r="E30" s="1466"/>
      <c r="F30" s="1466"/>
      <c r="G30" s="1466"/>
      <c r="H30" s="1466"/>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1466"/>
      <c r="AQ30" s="1466"/>
      <c r="AR30" s="1466"/>
      <c r="AS30" s="1466"/>
      <c r="AT30" s="1466"/>
      <c r="AZ30" s="20"/>
      <c r="BD30" s="1182" t="s">
        <v>28</v>
      </c>
      <c r="BE30" s="1183" t="b">
        <f>Application!AJ364="Yes"</f>
        <v>1</v>
      </c>
    </row>
    <row r="31" spans="1:58" ht="13" customHeight="1">
      <c r="A31" s="1466"/>
      <c r="B31" s="1466"/>
      <c r="C31" s="1466"/>
      <c r="D31" s="1466"/>
      <c r="E31" s="1466"/>
      <c r="F31" s="1466"/>
      <c r="G31" s="1466"/>
      <c r="H31" s="1466"/>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1466"/>
      <c r="AQ31" s="1466"/>
      <c r="AR31" s="1466"/>
      <c r="AS31" s="1466"/>
      <c r="AT31" s="1466"/>
      <c r="AU31" s="20"/>
      <c r="AV31" s="20"/>
      <c r="AW31" s="20"/>
      <c r="AX31" s="20"/>
      <c r="AY31" s="20"/>
      <c r="AZ31" s="20"/>
      <c r="BD31" s="1181" t="s">
        <v>2460</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40" t="s">
        <v>669</v>
      </c>
      <c r="P33" s="1340"/>
      <c r="Q33" s="1471" t="s">
        <v>2104</v>
      </c>
      <c r="R33" s="1471"/>
      <c r="S33" s="1471"/>
      <c r="T33" s="1471"/>
      <c r="U33" s="1471"/>
      <c r="V33" s="1471"/>
      <c r="W33" s="1471"/>
      <c r="X33" s="1471"/>
      <c r="Y33" s="1471"/>
      <c r="Z33" s="1471"/>
      <c r="AA33" s="1471"/>
      <c r="AB33" s="1471"/>
      <c r="AC33" s="1471"/>
      <c r="AD33" s="1471"/>
      <c r="AE33" s="1471"/>
      <c r="AF33" s="1471"/>
      <c r="AG33" s="1471"/>
      <c r="AH33" s="1471"/>
      <c r="AI33" s="1471"/>
      <c r="AJ33" s="1471"/>
      <c r="AK33" s="1471"/>
      <c r="AL33" s="1471"/>
      <c r="AM33" s="1471"/>
      <c r="AN33" s="1471"/>
      <c r="AO33" s="1471"/>
      <c r="AP33" s="1471"/>
      <c r="AQ33" s="1471"/>
      <c r="AR33" s="1471"/>
      <c r="AS33" s="1471"/>
      <c r="AT33" s="1471"/>
      <c r="AU33" s="20"/>
      <c r="AV33" s="20"/>
      <c r="AW33" s="20"/>
      <c r="AX33" s="20"/>
      <c r="AY33" s="20"/>
      <c r="BD33" s="1181" t="s">
        <v>2526</v>
      </c>
      <c r="BE33" s="1183" t="str">
        <f>Application!D220</f>
        <v>East Bay Region: Alameda and Contra Costa Counties</v>
      </c>
    </row>
    <row r="34" spans="1:57" ht="13" hidden="1" customHeight="1">
      <c r="A34" s="1466" t="s">
        <v>2105</v>
      </c>
      <c r="B34" s="1466"/>
      <c r="C34" s="1466"/>
      <c r="D34" s="1466"/>
      <c r="E34" s="1466"/>
      <c r="F34" s="1466"/>
      <c r="G34" s="1466"/>
      <c r="H34" s="1466"/>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1466"/>
      <c r="AQ34" s="1466"/>
      <c r="AR34" s="1466"/>
      <c r="AS34" s="1466"/>
      <c r="AT34" s="1466"/>
      <c r="AU34" s="20"/>
      <c r="AV34" s="20"/>
      <c r="AW34" s="20"/>
      <c r="AX34" s="20"/>
      <c r="AY34" s="20"/>
      <c r="AZ34" s="20"/>
      <c r="BD34" s="1182" t="s">
        <v>2462</v>
      </c>
      <c r="BE34" s="1183" t="str">
        <f>Application!I185</f>
        <v>2147 San Pablo Ave</v>
      </c>
    </row>
    <row r="35" spans="1:57" ht="13" hidden="1" customHeight="1">
      <c r="A35" s="1466"/>
      <c r="B35" s="1466"/>
      <c r="C35" s="1466"/>
      <c r="D35" s="1466"/>
      <c r="E35" s="1466"/>
      <c r="F35" s="1466"/>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1466"/>
      <c r="AQ35" s="1466"/>
      <c r="AR35" s="1466"/>
      <c r="AS35" s="1466"/>
      <c r="AT35" s="1466"/>
      <c r="AU35" s="20"/>
      <c r="AV35" s="20"/>
      <c r="AW35" s="20"/>
      <c r="AX35" s="20"/>
      <c r="AY35" s="20"/>
      <c r="AZ35" s="20"/>
      <c r="BD35" s="1181" t="s">
        <v>2463</v>
      </c>
      <c r="BE35" s="1183" t="str">
        <f>IF(Application!E187="","",Application!E187)</f>
        <v/>
      </c>
    </row>
    <row r="36" spans="1:57" ht="13" hidden="1" customHeight="1">
      <c r="A36" s="1466"/>
      <c r="B36" s="1466"/>
      <c r="C36" s="1466"/>
      <c r="D36" s="1466"/>
      <c r="E36" s="1466"/>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1466"/>
      <c r="AQ36" s="1466"/>
      <c r="AR36" s="1466"/>
      <c r="AS36" s="1466"/>
      <c r="AT36" s="1466"/>
      <c r="AU36" s="20"/>
      <c r="AV36" s="20"/>
      <c r="AW36" s="20"/>
      <c r="AX36" s="20"/>
      <c r="AY36" s="20"/>
      <c r="AZ36" s="20"/>
      <c r="BD36" s="1182" t="s">
        <v>2464</v>
      </c>
      <c r="BE36" s="1183" t="str">
        <f>Application!I189</f>
        <v>Berkeley</v>
      </c>
    </row>
    <row r="37" spans="1:57" ht="13" hidden="1" customHeight="1">
      <c r="A37" s="1466"/>
      <c r="B37" s="1466"/>
      <c r="C37" s="1466"/>
      <c r="D37" s="1466"/>
      <c r="E37" s="1466"/>
      <c r="F37" s="1466"/>
      <c r="G37" s="1466"/>
      <c r="H37" s="1466"/>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1466"/>
      <c r="AQ37" s="1466"/>
      <c r="AR37" s="1466"/>
      <c r="AS37" s="1466"/>
      <c r="AT37" s="1466"/>
      <c r="AZ37" s="20"/>
      <c r="BD37" s="1181" t="s">
        <v>2465</v>
      </c>
      <c r="BE37" s="1183" t="str">
        <f>Application!T189</f>
        <v>Alameda</v>
      </c>
    </row>
    <row r="38" spans="1:57" ht="13" hidden="1" customHeight="1">
      <c r="A38" s="3"/>
      <c r="AZ38" s="20"/>
      <c r="BD38" s="1182" t="s">
        <v>2466</v>
      </c>
      <c r="BE38" s="1183">
        <f>Application!I190</f>
        <v>94702</v>
      </c>
    </row>
    <row r="39" spans="1:57" ht="13" customHeight="1">
      <c r="A39" s="1269" t="s">
        <v>2106</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2467</v>
      </c>
      <c r="BE39" s="1183">
        <f>Application!AG446</f>
        <v>96</v>
      </c>
    </row>
    <row r="40" spans="1:57" ht="13"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95</v>
      </c>
    </row>
    <row r="41" spans="1:57" ht="13"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3"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2468</v>
      </c>
      <c r="BE42" s="1185">
        <f>Application!AC761</f>
        <v>0.49789473684210528</v>
      </c>
    </row>
    <row r="43" spans="1:57" ht="13"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2469</v>
      </c>
      <c r="BE43" s="1185">
        <f>Application!AH761</f>
        <v>0.49800595445886076</v>
      </c>
    </row>
    <row r="44" spans="1:57" ht="13"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2470</v>
      </c>
      <c r="BE44" s="1183">
        <f>Application!AC463</f>
        <v>905638.64583333337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3" customHeight="1">
      <c r="A46" s="1302" t="s">
        <v>2107</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2472</v>
      </c>
      <c r="BE46" s="1183" t="b">
        <f>Application!T195="Yes"</f>
        <v>0</v>
      </c>
    </row>
    <row r="47" spans="1:57" ht="13"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2473</v>
      </c>
      <c r="BE47" s="1183" t="b">
        <f>Application!T196="Yes"</f>
        <v>1</v>
      </c>
    </row>
    <row r="48" spans="1:57" ht="13"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2474</v>
      </c>
      <c r="BE48" s="1183" t="str">
        <f>Application!M252</f>
        <v>Elan Apartments LLC</v>
      </c>
    </row>
    <row r="49" spans="1:57" ht="13"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2475</v>
      </c>
      <c r="BE49" s="1183" t="str">
        <f>Application!M255</f>
        <v>Punit Bhargava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None</v>
      </c>
    </row>
    <row r="51" spans="1:57" ht="13" customHeight="1">
      <c r="A51" s="1269" t="s">
        <v>2108</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2477</v>
      </c>
      <c r="BE51" s="1183" t="str">
        <f>Application!M260</f>
        <v>California Supportive Housing</v>
      </c>
    </row>
    <row r="52" spans="1:57" ht="13"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2478</v>
      </c>
      <c r="BE52" s="1183" t="str">
        <f>Application!M263</f>
        <v>Punit Bhargava</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None</v>
      </c>
    </row>
    <row r="54" spans="1:57" ht="13" customHeight="1">
      <c r="A54" s="1269" t="s">
        <v>2109</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2480</v>
      </c>
      <c r="BE54" s="1183" t="str">
        <f>Application!M268</f>
        <v>Community Resident Services, Inc.</v>
      </c>
    </row>
    <row r="55" spans="1:57" ht="13"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2481</v>
      </c>
      <c r="BE55" s="1183" t="str">
        <f>Application!M271</f>
        <v>Erin Myers</v>
      </c>
    </row>
    <row r="56" spans="1:57" ht="13"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2482</v>
      </c>
      <c r="BE56" s="1183" t="str">
        <f>Application!AA274</f>
        <v>None</v>
      </c>
    </row>
    <row r="57" spans="1:57" ht="13"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2483</v>
      </c>
      <c r="BE57" s="1183" t="str">
        <f>Application!H296</f>
        <v>California Supportive Housing</v>
      </c>
    </row>
    <row r="58" spans="1:57" ht="13"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2484</v>
      </c>
      <c r="BE58" s="1183" t="str">
        <f>Application!H297</f>
        <v>1015 Saint Joseph Ave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Altos, CA 94024</v>
      </c>
    </row>
    <row r="60" spans="1:57" ht="13" customHeight="1">
      <c r="A60" s="1269" t="s">
        <v>2110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2486</v>
      </c>
      <c r="BE60" s="1183" t="str">
        <f>Application!H299</f>
        <v>Punit Bhargava</v>
      </c>
    </row>
    <row r="61" spans="1:57" ht="13"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2487</v>
      </c>
      <c r="BE61" s="1183" t="str">
        <f>Application!H302</f>
        <v>sanpablo.housing@cshousing.org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0.9</v>
      </c>
    </row>
    <row r="63" spans="1:57" ht="13"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3" customHeight="1">
      <c r="A65" s="1465" t="s">
        <v>2112</v>
      </c>
      <c r="B65" s="1465"/>
      <c r="C65" s="1465"/>
      <c r="D65" s="1465"/>
      <c r="E65" s="1465"/>
      <c r="F65" s="1465"/>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c r="AL65" s="1465"/>
      <c r="AM65" s="1465"/>
      <c r="AN65" s="1465"/>
      <c r="AO65" s="1465"/>
      <c r="AP65" s="1465"/>
      <c r="AQ65" s="1465"/>
      <c r="AR65" s="1465"/>
      <c r="AS65" s="1465"/>
      <c r="AT65" s="1465"/>
      <c r="AU65" s="21"/>
      <c r="AV65" s="21"/>
      <c r="AW65" s="21"/>
      <c r="AX65" s="21"/>
      <c r="AY65" s="21"/>
      <c r="AZ65" s="20"/>
      <c r="BD65" s="1181" t="s">
        <v>2523</v>
      </c>
      <c r="BE65" s="1183" t="str">
        <f>Z205</f>
        <v>$500M</v>
      </c>
    </row>
    <row r="66" spans="1:57" ht="13" customHeight="1">
      <c r="A66" s="1465"/>
      <c r="B66" s="1465"/>
      <c r="C66" s="1465"/>
      <c r="D66" s="1465"/>
      <c r="E66" s="1465"/>
      <c r="F66" s="1465"/>
      <c r="G66" s="1465"/>
      <c r="H66" s="1465"/>
      <c r="I66" s="1465"/>
      <c r="J66" s="1465"/>
      <c r="K66" s="1465"/>
      <c r="L66" s="1465"/>
      <c r="M66" s="1465"/>
      <c r="N66" s="1465"/>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c r="AL66" s="1465"/>
      <c r="AM66" s="1465"/>
      <c r="AN66" s="1465"/>
      <c r="AO66" s="1465"/>
      <c r="AP66" s="1465"/>
      <c r="AQ66" s="1465"/>
      <c r="AR66" s="1465"/>
      <c r="AS66" s="1465"/>
      <c r="AT66" s="1465"/>
      <c r="AU66" s="21"/>
      <c r="AV66" s="21"/>
      <c r="AW66" s="21"/>
      <c r="AX66" s="21"/>
      <c r="AY66" s="21"/>
      <c r="AZ66" s="20"/>
      <c r="BD66" s="1182" t="s">
        <v>2490</v>
      </c>
      <c r="BE66" s="1183" t="b">
        <f>Application!Z205="State Farmworker Credit"</f>
        <v>0</v>
      </c>
    </row>
    <row r="67" spans="1:57" ht="13" customHeight="1">
      <c r="A67" s="1465"/>
      <c r="B67" s="1465"/>
      <c r="C67" s="1465"/>
      <c r="D67" s="1465"/>
      <c r="E67" s="1465"/>
      <c r="F67" s="1465"/>
      <c r="G67" s="1465"/>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c r="AL67" s="1465"/>
      <c r="AM67" s="1465"/>
      <c r="AN67" s="1465"/>
      <c r="AO67" s="1465"/>
      <c r="AP67" s="1465"/>
      <c r="AQ67" s="1465"/>
      <c r="AR67" s="1465"/>
      <c r="AS67" s="1465"/>
      <c r="AT67" s="1465"/>
      <c r="AZ67" s="20"/>
      <c r="BD67" s="1181" t="s">
        <v>2491</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3" customHeight="1">
      <c r="A69" s="1465" t="s">
        <v>2113</v>
      </c>
      <c r="B69" s="1465"/>
      <c r="C69" s="1465"/>
      <c r="D69" s="1465"/>
      <c r="E69" s="1465"/>
      <c r="F69" s="1465"/>
      <c r="G69" s="1465"/>
      <c r="H69" s="1465"/>
      <c r="I69" s="1465"/>
      <c r="J69" s="1465"/>
      <c r="K69" s="1465"/>
      <c r="L69" s="1465"/>
      <c r="M69" s="1465"/>
      <c r="N69" s="1465"/>
      <c r="O69" s="1465"/>
      <c r="P69" s="1465"/>
      <c r="Q69" s="1465"/>
      <c r="R69" s="1465"/>
      <c r="S69" s="1465"/>
      <c r="T69" s="1465"/>
      <c r="U69" s="1465"/>
      <c r="V69" s="1465"/>
      <c r="W69" s="1465"/>
      <c r="X69" s="1465"/>
      <c r="Y69" s="1465"/>
      <c r="Z69" s="1465"/>
      <c r="AA69" s="1465"/>
      <c r="AB69" s="1465"/>
      <c r="AC69" s="1465"/>
      <c r="AD69" s="1465"/>
      <c r="AE69" s="1465"/>
      <c r="AF69" s="1465"/>
      <c r="AG69" s="1465"/>
      <c r="AH69" s="1465"/>
      <c r="AI69" s="1465"/>
      <c r="AJ69" s="1465"/>
      <c r="AK69" s="1465"/>
      <c r="AL69" s="1465"/>
      <c r="AM69" s="1465"/>
      <c r="AN69" s="1465"/>
      <c r="AO69" s="1465"/>
      <c r="AP69" s="1465"/>
      <c r="AQ69" s="1465"/>
      <c r="AR69" s="1465"/>
      <c r="AS69" s="1465"/>
      <c r="AT69" s="1465"/>
      <c r="AZ69" s="20"/>
      <c r="BD69" s="1181" t="s">
        <v>2493</v>
      </c>
      <c r="BE69" s="1183" t="str">
        <f>Application!W708</f>
        <v>California Muncipal Financial Authority</v>
      </c>
    </row>
    <row r="70" spans="1:57" ht="13" customHeight="1">
      <c r="A70" s="1465"/>
      <c r="B70" s="1465"/>
      <c r="C70" s="1465"/>
      <c r="D70" s="1465"/>
      <c r="E70" s="1465"/>
      <c r="F70" s="1465"/>
      <c r="G70" s="1465"/>
      <c r="H70" s="1465"/>
      <c r="I70" s="1465"/>
      <c r="J70" s="1465"/>
      <c r="K70" s="1465"/>
      <c r="L70" s="1465"/>
      <c r="M70" s="1465"/>
      <c r="N70" s="1465"/>
      <c r="O70" s="1465"/>
      <c r="P70" s="1465"/>
      <c r="Q70" s="1465"/>
      <c r="R70" s="1465"/>
      <c r="S70" s="1465"/>
      <c r="T70" s="1465"/>
      <c r="U70" s="1465"/>
      <c r="V70" s="1465"/>
      <c r="W70" s="1465"/>
      <c r="X70" s="1465"/>
      <c r="Y70" s="1465"/>
      <c r="Z70" s="1465"/>
      <c r="AA70" s="1465"/>
      <c r="AB70" s="1465"/>
      <c r="AC70" s="1465"/>
      <c r="AD70" s="1465"/>
      <c r="AE70" s="1465"/>
      <c r="AF70" s="1465"/>
      <c r="AG70" s="1465"/>
      <c r="AH70" s="1465"/>
      <c r="AI70" s="1465"/>
      <c r="AJ70" s="1465"/>
      <c r="AK70" s="1465"/>
      <c r="AL70" s="1465"/>
      <c r="AM70" s="1465"/>
      <c r="AN70" s="1465"/>
      <c r="AO70" s="1465"/>
      <c r="AP70" s="1465"/>
      <c r="AQ70" s="1465"/>
      <c r="AR70" s="1465"/>
      <c r="AS70" s="1465"/>
      <c r="AT70" s="1465"/>
      <c r="AU70" s="20"/>
      <c r="AV70" s="20"/>
      <c r="AW70" s="20"/>
      <c r="AX70" s="20"/>
      <c r="AY70" s="20"/>
      <c r="AZ70" s="20"/>
      <c r="BD70" s="1182" t="s">
        <v>2494</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3" customHeight="1">
      <c r="A72" s="1466" t="s">
        <v>2114</v>
      </c>
      <c r="B72" s="1466"/>
      <c r="C72" s="1466"/>
      <c r="D72" s="1466"/>
      <c r="E72" s="1466"/>
      <c r="F72" s="1466"/>
      <c r="G72" s="1466"/>
      <c r="H72" s="1466"/>
      <c r="I72" s="1466"/>
      <c r="J72" s="1466"/>
      <c r="K72" s="1466"/>
      <c r="L72" s="1466"/>
      <c r="M72" s="1466"/>
      <c r="N72" s="1466"/>
      <c r="O72" s="1466"/>
      <c r="P72" s="1466"/>
      <c r="Q72" s="1466"/>
      <c r="R72" s="1466"/>
      <c r="S72" s="1466"/>
      <c r="T72" s="1466"/>
      <c r="U72" s="1466"/>
      <c r="V72" s="1466"/>
      <c r="W72" s="1466"/>
      <c r="X72" s="1466"/>
      <c r="Y72" s="1466"/>
      <c r="Z72" s="1466"/>
      <c r="AA72" s="1466"/>
      <c r="AB72" s="1466"/>
      <c r="AC72" s="1466"/>
      <c r="AD72" s="1466"/>
      <c r="AE72" s="1466"/>
      <c r="AF72" s="1466"/>
      <c r="AG72" s="1466"/>
      <c r="AH72" s="1466"/>
      <c r="AI72" s="1466"/>
      <c r="AJ72" s="1466"/>
      <c r="AK72" s="1466"/>
      <c r="AL72" s="1466"/>
      <c r="AM72" s="1466"/>
      <c r="AN72" s="1466"/>
      <c r="AO72" s="1466"/>
      <c r="AP72" s="1466"/>
      <c r="AQ72" s="1466"/>
      <c r="AR72" s="1466"/>
      <c r="AS72" s="1466"/>
      <c r="AT72" s="1466"/>
      <c r="AU72" s="20"/>
      <c r="AV72" s="20"/>
      <c r="AW72" s="20"/>
      <c r="AX72" s="20"/>
      <c r="AY72" s="20"/>
      <c r="AZ72" s="20"/>
      <c r="BD72" s="1182" t="s">
        <v>2495</v>
      </c>
      <c r="BE72" s="1183">
        <f>'Points System'!AF827</f>
        <v>10</v>
      </c>
    </row>
    <row r="73" spans="1:57" ht="13" customHeight="1">
      <c r="A73" s="1466"/>
      <c r="B73" s="1466"/>
      <c r="C73" s="1466"/>
      <c r="D73" s="1466"/>
      <c r="E73" s="1466"/>
      <c r="F73" s="1466"/>
      <c r="G73" s="1466"/>
      <c r="H73" s="1466"/>
      <c r="I73" s="1466"/>
      <c r="J73" s="1466"/>
      <c r="K73" s="1466"/>
      <c r="L73" s="1466"/>
      <c r="M73" s="1466"/>
      <c r="N73" s="1466"/>
      <c r="O73" s="1466"/>
      <c r="P73" s="1466"/>
      <c r="Q73" s="1466"/>
      <c r="R73" s="1466"/>
      <c r="S73" s="1466"/>
      <c r="T73" s="1466"/>
      <c r="U73" s="1466"/>
      <c r="V73" s="1466"/>
      <c r="W73" s="1466"/>
      <c r="X73" s="1466"/>
      <c r="Y73" s="1466"/>
      <c r="Z73" s="1466"/>
      <c r="AA73" s="1466"/>
      <c r="AB73" s="1466"/>
      <c r="AC73" s="1466"/>
      <c r="AD73" s="1466"/>
      <c r="AE73" s="1466"/>
      <c r="AF73" s="1466"/>
      <c r="AG73" s="1466"/>
      <c r="AH73" s="1466"/>
      <c r="AI73" s="1466"/>
      <c r="AJ73" s="1466"/>
      <c r="AK73" s="1466"/>
      <c r="AL73" s="1466"/>
      <c r="AM73" s="1466"/>
      <c r="AN73" s="1466"/>
      <c r="AO73" s="1466"/>
      <c r="AP73" s="1466"/>
      <c r="AQ73" s="1466"/>
      <c r="AR73" s="1466"/>
      <c r="AS73" s="1466"/>
      <c r="AT73" s="1466"/>
      <c r="AU73" s="20"/>
      <c r="AV73" s="20"/>
      <c r="AW73" s="20"/>
      <c r="AX73" s="20"/>
      <c r="AY73" s="20"/>
      <c r="AZ73" s="20"/>
      <c r="BD73" s="1181" t="s">
        <v>2496</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3" customHeight="1">
      <c r="A75" s="1798" t="s">
        <v>2115</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181" t="s">
        <v>2498</v>
      </c>
      <c r="BE75" s="1183">
        <f>'Points System'!AF830</f>
        <v>10</v>
      </c>
    </row>
    <row r="76" spans="1:57" ht="13"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182" t="s">
        <v>2499</v>
      </c>
      <c r="BE76" s="1183">
        <f>'Points System'!AF833</f>
        <v>10</v>
      </c>
    </row>
    <row r="77" spans="1:57" ht="13"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181" t="s">
        <v>2500</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3" customHeight="1">
      <c r="A79" s="1465" t="s">
        <v>2116</v>
      </c>
      <c r="B79" s="1465"/>
      <c r="C79" s="1465"/>
      <c r="D79" s="1465"/>
      <c r="E79" s="1465"/>
      <c r="F79" s="146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465"/>
      <c r="AM79" s="1465"/>
      <c r="AN79" s="1465"/>
      <c r="AO79" s="1465"/>
      <c r="AP79" s="1465"/>
      <c r="AQ79" s="1465"/>
      <c r="AR79" s="1465"/>
      <c r="AS79" s="1465"/>
      <c r="AT79" s="1465"/>
      <c r="AU79" s="20"/>
      <c r="AV79" s="20"/>
      <c r="AW79" s="20"/>
      <c r="AX79" s="20"/>
      <c r="AY79" s="20"/>
      <c r="AZ79" s="20"/>
      <c r="BD79" s="1181" t="s">
        <v>2620</v>
      </c>
      <c r="BE79" s="1183">
        <f>'Points System'!AF837</f>
        <v>10</v>
      </c>
    </row>
    <row r="80" spans="1:57" ht="13" customHeight="1">
      <c r="A80" s="1465"/>
      <c r="B80" s="1465"/>
      <c r="C80" s="1465"/>
      <c r="D80" s="1465"/>
      <c r="E80" s="1465"/>
      <c r="F80" s="1465"/>
      <c r="G80" s="1465"/>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c r="AL80" s="1465"/>
      <c r="AM80" s="1465"/>
      <c r="AN80" s="1465"/>
      <c r="AO80" s="1465"/>
      <c r="AP80" s="1465"/>
      <c r="AQ80" s="1465"/>
      <c r="AR80" s="1465"/>
      <c r="AS80" s="1465"/>
      <c r="AT80" s="1465"/>
      <c r="AU80" s="20"/>
      <c r="AV80" s="20"/>
      <c r="AW80" s="20"/>
      <c r="AX80" s="20"/>
      <c r="AY80" s="20"/>
      <c r="AZ80" s="20"/>
      <c r="BD80" s="1182" t="s">
        <v>2502</v>
      </c>
      <c r="BE80" s="1183">
        <f>'Points System'!AF839</f>
        <v>10</v>
      </c>
    </row>
    <row r="81" spans="1:57" ht="13" customHeight="1">
      <c r="A81" s="1465"/>
      <c r="B81" s="1465"/>
      <c r="C81" s="1465"/>
      <c r="D81" s="1465"/>
      <c r="E81" s="1465"/>
      <c r="F81" s="1465"/>
      <c r="G81" s="1465"/>
      <c r="H81" s="1465"/>
      <c r="I81" s="1465"/>
      <c r="J81" s="1465"/>
      <c r="K81" s="1465"/>
      <c r="L81" s="1465"/>
      <c r="M81" s="1465"/>
      <c r="N81" s="1465"/>
      <c r="O81" s="1465"/>
      <c r="P81" s="1465"/>
      <c r="Q81" s="1465"/>
      <c r="R81" s="1465"/>
      <c r="S81" s="1465"/>
      <c r="T81" s="1465"/>
      <c r="U81" s="1465"/>
      <c r="V81" s="1465"/>
      <c r="W81" s="1465"/>
      <c r="X81" s="1465"/>
      <c r="Y81" s="1465"/>
      <c r="Z81" s="1465"/>
      <c r="AA81" s="1465"/>
      <c r="AB81" s="1465"/>
      <c r="AC81" s="1465"/>
      <c r="AD81" s="1465"/>
      <c r="AE81" s="1465"/>
      <c r="AF81" s="1465"/>
      <c r="AG81" s="1465"/>
      <c r="AH81" s="1465"/>
      <c r="AI81" s="1465"/>
      <c r="AJ81" s="1465"/>
      <c r="AK81" s="1465"/>
      <c r="AL81" s="1465"/>
      <c r="AM81" s="1465"/>
      <c r="AN81" s="1465"/>
      <c r="AO81" s="1465"/>
      <c r="AP81" s="1465"/>
      <c r="AQ81" s="1465"/>
      <c r="AR81" s="1465"/>
      <c r="AS81" s="1465"/>
      <c r="AT81" s="1465"/>
      <c r="AU81" s="20"/>
      <c r="AV81" s="20"/>
      <c r="AW81" s="20"/>
      <c r="AX81" s="20"/>
      <c r="AY81" s="20"/>
      <c r="AZ81" s="20"/>
      <c r="BD81" s="1181" t="s">
        <v>2503</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3" customHeight="1">
      <c r="A83" s="1269" t="s">
        <v>2117</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2505</v>
      </c>
      <c r="BE83" s="1187">
        <f>'Tie Breaker'!H5</f>
        <v>1.4064266256386904</v>
      </c>
    </row>
    <row r="84" spans="1:57" ht="13"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2506</v>
      </c>
      <c r="BE84" s="1183" t="str">
        <f>Application!O153</f>
        <v>City of Berkeley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Paul Buddenhagen</v>
      </c>
    </row>
    <row r="86" spans="1:57" ht="13" customHeight="1">
      <c r="A86" s="1269" t="s">
        <v>2118</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2508</v>
      </c>
      <c r="BE86" s="1183" t="str">
        <f>Application!O155</f>
        <v>City Manager</v>
      </c>
    </row>
    <row r="87" spans="1:57" ht="13"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2509</v>
      </c>
      <c r="BE87" s="1183" t="str">
        <f>Application!O156</f>
        <v xml:space="preserve"> 2180 Milvia St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Berkeley</v>
      </c>
    </row>
    <row r="89" spans="1:57" ht="13" customHeight="1">
      <c r="A89" s="1797" t="s">
        <v>2119</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181" t="s">
        <v>2511</v>
      </c>
      <c r="BE89" s="1183">
        <f>Application!O158</f>
        <v>94704</v>
      </c>
    </row>
    <row r="90" spans="1:57" ht="13"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182" t="s">
        <v>2512</v>
      </c>
      <c r="BE90" s="1183" t="str">
        <f>Application!H16</f>
        <v>California Supportive Housing</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1015 Saint Joseph Ave</v>
      </c>
    </row>
    <row r="92" spans="1:57" ht="13" customHeight="1">
      <c r="A92" s="1798" t="s">
        <v>2120</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182" t="s">
        <v>2514</v>
      </c>
      <c r="BE92" s="1183" t="str">
        <f>Application!M243</f>
        <v>Los Altos</v>
      </c>
    </row>
    <row r="93" spans="1:57" ht="13"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181" t="s">
        <v>2515</v>
      </c>
      <c r="BE93" s="1183" t="str">
        <f>Application!W243</f>
        <v>CA</v>
      </c>
    </row>
    <row r="94" spans="1:57" ht="13"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182" t="s">
        <v>2516</v>
      </c>
      <c r="BE94" s="1183">
        <f>Application!AC243</f>
        <v>94024</v>
      </c>
    </row>
    <row r="95" spans="1:57" ht="13"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181" t="s">
        <v>2517</v>
      </c>
      <c r="BE95" s="1183" t="str">
        <f>Application!M244</f>
        <v>Punit Bhargava</v>
      </c>
    </row>
    <row r="96" spans="1:57" ht="13"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182" t="s">
        <v>2518</v>
      </c>
      <c r="BE96" s="1183" t="str">
        <f>Application!M246</f>
        <v>sanpablo.housing@cshousing.org</v>
      </c>
    </row>
    <row r="97" spans="1:57" ht="13"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181" t="s">
        <v>2519</v>
      </c>
      <c r="BE97" s="1183" t="str">
        <f>Application!M257</f>
        <v>sanpablo.housing@cshousing.org</v>
      </c>
    </row>
    <row r="98" spans="1:57" ht="13"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182" t="s">
        <v>2520</v>
      </c>
      <c r="BE98" s="1183" t="str">
        <f>Application!M265</f>
        <v>sanpablo.housing@cshousing.org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t="str">
        <f>Application!M273</f>
        <v xml:space="preserve">erin@communityresidentservices.com </v>
      </c>
    </row>
    <row r="100" spans="1:57" ht="13" customHeight="1">
      <c r="A100" s="1799" t="s">
        <v>2121</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182" t="s">
        <v>2522</v>
      </c>
      <c r="BE100" s="1183" t="str">
        <f>Application!L288</f>
        <v>sanpablo.housing@cshousing.org</v>
      </c>
    </row>
    <row r="101" spans="1:57" ht="13"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2527</v>
      </c>
      <c r="BE101">
        <f>'Sources and Uses Budget'!C105</f>
        <v>86941310</v>
      </c>
    </row>
    <row r="102" spans="1:57" ht="13"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2528</v>
      </c>
      <c r="BE102" t="b">
        <f>T197="Yes"</f>
        <v>0</v>
      </c>
    </row>
    <row r="103" spans="1:57" ht="13"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2131</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3" customHeight="1">
      <c r="A105" s="1799" t="s">
        <v>2122</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c r="BD105" s="3" t="s">
        <v>2544</v>
      </c>
      <c r="BE105" s="1183" t="b">
        <f>V224="Yes"</f>
        <v>1</v>
      </c>
    </row>
    <row r="106" spans="1:57" ht="13"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c r="BD106" s="3" t="s">
        <v>2545</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3"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800">
        <v>30</v>
      </c>
      <c r="H113" s="1800"/>
      <c r="I113" s="3" t="s">
        <v>182</v>
      </c>
      <c r="L113" s="1800" t="s">
        <v>2648</v>
      </c>
      <c r="M113" s="1800"/>
      <c r="N113" s="1800"/>
      <c r="O113" s="1800"/>
      <c r="P113" s="1806" t="s">
        <v>2612</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1" t="s">
        <v>2649</v>
      </c>
      <c r="D115" s="1811"/>
      <c r="E115" s="1811"/>
      <c r="F115" s="1811"/>
      <c r="G115" s="1811"/>
      <c r="H115" s="1811"/>
      <c r="I115" s="1811"/>
      <c r="J115" s="1811"/>
      <c r="K115" s="181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00"/>
      <c r="Z117" s="1800"/>
      <c r="AA117" s="1800"/>
      <c r="AB117" s="1800"/>
      <c r="AC117" s="1800"/>
      <c r="AD117" s="1800"/>
      <c r="AE117" s="1800"/>
      <c r="AF117" s="1800"/>
      <c r="AG117" s="1800"/>
      <c r="AH117" s="1800"/>
      <c r="AI117" s="1800"/>
      <c r="AJ117" s="1800"/>
      <c r="AK117" s="180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0" t="s">
        <v>2646</v>
      </c>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5" t="s">
        <v>469</v>
      </c>
      <c r="CV122" s="1696"/>
      <c r="CW122" s="14"/>
      <c r="CX122" s="14" t="s">
        <v>634</v>
      </c>
      <c r="CY122" s="14"/>
      <c r="CZ122" s="14"/>
      <c r="DA122" s="14"/>
      <c r="DB122" s="14"/>
      <c r="DC122" s="14"/>
      <c r="DD122" s="14"/>
      <c r="DE122" s="14"/>
      <c r="DF122" s="14"/>
      <c r="DG122" s="1692" t="str">
        <f>T189</f>
        <v>Alameda</v>
      </c>
      <c r="DH122" s="1693"/>
      <c r="DI122" s="1693"/>
      <c r="DJ122" s="1693"/>
      <c r="DK122" s="1693"/>
      <c r="DL122" s="1693"/>
      <c r="DM122" s="1694"/>
    </row>
    <row r="123" spans="1:117" ht="13" customHeight="1">
      <c r="A123" s="3"/>
      <c r="B123" s="3"/>
      <c r="T123" s="3"/>
      <c r="U123" s="3"/>
      <c r="V123" s="3"/>
      <c r="W123" s="3"/>
      <c r="X123" s="3"/>
      <c r="Y123" s="1800" t="s">
        <v>2647</v>
      </c>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3" customHeight="1">
      <c r="BM152">
        <v>4</v>
      </c>
      <c r="BN152" s="3" t="s">
        <v>2397</v>
      </c>
    </row>
    <row r="153" spans="1:108" ht="13" customHeight="1">
      <c r="D153" t="s">
        <v>645</v>
      </c>
      <c r="O153" s="1426" t="s">
        <v>2650</v>
      </c>
      <c r="P153" s="1427"/>
      <c r="Q153" s="1427"/>
      <c r="R153" s="1427"/>
      <c r="S153" s="1427"/>
      <c r="T153" s="1427"/>
      <c r="U153" s="1427"/>
      <c r="V153" s="1427"/>
      <c r="W153" s="1427"/>
      <c r="X153" s="1427"/>
      <c r="Y153" s="1427"/>
      <c r="Z153" s="1427"/>
      <c r="AA153" s="1427"/>
      <c r="AB153" s="1427"/>
      <c r="AC153" s="1427"/>
      <c r="AD153" s="1427"/>
      <c r="AE153" s="1427"/>
      <c r="AF153" s="1427"/>
      <c r="AG153" s="1427"/>
      <c r="AH153" s="1427"/>
      <c r="BM153">
        <v>5</v>
      </c>
      <c r="BN153" s="3" t="s">
        <v>2399</v>
      </c>
      <c r="CR153" s="31" t="s">
        <v>2641</v>
      </c>
      <c r="CS153" s="32"/>
      <c r="CT153" s="32"/>
      <c r="CU153" s="32"/>
      <c r="CV153" s="32"/>
      <c r="CW153" s="32"/>
      <c r="CX153" s="14"/>
      <c r="CY153" s="31" t="s">
        <v>2642</v>
      </c>
      <c r="CZ153" s="14"/>
      <c r="DA153" s="14"/>
      <c r="DB153" s="14"/>
      <c r="DC153" s="14"/>
      <c r="DD153" s="14"/>
    </row>
    <row r="154" spans="1:108" ht="13" customHeight="1">
      <c r="D154" s="303" t="s">
        <v>439</v>
      </c>
      <c r="O154" s="1383" t="s">
        <v>2654</v>
      </c>
      <c r="P154" s="1453"/>
      <c r="Q154" s="1453"/>
      <c r="R154" s="1453"/>
      <c r="S154" s="1453"/>
      <c r="T154" s="1453"/>
      <c r="U154" s="1453"/>
      <c r="V154" s="1453"/>
      <c r="W154" s="1453"/>
      <c r="X154" s="1453"/>
      <c r="Y154" s="1453"/>
      <c r="Z154" s="1453"/>
      <c r="AA154" s="1453"/>
      <c r="AB154" s="1453"/>
      <c r="AC154" s="1453"/>
      <c r="AD154" s="1453"/>
      <c r="AE154" s="1453"/>
      <c r="AF154" s="1453"/>
      <c r="AG154" s="1453"/>
      <c r="AH154" s="1453"/>
      <c r="BM154">
        <v>6</v>
      </c>
      <c r="BN154" s="3" t="s">
        <v>2400</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6" t="s">
        <v>2651</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6" t="s">
        <v>2652</v>
      </c>
      <c r="P157" s="1427"/>
      <c r="Q157" s="1427"/>
      <c r="R157" s="1427"/>
      <c r="S157" s="1427"/>
      <c r="T157" s="1427"/>
      <c r="U157" s="1427"/>
      <c r="V157" s="1427"/>
      <c r="W157" s="1427"/>
      <c r="X157" s="14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3">
        <v>94704</v>
      </c>
      <c r="P158" s="1803"/>
      <c r="Q158" s="1803"/>
      <c r="R158" s="180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14" t="s">
        <v>2653</v>
      </c>
      <c r="P159" s="1791"/>
      <c r="Q159" s="1791"/>
      <c r="R159" s="1791"/>
      <c r="S159" s="1791"/>
      <c r="T159" s="1791"/>
      <c r="V159" s="97" t="s">
        <v>271</v>
      </c>
      <c r="W159" s="1804"/>
      <c r="X159" s="180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91" t="s">
        <v>2653</v>
      </c>
      <c r="P160" s="1791"/>
      <c r="Q160" s="1791"/>
      <c r="R160" s="1791"/>
      <c r="S160" s="1791"/>
      <c r="T160" s="179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95" t="s">
        <v>2655</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812" t="s">
        <v>2172</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67" t="s">
        <v>539</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815" t="s">
        <v>371</v>
      </c>
      <c r="K173" s="1815"/>
      <c r="L173" s="1815"/>
      <c r="M173" s="1815"/>
      <c r="N173" s="1815"/>
      <c r="O173" s="1815"/>
      <c r="P173" s="1815"/>
      <c r="Q173" s="1815"/>
      <c r="R173" s="1815"/>
      <c r="S173" s="181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32" t="s">
        <v>2058</v>
      </c>
      <c r="K174" s="1432"/>
      <c r="L174" s="1432"/>
      <c r="M174" s="1432"/>
      <c r="N174" s="1432"/>
      <c r="O174" s="1432"/>
      <c r="P174" s="1432"/>
      <c r="Q174" s="1432"/>
      <c r="R174" s="1432"/>
      <c r="S174" s="1432"/>
      <c r="T174" s="1432"/>
      <c r="U174" s="1432"/>
      <c r="V174" s="1432"/>
      <c r="W174" s="1432"/>
      <c r="X174" s="1432"/>
      <c r="Y174" s="1432"/>
      <c r="Z174" s="1432"/>
      <c r="AA174" s="1432"/>
      <c r="AB174" s="143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40" t="s">
        <v>669</v>
      </c>
      <c r="V175" s="134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2037</v>
      </c>
      <c r="T176" s="27" t="s">
        <v>305</v>
      </c>
      <c r="U176" s="1494"/>
      <c r="V176" s="1494"/>
      <c r="W176" s="1" t="s">
        <v>306</v>
      </c>
      <c r="X176" s="1794"/>
      <c r="Y176" s="1794"/>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40" t="s">
        <v>669</v>
      </c>
      <c r="S177" s="134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2037</v>
      </c>
      <c r="AE178" s="27" t="s">
        <v>305</v>
      </c>
      <c r="AF178" s="1793"/>
      <c r="AG178" s="1793"/>
      <c r="AH178" s="1" t="s">
        <v>306</v>
      </c>
      <c r="AI178" s="1817"/>
      <c r="AJ178" s="1817"/>
      <c r="AK178" s="1817"/>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2637</v>
      </c>
      <c r="X180" s="1340" t="s">
        <v>669</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37" t="str">
        <f>H18</f>
        <v>CSH San Pablo Housing</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64" t="s">
        <v>2739</v>
      </c>
      <c r="J185" s="1464"/>
      <c r="K185" s="1464"/>
      <c r="L185" s="1464"/>
      <c r="M185" s="1464"/>
      <c r="N185" s="1464"/>
      <c r="O185" s="1464"/>
      <c r="P185" s="1464"/>
      <c r="Q185" s="1464"/>
      <c r="R185" s="1464"/>
      <c r="S185" s="1464"/>
      <c r="T185" s="1464"/>
      <c r="U185" s="1464"/>
      <c r="V185" s="1464"/>
      <c r="W185" s="1464"/>
      <c r="X185" s="1464"/>
      <c r="Y185" s="1464"/>
      <c r="Z185" s="1464"/>
      <c r="AA185" s="1464"/>
      <c r="AB185" s="1464"/>
      <c r="AC185" s="1464"/>
      <c r="AD185" s="1464"/>
      <c r="AE185" s="1464"/>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79"/>
      <c r="F188" s="1779"/>
      <c r="G188" s="1779"/>
      <c r="H188" s="1779"/>
      <c r="I188" s="1779"/>
      <c r="J188" s="1779"/>
      <c r="K188" s="1779"/>
      <c r="L188" s="1779"/>
      <c r="M188" s="1779"/>
      <c r="N188" s="1779"/>
      <c r="O188" s="1779"/>
      <c r="P188" s="1779"/>
      <c r="Q188" s="1779"/>
      <c r="R188" s="1779"/>
      <c r="S188" s="1779"/>
      <c r="T188" s="1779"/>
      <c r="U188" s="1779"/>
      <c r="V188" s="1779"/>
      <c r="W188" s="1779"/>
      <c r="X188" s="1779"/>
      <c r="Y188" s="1779"/>
      <c r="Z188" s="1779"/>
      <c r="AA188" s="1779"/>
      <c r="AB188" s="1779"/>
      <c r="AC188" s="1779"/>
      <c r="AD188" s="1779"/>
      <c r="AE188" s="177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6" t="s">
        <v>2652</v>
      </c>
      <c r="J189" s="1432"/>
      <c r="K189" s="1432"/>
      <c r="L189" s="1432"/>
      <c r="M189" s="1432"/>
      <c r="N189" s="1432"/>
      <c r="O189" s="1432"/>
      <c r="P189" s="1432"/>
      <c r="Q189" t="s">
        <v>582</v>
      </c>
      <c r="T189" s="1432" t="s">
        <v>476</v>
      </c>
      <c r="U189" s="1432"/>
      <c r="V189" s="1432"/>
      <c r="W189" s="1432"/>
      <c r="X189" s="1432"/>
      <c r="Y189" s="1432"/>
      <c r="Z189" s="1432"/>
      <c r="AA189" s="1432"/>
      <c r="AB189" s="1432"/>
      <c r="AC189" s="1432"/>
      <c r="AD189" s="1432"/>
      <c r="AE189" s="143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64">
        <v>94702</v>
      </c>
      <c r="J190" s="1464"/>
      <c r="K190" s="1464"/>
      <c r="L190" s="1464"/>
      <c r="M190" s="1464"/>
      <c r="N190" s="1464"/>
      <c r="O190" t="s">
        <v>585</v>
      </c>
      <c r="T190" s="1801">
        <v>6001423100</v>
      </c>
      <c r="U190" s="1801"/>
      <c r="V190" s="1801"/>
      <c r="W190" s="1801"/>
      <c r="X190" s="1801"/>
      <c r="Y190" s="1801"/>
      <c r="Z190" s="1801"/>
      <c r="AA190" s="1801"/>
      <c r="AB190" s="1801"/>
      <c r="AC190" s="1801"/>
      <c r="AD190" s="1801"/>
      <c r="AE190" s="180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814" t="s">
        <v>2656</v>
      </c>
      <c r="O191" s="1814"/>
      <c r="P191" s="1814"/>
      <c r="Q191" s="1814"/>
      <c r="R191" s="1814"/>
      <c r="S191" s="1814"/>
      <c r="T191" s="1814"/>
      <c r="U191" s="1814"/>
      <c r="V191" s="1814"/>
      <c r="W191" s="1814"/>
      <c r="X191" s="1814"/>
      <c r="Y191" s="1814"/>
      <c r="Z191" s="1814"/>
      <c r="AA191" s="1814"/>
      <c r="AB191" s="1814"/>
      <c r="AC191" s="1814"/>
      <c r="AD191" s="1814"/>
      <c r="AE191" s="181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79"/>
      <c r="O192" s="1779"/>
      <c r="P192" s="1779"/>
      <c r="Q192" s="1779"/>
      <c r="R192" s="1779"/>
      <c r="S192" s="1779"/>
      <c r="T192" s="1779"/>
      <c r="U192" s="1779"/>
      <c r="V192" s="1779"/>
      <c r="W192" s="1779"/>
      <c r="X192" s="1779"/>
      <c r="Y192" s="1779"/>
      <c r="Z192" s="1779"/>
      <c r="AA192" s="1779"/>
      <c r="AB192" s="1779"/>
      <c r="AC192" s="1779"/>
      <c r="AD192" s="1779"/>
      <c r="AE192" s="1779"/>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2038</v>
      </c>
      <c r="M193" s="40"/>
      <c r="N193" s="890"/>
      <c r="O193" s="890"/>
      <c r="P193" s="890"/>
      <c r="Q193" s="890"/>
      <c r="R193" s="890"/>
      <c r="S193" s="890"/>
      <c r="T193" s="1805" t="s">
        <v>1911</v>
      </c>
      <c r="U193" s="1805"/>
      <c r="V193" s="1805"/>
      <c r="W193" s="1805"/>
      <c r="X193" s="1805"/>
      <c r="Y193" s="1805"/>
      <c r="Z193" s="1805"/>
      <c r="AA193" s="1805"/>
      <c r="AB193" s="1805"/>
      <c r="AC193" s="1805"/>
      <c r="AD193" s="1805"/>
      <c r="AE193" s="1805"/>
      <c r="AF193" s="1805"/>
      <c r="AG193" s="1805"/>
      <c r="AH193" s="1805"/>
      <c r="AI193" s="180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2171</v>
      </c>
      <c r="M194" s="40"/>
      <c r="N194" s="890"/>
      <c r="O194" s="890"/>
      <c r="P194" s="890"/>
      <c r="Q194" s="890"/>
      <c r="R194" s="890"/>
      <c r="S194" s="890"/>
      <c r="AH194" s="1340" t="s">
        <v>669</v>
      </c>
      <c r="AI194" s="134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40" t="s">
        <v>669</v>
      </c>
      <c r="U195" s="1340"/>
      <c r="W195" t="s">
        <v>684</v>
      </c>
      <c r="AH195" s="1340">
        <v>12</v>
      </c>
      <c r="AI195" s="134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77" t="s">
        <v>545</v>
      </c>
      <c r="U196" s="1377"/>
      <c r="W196" t="s">
        <v>685</v>
      </c>
      <c r="AH196" s="1340">
        <v>14</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77" t="s">
        <v>669</v>
      </c>
      <c r="U197" s="1377"/>
      <c r="W197" t="s">
        <v>686</v>
      </c>
      <c r="AH197" s="1340">
        <v>7</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77">
        <v>0</v>
      </c>
      <c r="U198" s="1377"/>
      <c r="V198"/>
      <c r="X198" s="1466" t="s">
        <v>2446</v>
      </c>
      <c r="Y198" s="1466"/>
      <c r="Z198" s="1466"/>
      <c r="AA198" s="1466"/>
      <c r="AB198" s="1466"/>
      <c r="AC198" s="1466"/>
      <c r="AD198" s="1466"/>
      <c r="AE198" s="1466"/>
      <c r="AF198" s="1466"/>
      <c r="AG198" s="1466"/>
      <c r="AH198" s="1466"/>
      <c r="AI198" s="1466"/>
      <c r="AJ198" s="1466"/>
      <c r="AK198" s="1466"/>
      <c r="AL198" s="1466"/>
      <c r="AM198" s="1466"/>
      <c r="AN198" s="1466"/>
      <c r="AO198" s="1466"/>
      <c r="AP198" s="1466"/>
      <c r="AQ198" s="1466"/>
      <c r="AR198" s="1466"/>
      <c r="AS198" s="1466"/>
      <c r="AT198" s="146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2449</v>
      </c>
      <c r="E199"/>
      <c r="F199"/>
      <c r="G199"/>
      <c r="H199"/>
      <c r="I199"/>
      <c r="J199"/>
      <c r="K199"/>
      <c r="L199"/>
      <c r="M199"/>
      <c r="N199"/>
      <c r="O199"/>
      <c r="P199"/>
      <c r="Q199"/>
      <c r="R199"/>
      <c r="S199"/>
      <c r="T199" s="1340" t="s">
        <v>669</v>
      </c>
      <c r="U199" s="1340"/>
      <c r="V199"/>
      <c r="W199"/>
      <c r="X199" s="1466"/>
      <c r="Y199" s="1466"/>
      <c r="Z199" s="1466"/>
      <c r="AA199" s="1466"/>
      <c r="AB199" s="1466"/>
      <c r="AC199" s="1466"/>
      <c r="AD199" s="1466"/>
      <c r="AE199" s="1466"/>
      <c r="AF199" s="1466"/>
      <c r="AG199" s="1466"/>
      <c r="AH199" s="1466"/>
      <c r="AI199" s="1466"/>
      <c r="AJ199" s="1466"/>
      <c r="AK199" s="1466"/>
      <c r="AL199" s="1466"/>
      <c r="AM199" s="1466"/>
      <c r="AN199" s="1466"/>
      <c r="AO199" s="1466"/>
      <c r="AP199" s="1466"/>
      <c r="AQ199" s="1466"/>
      <c r="AR199" s="1466"/>
      <c r="AS199" s="1466"/>
      <c r="AT199" s="146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2447</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37" t="s">
        <v>385</v>
      </c>
      <c r="E204" s="1437"/>
      <c r="F204" s="1437"/>
      <c r="G204" s="1437"/>
      <c r="H204" s="1437"/>
      <c r="I204" s="1437"/>
      <c r="J204" s="1437"/>
      <c r="K204" s="1437"/>
      <c r="L204" s="1437"/>
      <c r="M204" s="1437"/>
      <c r="P204" s="1813">
        <f>M26</f>
        <v>4209279</v>
      </c>
      <c r="Q204" s="1792"/>
      <c r="R204" s="1792"/>
      <c r="S204" s="1792"/>
      <c r="T204" s="1792"/>
      <c r="U204" s="179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822" t="s">
        <v>1247</v>
      </c>
      <c r="E205" s="1437"/>
      <c r="F205" s="1437"/>
      <c r="G205" s="1437"/>
      <c r="H205" s="1437"/>
      <c r="I205" s="1437"/>
      <c r="J205" s="1437"/>
      <c r="K205" s="1437"/>
      <c r="L205" s="1437"/>
      <c r="M205" s="1437"/>
      <c r="P205" s="1792">
        <f>M27</f>
        <v>4422222</v>
      </c>
      <c r="Q205" s="1792"/>
      <c r="R205" s="1792"/>
      <c r="S205" s="1792"/>
      <c r="T205" s="1792"/>
      <c r="U205" s="1792"/>
      <c r="V205" s="28"/>
      <c r="W205" s="3" t="s">
        <v>1709</v>
      </c>
      <c r="Z205" s="1820" t="s">
        <v>2175</v>
      </c>
      <c r="AA205" s="1820"/>
      <c r="AB205" s="1820"/>
      <c r="AC205" s="1820"/>
      <c r="AD205" s="1820"/>
      <c r="AE205" s="1820"/>
      <c r="AF205" s="1820"/>
      <c r="AG205" s="1820"/>
      <c r="AH205" s="1820"/>
      <c r="AI205" s="1820"/>
      <c r="AJ205" s="1820"/>
      <c r="AK205" s="1820"/>
      <c r="AL205" s="1820"/>
      <c r="AM205" s="1820"/>
      <c r="AN205" s="1820"/>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27" t="s">
        <v>2657</v>
      </c>
      <c r="E208" s="1427"/>
      <c r="F208" s="1427"/>
      <c r="G208" s="1427"/>
      <c r="H208" s="1427"/>
      <c r="I208" s="1427"/>
      <c r="J208" s="1427"/>
      <c r="K208" s="1427"/>
      <c r="L208" s="1427"/>
      <c r="M208" s="1427"/>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27" t="s">
        <v>1041</v>
      </c>
      <c r="E211" s="1427"/>
      <c r="F211" s="1427"/>
      <c r="G211" s="1427"/>
      <c r="H211" s="1427"/>
      <c r="I211" s="1427"/>
      <c r="J211" s="1427"/>
      <c r="K211" s="1427"/>
      <c r="L211" s="1427"/>
      <c r="M211" s="142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2186</v>
      </c>
      <c r="Q212" s="1340">
        <v>0</v>
      </c>
      <c r="R212" s="1340"/>
      <c r="T212" s="1807">
        <f>IFERROR(Q212/AG449,0)</f>
        <v>0</v>
      </c>
      <c r="U212" s="180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10" t="s">
        <v>591</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786"/>
      <c r="AC215" s="1786"/>
      <c r="AD215" s="1786"/>
      <c r="AE215" s="1786"/>
      <c r="AF215" s="1786"/>
      <c r="AG215" s="1786"/>
      <c r="AH215" s="1786"/>
      <c r="AI215" s="1786"/>
      <c r="AJ215" s="1786"/>
      <c r="AK215" s="1786"/>
      <c r="AL215" s="178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786"/>
      <c r="AC216" s="1786"/>
      <c r="AD216" s="1786"/>
      <c r="AE216" s="1786"/>
      <c r="AF216" s="1786"/>
      <c r="AG216" s="1786"/>
      <c r="AH216" s="1786"/>
      <c r="AI216" s="1786"/>
      <c r="AJ216" s="1786"/>
      <c r="AK216" s="1786"/>
      <c r="AL216" s="178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2189</v>
      </c>
      <c r="D218" s="28"/>
      <c r="AC218" s="2" t="s">
        <v>2395</v>
      </c>
      <c r="BC218" t="s">
        <v>529</v>
      </c>
    </row>
    <row r="219" spans="1:108" ht="13" customHeight="1">
      <c r="A219" s="2"/>
      <c r="C219" s="2"/>
      <c r="D219" s="3" t="s">
        <v>2396</v>
      </c>
      <c r="AZ219" s="3"/>
      <c r="BA219" s="3"/>
      <c r="BC219" t="s">
        <v>377</v>
      </c>
    </row>
    <row r="220" spans="1:108" ht="13" customHeight="1">
      <c r="A220" s="2"/>
      <c r="C220" s="2"/>
      <c r="D220" s="1427" t="s">
        <v>1063</v>
      </c>
      <c r="E220" s="1427"/>
      <c r="F220" s="1427"/>
      <c r="G220" s="1427"/>
      <c r="H220" s="1427"/>
      <c r="I220" s="1427"/>
      <c r="J220" s="1427"/>
      <c r="K220" s="1427"/>
      <c r="L220" s="1427"/>
      <c r="M220" s="1427"/>
      <c r="N220" s="1427"/>
      <c r="O220" s="1427"/>
      <c r="P220" s="1427"/>
      <c r="Q220" s="1427"/>
      <c r="R220" s="1427"/>
      <c r="S220" s="1427"/>
      <c r="T220" s="1427"/>
      <c r="U220" s="1427"/>
      <c r="V220" s="1427"/>
      <c r="W220" s="1427"/>
      <c r="X220" s="1427"/>
      <c r="Y220" s="1427"/>
      <c r="Z220" s="1427"/>
      <c r="AC220" s="1821" t="s">
        <v>2398</v>
      </c>
      <c r="AD220" s="1821"/>
      <c r="AE220" s="1821"/>
      <c r="AF220" s="1821"/>
      <c r="AG220" s="1821"/>
      <c r="AH220" s="1821"/>
      <c r="AI220" s="1821"/>
      <c r="AJ220" s="1821"/>
      <c r="AK220" s="1821"/>
      <c r="AL220" s="1821"/>
      <c r="AM220" s="1821"/>
      <c r="AN220" s="1821"/>
      <c r="AO220" s="1821"/>
      <c r="AP220" s="1821"/>
      <c r="AQ220" s="1821"/>
      <c r="BA220" s="3"/>
      <c r="BC220" t="s">
        <v>300</v>
      </c>
    </row>
    <row r="221" spans="1:108" ht="13" customHeight="1">
      <c r="A221" s="2"/>
      <c r="B221" s="14"/>
      <c r="C221" s="2"/>
      <c r="BA221" s="3"/>
    </row>
    <row r="222" spans="1:108" ht="13" customHeight="1">
      <c r="A222" s="2" t="s">
        <v>2541</v>
      </c>
      <c r="B222" s="14"/>
      <c r="C222" s="2" t="s">
        <v>2542</v>
      </c>
      <c r="BA222" s="3"/>
    </row>
    <row r="223" spans="1:108" ht="13" customHeight="1">
      <c r="A223" s="2"/>
      <c r="B223" s="14"/>
      <c r="C223" s="2"/>
      <c r="D223" s="3" t="s">
        <v>2543</v>
      </c>
      <c r="BA223" s="3"/>
    </row>
    <row r="224" spans="1:108" ht="13" customHeight="1">
      <c r="A224" s="2"/>
      <c r="B224" s="14"/>
      <c r="C224" s="2"/>
      <c r="E224" s="3" t="s">
        <v>2544</v>
      </c>
      <c r="V224" s="1340" t="s">
        <v>545</v>
      </c>
      <c r="W224" s="1340"/>
      <c r="Y224" s="1193"/>
      <c r="BA224" s="3"/>
    </row>
    <row r="225" spans="1:69" ht="13" customHeight="1">
      <c r="A225" s="2"/>
      <c r="B225" s="14"/>
      <c r="C225" s="2"/>
      <c r="E225" s="3" t="s">
        <v>2545</v>
      </c>
      <c r="V225" s="1340" t="s">
        <v>669</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2546</v>
      </c>
      <c r="V226" s="1377" t="s">
        <v>669</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2547</v>
      </c>
      <c r="V227" s="1377" t="s">
        <v>669</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2548</v>
      </c>
      <c r="V228" s="1377" t="s">
        <v>545</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2549</v>
      </c>
      <c r="V229" s="1377" t="s">
        <v>669</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67" t="s">
        <v>540</v>
      </c>
      <c r="B231" s="1467"/>
      <c r="C231" s="1467"/>
      <c r="D231" s="1467"/>
      <c r="E231" s="1467"/>
      <c r="F231" s="1467"/>
      <c r="G231" s="1467"/>
      <c r="H231" s="1467"/>
      <c r="I231" s="1467"/>
      <c r="J231" s="1467"/>
      <c r="K231" s="1467"/>
      <c r="L231" s="1467"/>
      <c r="M231" s="1467"/>
      <c r="N231" s="1467"/>
      <c r="O231" s="1467"/>
      <c r="P231" s="1467"/>
      <c r="Q231" s="1467"/>
      <c r="R231" s="1467"/>
      <c r="S231" s="1467"/>
      <c r="T231" s="1467"/>
      <c r="U231" s="1467"/>
      <c r="V231" s="1467"/>
      <c r="W231" s="1467"/>
      <c r="X231" s="1467"/>
      <c r="Y231" s="1467"/>
      <c r="Z231" s="1467"/>
      <c r="AA231" s="1467"/>
      <c r="AB231" s="1467"/>
      <c r="AC231" s="1467"/>
      <c r="AD231" s="1467"/>
      <c r="AE231" s="1467"/>
      <c r="AF231" s="1467"/>
      <c r="AG231" s="1467"/>
      <c r="AH231" s="1467"/>
      <c r="AI231" s="1467"/>
      <c r="AJ231" s="1467"/>
      <c r="AK231" s="1467"/>
      <c r="AL231" s="1467"/>
      <c r="AM231" s="1467"/>
      <c r="AN231" s="1467"/>
      <c r="AO231" s="1467"/>
      <c r="AP231" s="1467"/>
      <c r="AQ231" s="1467"/>
      <c r="AR231" s="1467"/>
      <c r="AS231" s="1467"/>
      <c r="AT231" s="1467"/>
      <c r="AU231" s="95"/>
      <c r="AV231" s="95"/>
      <c r="AW231" s="95"/>
      <c r="AX231" s="95"/>
      <c r="AY231" s="95"/>
      <c r="AZ231" s="3"/>
      <c r="BA231" s="3"/>
      <c r="BP231" s="34"/>
    </row>
    <row r="232" spans="1:69" ht="13" customHeight="1">
      <c r="A232" s="1467"/>
      <c r="B232" s="1467"/>
      <c r="C232" s="1467"/>
      <c r="D232" s="1467"/>
      <c r="E232" s="1467"/>
      <c r="F232" s="1467"/>
      <c r="G232" s="1467"/>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7"/>
      <c r="AB232" s="1467"/>
      <c r="AC232" s="1467"/>
      <c r="AD232" s="1467"/>
      <c r="AE232" s="1467"/>
      <c r="AF232" s="1467"/>
      <c r="AG232" s="1467"/>
      <c r="AH232" s="1467"/>
      <c r="AI232" s="1467"/>
      <c r="AJ232" s="1467"/>
      <c r="AK232" s="1467"/>
      <c r="AL232" s="1467"/>
      <c r="AM232" s="1467"/>
      <c r="AN232" s="1467"/>
      <c r="AO232" s="1467"/>
      <c r="AP232" s="1467"/>
      <c r="AQ232" s="1467"/>
      <c r="AR232" s="1467"/>
      <c r="AS232" s="1467"/>
      <c r="AT232" s="1467"/>
      <c r="BA232" s="3"/>
      <c r="BB232" s="3"/>
      <c r="BQ232" s="34"/>
    </row>
    <row r="233" spans="1:69" ht="13" customHeight="1">
      <c r="AZ233" s="4"/>
      <c r="BA233" s="3"/>
      <c r="BB233" s="3"/>
      <c r="BQ233" s="34"/>
    </row>
    <row r="234" spans="1:69" ht="13"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545</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545</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802" t="str">
        <f>H16</f>
        <v>California Supportive Housing</v>
      </c>
      <c r="N241" s="1802"/>
      <c r="O241" s="1802"/>
      <c r="P241" s="1802"/>
      <c r="Q241" s="1802"/>
      <c r="R241" s="1802"/>
      <c r="S241" s="1802"/>
      <c r="T241" s="1802"/>
      <c r="U241" s="1802"/>
      <c r="V241" s="1802"/>
      <c r="W241" s="1802"/>
      <c r="X241" s="1802"/>
      <c r="Y241" s="1802"/>
      <c r="Z241" s="1802"/>
      <c r="AA241" s="1802"/>
      <c r="AB241" s="1802"/>
      <c r="AC241" s="1802"/>
      <c r="AD241" s="1802"/>
      <c r="AE241" s="1802"/>
      <c r="AF241" s="1802"/>
      <c r="AG241" s="1802"/>
      <c r="AH241" s="1802"/>
      <c r="AI241" s="1802"/>
      <c r="AJ241" s="1802"/>
      <c r="AK241" s="1802"/>
      <c r="AZ241" s="4"/>
      <c r="BA241" s="3"/>
      <c r="BB241" s="205" t="s">
        <v>538</v>
      </c>
      <c r="BG241" s="241">
        <f>IF(AND(AND($M$258="nonprofit",$M$266="nonprofit",$M$274="for profit")),2,0)</f>
        <v>0</v>
      </c>
    </row>
    <row r="242" spans="1:67" ht="13" customHeight="1">
      <c r="D242" s="4" t="s">
        <v>85</v>
      </c>
      <c r="E242" s="4"/>
      <c r="F242" s="4"/>
      <c r="G242" s="4"/>
      <c r="H242" s="4"/>
      <c r="I242" s="4"/>
      <c r="J242" s="4"/>
      <c r="K242" s="4"/>
      <c r="M242" s="1427" t="s">
        <v>2658</v>
      </c>
      <c r="N242" s="1427"/>
      <c r="O242" s="1427"/>
      <c r="P242" s="1427"/>
      <c r="Q242" s="1427"/>
      <c r="R242" s="1427"/>
      <c r="S242" s="1427"/>
      <c r="T242" s="1427"/>
      <c r="U242" s="1427"/>
      <c r="V242" s="1427"/>
      <c r="W242" s="1427"/>
      <c r="X242" s="1427"/>
      <c r="Y242" s="1427"/>
      <c r="Z242" s="1427"/>
      <c r="AA242" s="1427"/>
      <c r="AB242" s="1427"/>
      <c r="AC242" s="1427"/>
      <c r="AD242" s="1427"/>
      <c r="AE242" s="1427"/>
      <c r="BB242" s="205" t="s">
        <v>538</v>
      </c>
      <c r="BG242" s="241">
        <f>IF(AND(AND($M$258="nonprofit",$M$266="for profit",$M$274="nonprofit")),2,0)</f>
        <v>0</v>
      </c>
    </row>
    <row r="243" spans="1:67" ht="13" customHeight="1">
      <c r="D243" s="4" t="s">
        <v>580</v>
      </c>
      <c r="E243" s="4"/>
      <c r="M243" s="1426" t="s">
        <v>2649</v>
      </c>
      <c r="N243" s="1427"/>
      <c r="O243" s="1427"/>
      <c r="P243" s="1427"/>
      <c r="Q243" s="1427"/>
      <c r="R243" s="1427"/>
      <c r="S243" s="1427"/>
      <c r="T243" s="1427"/>
      <c r="V243" s="33" t="s">
        <v>86</v>
      </c>
      <c r="W243" s="1383" t="s">
        <v>2659</v>
      </c>
      <c r="X243" s="1453"/>
      <c r="Y243" s="4" t="s">
        <v>583</v>
      </c>
      <c r="AC243" s="1427">
        <v>94024</v>
      </c>
      <c r="AD243" s="1427"/>
      <c r="AE243" s="1427"/>
      <c r="AU243" s="4"/>
      <c r="AV243" s="4"/>
      <c r="AW243" s="4"/>
      <c r="AX243" s="4"/>
      <c r="AY243" s="4"/>
      <c r="AZ243" s="4"/>
      <c r="BB243" s="205" t="s">
        <v>538</v>
      </c>
      <c r="BG243" s="240">
        <f>IF(AND(AND($M$258="for profit",$M$266="nonprofit",$M$274="nonprofit")),2,0)</f>
        <v>2</v>
      </c>
    </row>
    <row r="244" spans="1:67" ht="13" customHeight="1">
      <c r="D244" s="4" t="s">
        <v>87</v>
      </c>
      <c r="E244" s="4"/>
      <c r="F244" s="4"/>
      <c r="G244" s="4"/>
      <c r="H244" s="4"/>
      <c r="I244" s="4"/>
      <c r="J244" s="4"/>
      <c r="K244" s="19"/>
      <c r="M244" s="1427" t="s">
        <v>2646</v>
      </c>
      <c r="N244" s="1427"/>
      <c r="O244" s="1427"/>
      <c r="P244" s="1427"/>
      <c r="Q244" s="1427"/>
      <c r="R244" s="1427"/>
      <c r="S244" s="1427"/>
      <c r="T244" s="1427"/>
      <c r="U244" s="1427"/>
      <c r="V244" s="1427"/>
      <c r="W244" s="1427"/>
      <c r="X244" s="1427"/>
      <c r="Y244" s="1427"/>
      <c r="Z244" s="1427"/>
      <c r="AA244" s="1427"/>
      <c r="AB244" s="1427"/>
      <c r="AC244" s="1427"/>
      <c r="AD244" s="1427"/>
      <c r="AE244" s="1427"/>
      <c r="AI244" s="4"/>
      <c r="AJ244" s="4"/>
      <c r="AK244" s="4"/>
      <c r="AL244" s="4"/>
      <c r="AM244" s="4"/>
      <c r="AN244" s="4"/>
      <c r="AO244" s="4"/>
      <c r="AP244" s="4"/>
      <c r="AQ244" s="4"/>
      <c r="AR244" s="4"/>
      <c r="AS244" s="4"/>
      <c r="AT244" s="4"/>
      <c r="BB244" s="205"/>
      <c r="BG244" s="204"/>
    </row>
    <row r="245" spans="1:67" ht="13" customHeight="1">
      <c r="D245" s="4" t="s">
        <v>88</v>
      </c>
      <c r="E245" s="4"/>
      <c r="F245" s="4"/>
      <c r="M245" s="1431" t="s">
        <v>2660</v>
      </c>
      <c r="N245" s="1431"/>
      <c r="O245" s="1431"/>
      <c r="P245" s="1431"/>
      <c r="Q245" s="1431"/>
      <c r="R245" s="1431"/>
      <c r="S245" s="4" t="s">
        <v>206</v>
      </c>
      <c r="T245" s="4"/>
      <c r="U245" s="1453"/>
      <c r="V245" s="1453"/>
      <c r="W245" s="1453"/>
      <c r="X245" s="4" t="s">
        <v>89</v>
      </c>
      <c r="Z245" s="1431"/>
      <c r="AA245" s="1431"/>
      <c r="AB245" s="1431"/>
      <c r="AC245" s="1431"/>
      <c r="AD245" s="1431"/>
      <c r="AE245" s="1431"/>
      <c r="AU245" s="4"/>
      <c r="AV245" s="4"/>
      <c r="AW245" s="4"/>
      <c r="AX245" s="4"/>
      <c r="AY245" s="4"/>
      <c r="AZ245" s="4"/>
      <c r="BB245" s="204" t="s">
        <v>537</v>
      </c>
      <c r="BG245" s="241">
        <f>IF(AND(AND($M$258="nonprofit",$M$266="nonprofit",$M$274="(select one)")),1,0)</f>
        <v>0</v>
      </c>
    </row>
    <row r="246" spans="1:67" ht="13" customHeight="1">
      <c r="D246" s="4" t="s">
        <v>90</v>
      </c>
      <c r="E246" s="4"/>
      <c r="F246" s="4"/>
      <c r="M246" s="1795" t="s">
        <v>2760</v>
      </c>
      <c r="N246" s="1795"/>
      <c r="O246" s="1795"/>
      <c r="P246" s="1795"/>
      <c r="Q246" s="1795"/>
      <c r="R246" s="1795"/>
      <c r="S246" s="1795"/>
      <c r="T246" s="1795"/>
      <c r="U246" s="1795"/>
      <c r="V246" s="1795"/>
      <c r="W246" s="1795"/>
      <c r="X246" s="1795"/>
      <c r="Y246" s="1795"/>
      <c r="Z246" s="1795"/>
      <c r="AA246" s="1795"/>
      <c r="AB246" s="1795"/>
      <c r="AC246" s="1795"/>
      <c r="AD246" s="1795"/>
      <c r="AE246" s="179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64" t="s">
        <v>377</v>
      </c>
      <c r="N247" s="1464"/>
      <c r="O247" s="1464"/>
      <c r="P247" s="1464"/>
      <c r="Q247" s="1464"/>
      <c r="R247" s="1464"/>
      <c r="S247" s="1464"/>
      <c r="T247" s="1464"/>
      <c r="U247" s="204" t="s">
        <v>906</v>
      </c>
      <c r="V247" s="204"/>
      <c r="W247" s="204"/>
      <c r="X247" s="204"/>
      <c r="Y247" s="204"/>
      <c r="Z247" s="204"/>
      <c r="AA247" s="1796" t="s">
        <v>2663</v>
      </c>
      <c r="AB247" s="1796"/>
      <c r="AC247" s="1796"/>
      <c r="AD247" s="1796"/>
      <c r="AE247" s="1796"/>
      <c r="AF247" s="1796"/>
      <c r="AG247" s="1796"/>
      <c r="AH247" s="1796"/>
      <c r="AI247" s="1796"/>
      <c r="AJ247" s="1796"/>
      <c r="AK247" s="179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32"/>
      <c r="N248" s="1432"/>
      <c r="O248" s="1432"/>
      <c r="P248" s="1432"/>
      <c r="Q248" s="1432"/>
      <c r="R248" s="1432"/>
      <c r="S248" s="1432"/>
      <c r="T248" s="1432"/>
      <c r="U248" s="1432"/>
      <c r="V248" s="1432"/>
      <c r="W248" s="1432"/>
      <c r="X248" s="1432"/>
      <c r="Y248" s="1432"/>
      <c r="Z248" s="1432"/>
      <c r="AA248" s="1432"/>
      <c r="AB248" s="1432"/>
      <c r="AC248" s="1432"/>
      <c r="AD248" s="1432"/>
      <c r="AE248" s="143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30" t="s">
        <v>2740</v>
      </c>
      <c r="N252" s="1430"/>
      <c r="O252" s="1430"/>
      <c r="P252" s="1430"/>
      <c r="Q252" s="1430"/>
      <c r="R252" s="1430"/>
      <c r="S252" s="1430"/>
      <c r="T252" s="1430"/>
      <c r="U252" s="1430"/>
      <c r="V252" s="1430"/>
      <c r="W252" s="1430"/>
      <c r="X252" s="1430"/>
      <c r="Y252" s="1430"/>
      <c r="Z252" s="1430"/>
      <c r="AA252" s="1430"/>
      <c r="AB252" s="1430"/>
      <c r="AC252" s="1430"/>
      <c r="AD252" s="1430"/>
      <c r="AE252" s="1430"/>
      <c r="AF252" s="1430" t="s">
        <v>2661</v>
      </c>
      <c r="AG252" s="1430"/>
      <c r="AH252" s="1430"/>
      <c r="AI252" s="1430"/>
      <c r="AJ252" s="1430"/>
      <c r="AK252" s="143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27" t="str">
        <f>$M$242</f>
        <v>1015 Saint Joseph Ave</v>
      </c>
      <c r="N253" s="1427"/>
      <c r="O253" s="1427"/>
      <c r="P253" s="1427"/>
      <c r="Q253" s="1427"/>
      <c r="R253" s="1427"/>
      <c r="S253" s="1427"/>
      <c r="T253" s="1427"/>
      <c r="U253" s="1427"/>
      <c r="V253" s="1427"/>
      <c r="W253" s="1427"/>
      <c r="X253" s="1427"/>
      <c r="Y253" s="1427"/>
      <c r="Z253" s="1427"/>
      <c r="AA253" s="1427"/>
      <c r="AB253" s="1427"/>
      <c r="AC253" s="1427"/>
      <c r="AD253" s="1427"/>
      <c r="AE253" s="1427"/>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7" t="str">
        <f>$M$243</f>
        <v>Los Altos</v>
      </c>
      <c r="N254" s="1427"/>
      <c r="O254" s="1427"/>
      <c r="P254" s="1427"/>
      <c r="Q254" s="1427"/>
      <c r="R254" s="1427"/>
      <c r="S254" s="1427"/>
      <c r="T254" s="1427"/>
      <c r="V254" s="33" t="s">
        <v>86</v>
      </c>
      <c r="W254" s="1453" t="str">
        <f>$W$243</f>
        <v>CA</v>
      </c>
      <c r="X254" s="1453"/>
      <c r="Y254" s="4" t="s">
        <v>583</v>
      </c>
      <c r="AC254" s="1427">
        <f>$AC$243</f>
        <v>94024</v>
      </c>
      <c r="AD254" s="1427"/>
      <c r="AE254" s="1427"/>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27" t="str">
        <f>$M$244</f>
        <v>Punit Bhargava</v>
      </c>
      <c r="N255" s="1427"/>
      <c r="O255" s="1427"/>
      <c r="P255" s="1427"/>
      <c r="Q255" s="1427"/>
      <c r="R255" s="1427"/>
      <c r="S255" s="1427"/>
      <c r="T255" s="1427"/>
      <c r="U255" s="1427"/>
      <c r="V255" s="1427"/>
      <c r="W255" s="1427"/>
      <c r="X255" s="1427"/>
      <c r="Y255" s="1427"/>
      <c r="Z255" s="1427"/>
      <c r="AA255" s="1427"/>
      <c r="AB255" s="1427"/>
      <c r="AC255" s="1427"/>
      <c r="AD255" s="1427"/>
      <c r="AE255" s="1427"/>
      <c r="AH255" s="1789">
        <v>4.8999999999999998E-3</v>
      </c>
      <c r="AI255" s="1789"/>
      <c r="AJ255" s="1789"/>
      <c r="AK255" s="1789"/>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31" t="str">
        <f>$M$245</f>
        <v>408-647-4720</v>
      </c>
      <c r="N256" s="1431"/>
      <c r="O256" s="1431"/>
      <c r="P256" s="1431"/>
      <c r="Q256" s="1431"/>
      <c r="R256" s="1431"/>
      <c r="S256" s="4" t="s">
        <v>206</v>
      </c>
      <c r="T256" s="4"/>
      <c r="U256" s="1453"/>
      <c r="V256" s="1453"/>
      <c r="W256" s="1453"/>
      <c r="X256" s="4" t="s">
        <v>89</v>
      </c>
      <c r="Z256" s="1431"/>
      <c r="AA256" s="1431"/>
      <c r="AB256" s="1431"/>
      <c r="AC256" s="1431"/>
      <c r="AD256" s="1431"/>
      <c r="AE256" s="1431"/>
      <c r="AU256" s="4"/>
      <c r="AV256" s="4"/>
      <c r="AW256" s="4"/>
      <c r="AX256" s="4"/>
      <c r="AY256" s="4"/>
      <c r="BG256">
        <v>0</v>
      </c>
      <c r="BH256" s="3" t="str">
        <f>""</f>
        <v/>
      </c>
      <c r="BN256" s="34"/>
    </row>
    <row r="257" spans="1:66" ht="13" customHeight="1">
      <c r="A257" s="19"/>
      <c r="B257" s="4"/>
      <c r="C257" s="4"/>
      <c r="D257" s="4" t="s">
        <v>90</v>
      </c>
      <c r="E257" s="4"/>
      <c r="F257" s="4"/>
      <c r="M257" s="1795" t="str">
        <f>M246</f>
        <v>sanpablo.housing@cshousing.org</v>
      </c>
      <c r="N257" s="1795"/>
      <c r="O257" s="1795"/>
      <c r="P257" s="1795"/>
      <c r="Q257" s="1795"/>
      <c r="R257" s="1795"/>
      <c r="S257" s="1795"/>
      <c r="T257" s="1795"/>
      <c r="U257" s="1795"/>
      <c r="V257" s="1795"/>
      <c r="W257" s="1795"/>
      <c r="X257" s="1795"/>
      <c r="Y257" s="1795"/>
      <c r="Z257" s="1795"/>
      <c r="AA257" s="1795"/>
      <c r="AB257" s="1795"/>
      <c r="AC257" s="1795"/>
      <c r="AD257" s="1795"/>
      <c r="AE257" s="1795"/>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64" t="s">
        <v>536</v>
      </c>
      <c r="N258" s="1464"/>
      <c r="O258" s="1464"/>
      <c r="P258" s="1464"/>
      <c r="Q258" s="1464"/>
      <c r="R258" s="1464"/>
      <c r="S258" s="1464"/>
      <c r="T258" s="1464"/>
      <c r="U258" s="204" t="s">
        <v>906</v>
      </c>
      <c r="V258" s="204"/>
      <c r="W258" s="204"/>
      <c r="X258" s="204"/>
      <c r="Y258" s="204"/>
      <c r="Z258" s="204"/>
      <c r="AA258" s="1796" t="s">
        <v>2663</v>
      </c>
      <c r="AB258" s="1796"/>
      <c r="AC258" s="1796"/>
      <c r="AD258" s="1796"/>
      <c r="AE258" s="1796"/>
      <c r="AF258" s="1796"/>
      <c r="AG258" s="1796"/>
      <c r="AH258" s="1796"/>
      <c r="AI258" s="1796"/>
      <c r="AJ258" s="1796"/>
      <c r="AK258" s="179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30" t="s">
        <v>2644</v>
      </c>
      <c r="N260" s="1430"/>
      <c r="O260" s="1430"/>
      <c r="P260" s="1430"/>
      <c r="Q260" s="1430"/>
      <c r="R260" s="1430"/>
      <c r="S260" s="1430"/>
      <c r="T260" s="1430"/>
      <c r="U260" s="1430"/>
      <c r="V260" s="1430"/>
      <c r="W260" s="1430"/>
      <c r="X260" s="1430"/>
      <c r="Y260" s="1430"/>
      <c r="Z260" s="1430"/>
      <c r="AA260" s="1430"/>
      <c r="AB260" s="1430"/>
      <c r="AC260" s="1430"/>
      <c r="AD260" s="1430"/>
      <c r="AE260" s="1430"/>
      <c r="AF260" s="1430" t="s">
        <v>2662</v>
      </c>
      <c r="AG260" s="1430"/>
      <c r="AH260" s="1430"/>
      <c r="AI260" s="1430"/>
      <c r="AJ260" s="1430"/>
      <c r="AK260" s="1430"/>
      <c r="AU260" s="4"/>
      <c r="AV260" s="4"/>
      <c r="AW260" s="4"/>
      <c r="AX260" s="4"/>
      <c r="AY260" s="4"/>
      <c r="BN260" s="34"/>
    </row>
    <row r="261" spans="1:66" ht="13" customHeight="1">
      <c r="A261" s="19"/>
      <c r="B261" s="4"/>
      <c r="C261" s="4"/>
      <c r="D261" s="4" t="s">
        <v>85</v>
      </c>
      <c r="E261" s="4"/>
      <c r="F261" s="4"/>
      <c r="G261" s="4"/>
      <c r="H261" s="4"/>
      <c r="I261" s="4"/>
      <c r="J261" s="4"/>
      <c r="K261" s="4"/>
      <c r="L261" s="4"/>
      <c r="M261" s="1427" t="str">
        <f>$M$242</f>
        <v>1015 Saint Joseph Ave</v>
      </c>
      <c r="N261" s="1427"/>
      <c r="O261" s="1427"/>
      <c r="P261" s="1427"/>
      <c r="Q261" s="1427"/>
      <c r="R261" s="1427"/>
      <c r="S261" s="1427"/>
      <c r="T261" s="1427"/>
      <c r="U261" s="1427"/>
      <c r="V261" s="1427"/>
      <c r="W261" s="1427"/>
      <c r="X261" s="1427"/>
      <c r="Y261" s="1427"/>
      <c r="Z261" s="1427"/>
      <c r="AA261" s="1427"/>
      <c r="AB261" s="1427"/>
      <c r="AC261" s="1427"/>
      <c r="AD261" s="1427"/>
      <c r="AE261" s="1427"/>
      <c r="AF261" s="3" t="s">
        <v>1179</v>
      </c>
      <c r="AL261" s="4"/>
      <c r="AM261" s="4"/>
      <c r="AN261" s="4"/>
      <c r="AO261" s="4"/>
      <c r="AP261" s="4"/>
      <c r="AQ261" s="4"/>
      <c r="AR261" s="4"/>
      <c r="AS261" s="4"/>
      <c r="AT261" s="4"/>
      <c r="BN261" s="34"/>
    </row>
    <row r="262" spans="1:66" ht="13" customHeight="1">
      <c r="A262" s="19"/>
      <c r="B262" s="4"/>
      <c r="C262" s="4"/>
      <c r="D262" s="4" t="s">
        <v>580</v>
      </c>
      <c r="E262" s="4"/>
      <c r="M262" s="1427" t="str">
        <f>$M$243</f>
        <v>Los Altos</v>
      </c>
      <c r="N262" s="1427"/>
      <c r="O262" s="1427"/>
      <c r="P262" s="1427"/>
      <c r="Q262" s="1427"/>
      <c r="R262" s="1427"/>
      <c r="S262" s="1427"/>
      <c r="T262" s="1427"/>
      <c r="V262" s="33" t="s">
        <v>86</v>
      </c>
      <c r="W262" s="1453" t="str">
        <f>$W$243</f>
        <v>CA</v>
      </c>
      <c r="X262" s="1453"/>
      <c r="Y262" s="4" t="s">
        <v>583</v>
      </c>
      <c r="AC262" s="1427">
        <f>$AC$243</f>
        <v>94024</v>
      </c>
      <c r="AD262" s="1427"/>
      <c r="AE262" s="1427"/>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27" t="str">
        <f>$M$244</f>
        <v>Punit Bhargava</v>
      </c>
      <c r="N263" s="1427"/>
      <c r="O263" s="1427"/>
      <c r="P263" s="1427"/>
      <c r="Q263" s="1427"/>
      <c r="R263" s="1427"/>
      <c r="S263" s="1427"/>
      <c r="T263" s="1427"/>
      <c r="U263" s="1427"/>
      <c r="V263" s="1427"/>
      <c r="W263" s="1427"/>
      <c r="X263" s="1427"/>
      <c r="Y263" s="1427"/>
      <c r="Z263" s="1427"/>
      <c r="AA263" s="1427"/>
      <c r="AB263" s="1427"/>
      <c r="AC263" s="1427"/>
      <c r="AD263" s="1427"/>
      <c r="AE263" s="1427"/>
      <c r="AH263" s="1789">
        <v>5.0000000000000001E-3</v>
      </c>
      <c r="AI263" s="1789"/>
      <c r="AJ263" s="1789"/>
      <c r="AK263" s="1789"/>
      <c r="AL263" s="4"/>
      <c r="AM263" s="4"/>
      <c r="AN263" s="4"/>
      <c r="AO263" s="4"/>
      <c r="AP263" s="4"/>
      <c r="AQ263" s="4"/>
      <c r="AR263" s="4"/>
      <c r="AS263" s="4"/>
      <c r="AT263" s="4"/>
    </row>
    <row r="264" spans="1:66" ht="13" customHeight="1">
      <c r="A264" s="19"/>
      <c r="B264" s="4"/>
      <c r="C264" s="4"/>
      <c r="D264" s="4" t="s">
        <v>88</v>
      </c>
      <c r="E264" s="4"/>
      <c r="F264" s="4"/>
      <c r="M264" s="1431" t="str">
        <f>$M$245</f>
        <v>408-647-4720</v>
      </c>
      <c r="N264" s="1431"/>
      <c r="O264" s="1431"/>
      <c r="P264" s="1431"/>
      <c r="Q264" s="1431"/>
      <c r="R264" s="1431"/>
      <c r="S264" s="4" t="s">
        <v>206</v>
      </c>
      <c r="T264" s="4"/>
      <c r="U264" s="1453"/>
      <c r="V264" s="1453"/>
      <c r="W264" s="1453"/>
      <c r="X264" s="4" t="s">
        <v>89</v>
      </c>
      <c r="Z264" s="1431"/>
      <c r="AA264" s="1431"/>
      <c r="AB264" s="1431"/>
      <c r="AC264" s="1431"/>
      <c r="AD264" s="1431"/>
      <c r="AE264" s="1431"/>
      <c r="AU264" s="4"/>
      <c r="AV264" s="4"/>
      <c r="AW264" s="4"/>
      <c r="AX264" s="4"/>
      <c r="AY264" s="4"/>
      <c r="BN264" s="34"/>
    </row>
    <row r="265" spans="1:66" ht="13" customHeight="1">
      <c r="A265" s="19"/>
      <c r="B265" s="4"/>
      <c r="C265" s="4"/>
      <c r="D265" s="4" t="s">
        <v>90</v>
      </c>
      <c r="E265" s="4"/>
      <c r="F265" s="4"/>
      <c r="M265" s="1795" t="str">
        <f>$M$257</f>
        <v>sanpablo.housing@cshousing.org</v>
      </c>
      <c r="N265" s="1795"/>
      <c r="O265" s="1795"/>
      <c r="P265" s="1795"/>
      <c r="Q265" s="1795"/>
      <c r="R265" s="1795"/>
      <c r="S265" s="1795"/>
      <c r="T265" s="1795"/>
      <c r="U265" s="1795"/>
      <c r="V265" s="1795"/>
      <c r="W265" s="1795"/>
      <c r="X265" s="1795"/>
      <c r="Y265" s="1795"/>
      <c r="Z265" s="1795"/>
      <c r="AA265" s="1795"/>
      <c r="AB265" s="1795"/>
      <c r="AC265" s="1795"/>
      <c r="AD265" s="1795"/>
      <c r="AE265" s="1795"/>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64" t="s">
        <v>534</v>
      </c>
      <c r="N266" s="1464"/>
      <c r="O266" s="1464"/>
      <c r="P266" s="1464"/>
      <c r="Q266" s="1464"/>
      <c r="R266" s="1464"/>
      <c r="S266" s="1464"/>
      <c r="T266" s="1464"/>
      <c r="U266" s="204" t="s">
        <v>906</v>
      </c>
      <c r="V266" s="204"/>
      <c r="W266" s="204"/>
      <c r="X266" s="204"/>
      <c r="Y266" s="204"/>
      <c r="Z266" s="204"/>
      <c r="AA266" s="1796" t="s">
        <v>2663</v>
      </c>
      <c r="AB266" s="1796"/>
      <c r="AC266" s="1796"/>
      <c r="AD266" s="1796"/>
      <c r="AE266" s="1796"/>
      <c r="AF266" s="1796"/>
      <c r="AG266" s="1796"/>
      <c r="AH266" s="1796"/>
      <c r="AI266" s="1796"/>
      <c r="AJ266" s="1796"/>
      <c r="AK266" s="179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30" t="s">
        <v>2664</v>
      </c>
      <c r="N268" s="1430"/>
      <c r="O268" s="1430"/>
      <c r="P268" s="1430"/>
      <c r="Q268" s="1430"/>
      <c r="R268" s="1430"/>
      <c r="S268" s="1430"/>
      <c r="T268" s="1430"/>
      <c r="U268" s="1430"/>
      <c r="V268" s="1430"/>
      <c r="W268" s="1430"/>
      <c r="X268" s="1430"/>
      <c r="Y268" s="1430"/>
      <c r="Z268" s="1430"/>
      <c r="AA268" s="1430"/>
      <c r="AB268" s="1430"/>
      <c r="AC268" s="1430"/>
      <c r="AD268" s="1430"/>
      <c r="AE268" s="1430"/>
      <c r="AF268" s="1430" t="s">
        <v>2661</v>
      </c>
      <c r="AG268" s="1430"/>
      <c r="AH268" s="1430"/>
      <c r="AI268" s="1430"/>
      <c r="AJ268" s="1430"/>
      <c r="AK268" s="143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27" t="s">
        <v>2665</v>
      </c>
      <c r="N269" s="1427"/>
      <c r="O269" s="1427"/>
      <c r="P269" s="1427"/>
      <c r="Q269" s="1427"/>
      <c r="R269" s="1427"/>
      <c r="S269" s="1427"/>
      <c r="T269" s="1427"/>
      <c r="U269" s="1427"/>
      <c r="V269" s="1427"/>
      <c r="W269" s="1427"/>
      <c r="X269" s="1427"/>
      <c r="Y269" s="1427"/>
      <c r="Z269" s="1427"/>
      <c r="AA269" s="1427"/>
      <c r="AB269" s="1427"/>
      <c r="AC269" s="1427"/>
      <c r="AD269" s="1427"/>
      <c r="AE269" s="1427"/>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27" t="s">
        <v>68</v>
      </c>
      <c r="N270" s="1427"/>
      <c r="O270" s="1427"/>
      <c r="P270" s="1427"/>
      <c r="Q270" s="1427"/>
      <c r="R270" s="1427"/>
      <c r="S270" s="1427"/>
      <c r="T270" s="1427"/>
      <c r="V270" s="33" t="s">
        <v>86</v>
      </c>
      <c r="W270" s="1453"/>
      <c r="X270" s="1453"/>
      <c r="Y270" s="4" t="s">
        <v>583</v>
      </c>
      <c r="AC270" s="1427"/>
      <c r="AD270" s="1427"/>
      <c r="AE270" s="1427"/>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27" t="s">
        <v>2666</v>
      </c>
      <c r="N271" s="1427"/>
      <c r="O271" s="1427"/>
      <c r="P271" s="1427"/>
      <c r="Q271" s="1427"/>
      <c r="R271" s="1427"/>
      <c r="S271" s="1427"/>
      <c r="T271" s="1427"/>
      <c r="U271" s="1427"/>
      <c r="V271" s="1427"/>
      <c r="W271" s="1427"/>
      <c r="X271" s="1427"/>
      <c r="Y271" s="1427"/>
      <c r="Z271" s="1427"/>
      <c r="AA271" s="1427"/>
      <c r="AB271" s="1427"/>
      <c r="AC271" s="1427"/>
      <c r="AD271" s="1427"/>
      <c r="AE271" s="1427"/>
      <c r="AH271" s="1789">
        <v>1E-4</v>
      </c>
      <c r="AI271" s="1789"/>
      <c r="AJ271" s="1789"/>
      <c r="AK271" s="178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31" t="s">
        <v>2667</v>
      </c>
      <c r="N272" s="1431"/>
      <c r="O272" s="1431"/>
      <c r="P272" s="1431"/>
      <c r="Q272" s="1431"/>
      <c r="R272" s="1431"/>
      <c r="S272" s="4" t="s">
        <v>206</v>
      </c>
      <c r="T272" s="4"/>
      <c r="U272" s="1453"/>
      <c r="V272" s="1453"/>
      <c r="W272" s="1453"/>
      <c r="X272" s="4" t="s">
        <v>89</v>
      </c>
      <c r="Z272" s="1431"/>
      <c r="AA272" s="1431"/>
      <c r="AB272" s="1431"/>
      <c r="AC272" s="1431"/>
      <c r="AD272" s="1431"/>
      <c r="AE272" s="143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5" t="s">
        <v>2668</v>
      </c>
      <c r="N273" s="1795"/>
      <c r="O273" s="1795"/>
      <c r="P273" s="1795"/>
      <c r="Q273" s="1795"/>
      <c r="R273" s="1795"/>
      <c r="S273" s="1795"/>
      <c r="T273" s="1795"/>
      <c r="U273" s="1795"/>
      <c r="V273" s="1795"/>
      <c r="W273" s="1795"/>
      <c r="X273" s="1795"/>
      <c r="Y273" s="1795"/>
      <c r="Z273" s="1795"/>
      <c r="AA273" s="1816"/>
      <c r="AB273" s="1816"/>
      <c r="AC273" s="1816"/>
      <c r="AD273" s="1816"/>
      <c r="AE273" s="1816"/>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64" t="s">
        <v>534</v>
      </c>
      <c r="N274" s="1464"/>
      <c r="O274" s="1464"/>
      <c r="P274" s="1464"/>
      <c r="Q274" s="1464"/>
      <c r="R274" s="1464"/>
      <c r="S274" s="1464"/>
      <c r="T274" s="1464"/>
      <c r="U274" s="204" t="s">
        <v>906</v>
      </c>
      <c r="V274" s="204"/>
      <c r="W274" s="204"/>
      <c r="X274" s="204"/>
      <c r="Y274" s="204"/>
      <c r="Z274" s="204"/>
      <c r="AA274" s="1818" t="s">
        <v>2663</v>
      </c>
      <c r="AB274" s="1819"/>
      <c r="AC274" s="1819"/>
      <c r="AD274" s="1819"/>
      <c r="AE274" s="1819"/>
      <c r="AF274" s="1819"/>
      <c r="AG274" s="1819"/>
      <c r="AH274" s="1819"/>
      <c r="AI274" s="1819"/>
      <c r="AJ274" s="1819"/>
      <c r="AK274" s="1819"/>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90" t="str">
        <f>IFERROR(BO254,"")</f>
        <v>Joint Venture</v>
      </c>
      <c r="U276" s="1790"/>
      <c r="V276" s="1790"/>
      <c r="W276" s="1790"/>
      <c r="X276" s="1790"/>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27" t="s">
        <v>173</v>
      </c>
      <c r="E279" s="1427"/>
      <c r="F279" s="1427"/>
      <c r="G279" s="1427"/>
      <c r="H279" s="1427"/>
      <c r="J279" t="s">
        <v>279</v>
      </c>
      <c r="X279" s="1727">
        <v>46174</v>
      </c>
      <c r="Y279" s="1727"/>
      <c r="Z279" s="1727"/>
      <c r="AA279" s="1727"/>
      <c r="AB279" s="1727"/>
      <c r="AC279" s="172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30" t="s">
        <v>2644</v>
      </c>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7" t="str">
        <f>$M$242</f>
        <v>1015 Saint Joseph Ave</v>
      </c>
      <c r="M284" s="1427"/>
      <c r="N284" s="1427"/>
      <c r="O284" s="1427"/>
      <c r="P284" s="1427"/>
      <c r="Q284" s="1427"/>
      <c r="R284" s="1427"/>
      <c r="S284" s="1427"/>
      <c r="T284" s="1427"/>
      <c r="U284" s="1427"/>
      <c r="V284" s="1427"/>
      <c r="W284" s="1427"/>
      <c r="X284" s="1427"/>
      <c r="Y284" s="1427"/>
      <c r="Z284" s="1427"/>
      <c r="AA284" s="1427"/>
      <c r="AB284" s="1427"/>
      <c r="AC284" s="1427"/>
      <c r="AD284" s="1427"/>
      <c r="AK284" s="3"/>
      <c r="AL284" s="3"/>
      <c r="AM284" s="3"/>
      <c r="AN284" s="3"/>
      <c r="AO284" s="3"/>
      <c r="AP284" s="3"/>
      <c r="AQ284" s="3"/>
      <c r="AR284" s="3"/>
      <c r="AS284" s="3"/>
      <c r="AT284" s="3"/>
      <c r="AU284" s="3"/>
      <c r="AV284" s="3"/>
      <c r="AW284" s="3"/>
      <c r="AX284" s="3"/>
      <c r="AY284" s="3"/>
    </row>
    <row r="285" spans="1:51" ht="13" customHeight="1">
      <c r="D285" s="4" t="s">
        <v>580</v>
      </c>
      <c r="E285" s="4"/>
      <c r="L285" s="1427" t="str">
        <f>$M$243</f>
        <v>Los Altos</v>
      </c>
      <c r="M285" s="1427"/>
      <c r="N285" s="1427"/>
      <c r="O285" s="1427"/>
      <c r="P285" s="1427"/>
      <c r="Q285" s="1427"/>
      <c r="R285" s="1427"/>
      <c r="S285" s="1427"/>
      <c r="U285" s="33" t="s">
        <v>86</v>
      </c>
      <c r="V285" s="1453"/>
      <c r="W285" s="1453"/>
      <c r="X285" s="4" t="s">
        <v>583</v>
      </c>
      <c r="AB285" s="1427"/>
      <c r="AC285" s="1427"/>
      <c r="AD285" s="1427"/>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7" t="str">
        <f>$M$244</f>
        <v>Punit Bhargava</v>
      </c>
      <c r="M286" s="1427"/>
      <c r="N286" s="1427"/>
      <c r="O286" s="1427"/>
      <c r="P286" s="1427"/>
      <c r="Q286" s="1427"/>
      <c r="R286" s="1427"/>
      <c r="S286" s="1427"/>
      <c r="T286" s="1427"/>
      <c r="U286" s="1427"/>
      <c r="V286" s="1427"/>
      <c r="W286" s="1427"/>
      <c r="X286" s="1427"/>
      <c r="Y286" s="1427"/>
      <c r="Z286" s="1427"/>
      <c r="AA286" s="1427"/>
      <c r="AB286" s="1427"/>
      <c r="AC286" s="1427"/>
      <c r="AD286" s="1427"/>
      <c r="AI286" s="4"/>
      <c r="AJ286" s="4"/>
      <c r="AK286" s="3"/>
      <c r="AL286" s="3"/>
      <c r="AM286" s="3"/>
      <c r="AN286" s="3"/>
      <c r="AO286" s="3"/>
      <c r="AP286" s="3"/>
      <c r="AQ286" s="3"/>
      <c r="AR286" s="3"/>
      <c r="AS286" s="3"/>
      <c r="AT286" s="3"/>
    </row>
    <row r="287" spans="1:51" ht="13" customHeight="1">
      <c r="D287" s="4" t="s">
        <v>88</v>
      </c>
      <c r="E287" s="4"/>
      <c r="F287" s="4"/>
      <c r="L287" s="1431" t="str">
        <f>$M$245</f>
        <v>408-647-4720</v>
      </c>
      <c r="M287" s="1431"/>
      <c r="N287" s="1431"/>
      <c r="O287" s="1431"/>
      <c r="P287" s="1431"/>
      <c r="Q287" s="1431"/>
      <c r="R287" s="4" t="s">
        <v>206</v>
      </c>
      <c r="S287" s="4"/>
      <c r="T287" s="1453"/>
      <c r="U287" s="1453"/>
      <c r="V287" s="1453"/>
      <c r="W287" s="4" t="s">
        <v>89</v>
      </c>
      <c r="Y287" s="1431"/>
      <c r="Z287" s="1431"/>
      <c r="AA287" s="1431"/>
      <c r="AB287" s="1431"/>
      <c r="AC287" s="1431"/>
      <c r="AD287" s="1431"/>
    </row>
    <row r="288" spans="1:51" ht="13" customHeight="1">
      <c r="D288" s="4" t="s">
        <v>90</v>
      </c>
      <c r="E288" s="4"/>
      <c r="F288" s="4"/>
      <c r="L288" s="1795" t="str">
        <f>$M$257</f>
        <v>sanpablo.housing@cshousing.org</v>
      </c>
      <c r="M288" s="1795"/>
      <c r="N288" s="1795"/>
      <c r="O288" s="1795"/>
      <c r="P288" s="1795"/>
      <c r="Q288" s="1795"/>
      <c r="R288" s="1795"/>
      <c r="S288" s="1795"/>
      <c r="T288" s="1795"/>
      <c r="U288" s="1795"/>
      <c r="V288" s="1795"/>
      <c r="W288" s="1795"/>
      <c r="X288" s="1795"/>
      <c r="Y288" s="1795"/>
      <c r="Z288" s="1795"/>
      <c r="AA288" s="1795"/>
      <c r="AB288" s="1795"/>
      <c r="AC288" s="1795"/>
      <c r="AD288" s="1795"/>
      <c r="AF288" s="4"/>
      <c r="AG288" s="4"/>
      <c r="AH288" s="4"/>
      <c r="AI288" s="4"/>
      <c r="AJ288" s="4"/>
      <c r="AU288" s="3"/>
      <c r="AV288" s="3"/>
      <c r="AW288" s="3"/>
      <c r="AX288" s="3"/>
      <c r="AY288" s="3"/>
    </row>
    <row r="289" spans="1:51" ht="13" customHeight="1">
      <c r="D289" s="3" t="s">
        <v>623</v>
      </c>
      <c r="E289" s="3"/>
      <c r="F289" s="3"/>
      <c r="G289" s="3"/>
      <c r="H289" s="3"/>
      <c r="I289" s="3"/>
      <c r="L289" s="1383" t="s">
        <v>2669</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67" t="s">
        <v>541</v>
      </c>
      <c r="B291" s="1467"/>
      <c r="C291" s="1467"/>
      <c r="D291" s="1467"/>
      <c r="E291" s="1467"/>
      <c r="F291" s="1467"/>
      <c r="G291" s="1467"/>
      <c r="H291" s="1467"/>
      <c r="I291" s="1467"/>
      <c r="J291" s="1467"/>
      <c r="K291" s="1467"/>
      <c r="L291" s="1467"/>
      <c r="M291" s="1467"/>
      <c r="N291" s="1467"/>
      <c r="O291" s="1467"/>
      <c r="P291" s="1467"/>
      <c r="Q291" s="1467"/>
      <c r="R291" s="1467"/>
      <c r="S291" s="1467"/>
      <c r="T291" s="1467"/>
      <c r="U291" s="1467"/>
      <c r="V291" s="1467"/>
      <c r="W291" s="1467"/>
      <c r="X291" s="1467"/>
      <c r="Y291" s="1467"/>
      <c r="Z291" s="1467"/>
      <c r="AA291" s="1467"/>
      <c r="AB291" s="1467"/>
      <c r="AC291" s="1467"/>
      <c r="AD291" s="1467"/>
      <c r="AE291" s="1467"/>
      <c r="AF291" s="1467"/>
      <c r="AG291" s="1467"/>
      <c r="AH291" s="1467"/>
      <c r="AI291" s="1467"/>
      <c r="AJ291" s="1467"/>
      <c r="AK291" s="1467"/>
      <c r="AL291" s="1467"/>
      <c r="AM291" s="1467"/>
      <c r="AN291" s="1467"/>
      <c r="AO291" s="1467"/>
      <c r="AP291" s="1467"/>
      <c r="AQ291" s="1467"/>
      <c r="AR291" s="1467"/>
      <c r="AS291" s="1467"/>
      <c r="AT291" s="1467"/>
      <c r="AU291" s="95"/>
      <c r="AV291" s="95"/>
      <c r="AW291" s="95"/>
      <c r="AX291" s="95"/>
      <c r="AY291" s="95"/>
    </row>
    <row r="292" spans="1:51" ht="13" customHeight="1">
      <c r="A292" s="1467"/>
      <c r="B292" s="1467"/>
      <c r="C292" s="1467"/>
      <c r="D292" s="1467"/>
      <c r="E292" s="1467"/>
      <c r="F292" s="1467"/>
      <c r="G292" s="1467"/>
      <c r="H292" s="1467"/>
      <c r="I292" s="1467"/>
      <c r="J292" s="1467"/>
      <c r="K292" s="1467"/>
      <c r="L292" s="1467"/>
      <c r="M292" s="1467"/>
      <c r="N292" s="1467"/>
      <c r="O292" s="1467"/>
      <c r="P292" s="1467"/>
      <c r="Q292" s="1467"/>
      <c r="R292" s="1467"/>
      <c r="S292" s="1467"/>
      <c r="T292" s="1467"/>
      <c r="U292" s="1467"/>
      <c r="V292" s="1467"/>
      <c r="W292" s="1467"/>
      <c r="X292" s="1467"/>
      <c r="Y292" s="1467"/>
      <c r="Z292" s="1467"/>
      <c r="AA292" s="1467"/>
      <c r="AB292" s="1467"/>
      <c r="AC292" s="1467"/>
      <c r="AD292" s="1467"/>
      <c r="AE292" s="1467"/>
      <c r="AF292" s="1467"/>
      <c r="AG292" s="1467"/>
      <c r="AH292" s="1467"/>
      <c r="AI292" s="1467"/>
      <c r="AJ292" s="1467"/>
      <c r="AK292" s="1467"/>
      <c r="AL292" s="1467"/>
      <c r="AM292" s="1467"/>
      <c r="AN292" s="1467"/>
      <c r="AO292" s="1467"/>
      <c r="AP292" s="1467"/>
      <c r="AQ292" s="1467"/>
      <c r="AR292" s="1467"/>
      <c r="AS292" s="1467"/>
      <c r="AT292" s="146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32" t="s">
        <v>2644</v>
      </c>
      <c r="I296" s="1432"/>
      <c r="J296" s="1432"/>
      <c r="K296" s="1432"/>
      <c r="L296" s="1432"/>
      <c r="M296" s="1432"/>
      <c r="N296" s="1432"/>
      <c r="O296" s="1432"/>
      <c r="P296" s="1432"/>
      <c r="Q296" s="1432"/>
      <c r="R296" s="1432"/>
      <c r="T296" s="3" t="s">
        <v>567</v>
      </c>
      <c r="V296" s="3"/>
      <c r="W296" s="3"/>
      <c r="X296" s="3"/>
      <c r="Y296" s="3"/>
      <c r="AA296" s="1432" t="s">
        <v>2712</v>
      </c>
      <c r="AB296" s="1432"/>
      <c r="AC296" s="1432"/>
      <c r="AD296" s="1432"/>
      <c r="AE296" s="1432"/>
      <c r="AF296" s="1432"/>
      <c r="AG296" s="1432"/>
      <c r="AH296" s="1432"/>
      <c r="AI296" s="1432"/>
      <c r="AJ296" s="1432"/>
      <c r="AK296" s="1432"/>
    </row>
    <row r="297" spans="1:51" ht="13" customHeight="1">
      <c r="B297" s="3" t="s">
        <v>471</v>
      </c>
      <c r="C297" s="3"/>
      <c r="D297" s="3"/>
      <c r="E297" s="3"/>
      <c r="F297" s="3"/>
      <c r="H297" s="1464" t="s">
        <v>2658</v>
      </c>
      <c r="I297" s="1464"/>
      <c r="J297" s="1464"/>
      <c r="K297" s="1464"/>
      <c r="L297" s="1464"/>
      <c r="M297" s="1464"/>
      <c r="N297" s="1464"/>
      <c r="O297" s="1464"/>
      <c r="P297" s="1464"/>
      <c r="Q297" s="1464"/>
      <c r="R297" s="1464"/>
      <c r="T297" s="3" t="s">
        <v>471</v>
      </c>
      <c r="V297" s="3"/>
      <c r="W297" s="3"/>
      <c r="X297" s="3"/>
      <c r="Y297" s="3"/>
      <c r="AA297" s="1383" t="s">
        <v>2747</v>
      </c>
      <c r="AB297" s="1464"/>
      <c r="AC297" s="1464"/>
      <c r="AD297" s="1464"/>
      <c r="AE297" s="1464"/>
      <c r="AF297" s="1464"/>
      <c r="AG297" s="1464"/>
      <c r="AH297" s="1464"/>
      <c r="AI297" s="1464"/>
      <c r="AJ297" s="1464"/>
      <c r="AK297" s="1464"/>
    </row>
    <row r="298" spans="1:51" ht="13" customHeight="1">
      <c r="B298" s="3" t="s">
        <v>472</v>
      </c>
      <c r="C298" s="3"/>
      <c r="D298" s="3"/>
      <c r="E298" s="3"/>
      <c r="F298" s="3"/>
      <c r="H298" s="1383" t="s">
        <v>2749</v>
      </c>
      <c r="I298" s="1464"/>
      <c r="J298" s="1464"/>
      <c r="K298" s="1464"/>
      <c r="L298" s="1464"/>
      <c r="M298" s="1464"/>
      <c r="N298" s="1464"/>
      <c r="O298" s="1464"/>
      <c r="P298" s="1464"/>
      <c r="Q298" s="1464"/>
      <c r="R298" s="1464"/>
      <c r="T298" s="3" t="s">
        <v>75</v>
      </c>
      <c r="V298" s="3"/>
      <c r="W298" s="3"/>
      <c r="X298" s="3"/>
      <c r="Y298" s="3"/>
      <c r="AA298" s="1383" t="s">
        <v>2748</v>
      </c>
      <c r="AB298" s="1464"/>
      <c r="AC298" s="1464"/>
      <c r="AD298" s="1464"/>
      <c r="AE298" s="1464"/>
      <c r="AF298" s="1464"/>
      <c r="AG298" s="1464"/>
      <c r="AH298" s="1464"/>
      <c r="AI298" s="1464"/>
      <c r="AJ298" s="1464"/>
      <c r="AK298" s="1464"/>
    </row>
    <row r="299" spans="1:51" ht="13" customHeight="1">
      <c r="B299" s="3" t="s">
        <v>87</v>
      </c>
      <c r="C299" s="3"/>
      <c r="D299" s="3"/>
      <c r="E299" s="3"/>
      <c r="F299" s="3"/>
      <c r="H299" s="1464" t="str">
        <f>L286</f>
        <v>Punit Bhargava</v>
      </c>
      <c r="I299" s="1464"/>
      <c r="J299" s="1464"/>
      <c r="K299" s="1464"/>
      <c r="L299" s="1464"/>
      <c r="M299" s="1464"/>
      <c r="N299" s="1464"/>
      <c r="O299" s="1464"/>
      <c r="P299" s="1464"/>
      <c r="Q299" s="1464"/>
      <c r="R299" s="1464"/>
      <c r="T299" s="3" t="s">
        <v>87</v>
      </c>
      <c r="V299" s="3"/>
      <c r="W299" s="3"/>
      <c r="X299" s="3"/>
      <c r="Y299" s="3"/>
      <c r="AA299" s="1464" t="s">
        <v>2713</v>
      </c>
      <c r="AB299" s="1464"/>
      <c r="AC299" s="1464"/>
      <c r="AD299" s="1464"/>
      <c r="AE299" s="1464"/>
      <c r="AF299" s="1464"/>
      <c r="AG299" s="1464"/>
      <c r="AH299" s="1464"/>
      <c r="AI299" s="1464"/>
      <c r="AJ299" s="1464"/>
      <c r="AK299" s="1464"/>
    </row>
    <row r="300" spans="1:51" ht="13" customHeight="1">
      <c r="B300" s="3" t="s">
        <v>88</v>
      </c>
      <c r="C300" s="3"/>
      <c r="D300" s="3"/>
      <c r="E300" s="3"/>
      <c r="F300" s="3"/>
      <c r="G300" s="3"/>
      <c r="H300" s="1515" t="str">
        <f>$M$245</f>
        <v>408-647-4720</v>
      </c>
      <c r="I300" s="1515"/>
      <c r="J300" s="1515"/>
      <c r="K300" s="1515"/>
      <c r="L300" s="1515"/>
      <c r="M300" s="1515"/>
      <c r="N300" s="4" t="s">
        <v>206</v>
      </c>
      <c r="O300" s="4"/>
      <c r="P300" s="1427"/>
      <c r="Q300" s="1427"/>
      <c r="R300" s="1427"/>
      <c r="S300" s="3"/>
      <c r="T300" s="3" t="s">
        <v>88</v>
      </c>
      <c r="V300" s="3"/>
      <c r="W300" s="3"/>
      <c r="X300" s="3"/>
      <c r="Y300" s="3"/>
      <c r="AA300" s="1515" t="s">
        <v>2714</v>
      </c>
      <c r="AB300" s="1515"/>
      <c r="AC300" s="1515"/>
      <c r="AD300" s="1515"/>
      <c r="AE300" s="1515"/>
      <c r="AF300" s="1515"/>
      <c r="AG300" s="4" t="s">
        <v>206</v>
      </c>
      <c r="AH300" s="4"/>
      <c r="AI300" s="1427"/>
      <c r="AJ300" s="1427"/>
      <c r="AK300" s="1427"/>
    </row>
    <row r="301" spans="1:51" ht="13" customHeight="1">
      <c r="B301" s="3" t="s">
        <v>89</v>
      </c>
      <c r="C301" s="3"/>
      <c r="D301" s="3"/>
      <c r="E301" s="3"/>
      <c r="F301" s="3"/>
      <c r="G301" s="3"/>
      <c r="H301" s="1431"/>
      <c r="I301" s="1431"/>
      <c r="J301" s="1431"/>
      <c r="K301" s="1431"/>
      <c r="L301" s="1431"/>
      <c r="M301" s="1431"/>
      <c r="N301" s="4"/>
      <c r="O301" s="4"/>
      <c r="P301" s="35"/>
      <c r="Q301" s="35"/>
      <c r="R301" s="35"/>
      <c r="S301" s="3"/>
      <c r="T301" s="3" t="s">
        <v>89</v>
      </c>
      <c r="V301" s="3"/>
      <c r="W301" s="3"/>
      <c r="X301" s="3"/>
      <c r="Y301" s="3"/>
      <c r="AA301" s="1431"/>
      <c r="AB301" s="1431"/>
      <c r="AC301" s="1431"/>
      <c r="AD301" s="1431"/>
      <c r="AE301" s="1431"/>
      <c r="AF301" s="1431"/>
      <c r="AG301" s="4"/>
      <c r="AH301" s="4"/>
      <c r="AI301" s="35"/>
      <c r="AJ301" s="35"/>
      <c r="AK301" s="35"/>
    </row>
    <row r="302" spans="1:51" ht="13" customHeight="1">
      <c r="B302" s="3" t="s">
        <v>76</v>
      </c>
      <c r="C302" s="3"/>
      <c r="D302" s="3"/>
      <c r="E302" s="3"/>
      <c r="F302" s="3"/>
      <c r="G302" s="3"/>
      <c r="H302" s="1383" t="s">
        <v>2760</v>
      </c>
      <c r="I302" s="1464"/>
      <c r="J302" s="1464"/>
      <c r="K302" s="1464"/>
      <c r="L302" s="1464"/>
      <c r="M302" s="1464"/>
      <c r="N302" s="1432"/>
      <c r="O302" s="1432"/>
      <c r="P302" s="1432"/>
      <c r="Q302" s="1432"/>
      <c r="R302" s="1432"/>
      <c r="S302" s="3"/>
      <c r="T302" s="3" t="s">
        <v>76</v>
      </c>
      <c r="V302" s="3"/>
      <c r="W302" s="3"/>
      <c r="X302" s="3"/>
      <c r="Y302" s="3"/>
      <c r="AA302" s="1464" t="s">
        <v>2715</v>
      </c>
      <c r="AB302" s="1464"/>
      <c r="AC302" s="1464"/>
      <c r="AD302" s="1464"/>
      <c r="AE302" s="1464"/>
      <c r="AF302" s="1464"/>
      <c r="AG302" s="1432"/>
      <c r="AH302" s="1432"/>
      <c r="AI302" s="1432"/>
      <c r="AJ302" s="1432"/>
      <c r="AK302" s="143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6" t="s">
        <v>2670</v>
      </c>
      <c r="I304" s="1432"/>
      <c r="J304" s="1432"/>
      <c r="K304" s="1432"/>
      <c r="L304" s="1432"/>
      <c r="M304" s="1432"/>
      <c r="N304" s="1432"/>
      <c r="O304" s="1432"/>
      <c r="P304" s="1432"/>
      <c r="Q304" s="1432"/>
      <c r="R304" s="1432"/>
      <c r="T304" s="3" t="s">
        <v>364</v>
      </c>
      <c r="V304" s="3"/>
      <c r="W304" s="3"/>
      <c r="X304" s="3"/>
      <c r="Y304" s="3"/>
      <c r="AA304" s="1432" t="s">
        <v>2709</v>
      </c>
      <c r="AB304" s="1432"/>
      <c r="AC304" s="1432"/>
      <c r="AD304" s="1432"/>
      <c r="AE304" s="1432"/>
      <c r="AF304" s="1432"/>
      <c r="AG304" s="1432"/>
      <c r="AH304" s="1432"/>
      <c r="AI304" s="1432"/>
      <c r="AJ304" s="1432"/>
      <c r="AK304" s="1432"/>
    </row>
    <row r="305" spans="2:72" ht="13" customHeight="1">
      <c r="B305" s="3" t="s">
        <v>471</v>
      </c>
      <c r="C305" s="3"/>
      <c r="D305" s="3"/>
      <c r="E305" s="3"/>
      <c r="F305" s="3"/>
      <c r="H305" s="1464"/>
      <c r="I305" s="1464"/>
      <c r="J305" s="1464"/>
      <c r="K305" s="1464"/>
      <c r="L305" s="1464"/>
      <c r="M305" s="1464"/>
      <c r="N305" s="1464"/>
      <c r="O305" s="1464"/>
      <c r="P305" s="1464"/>
      <c r="Q305" s="1464"/>
      <c r="R305" s="1464"/>
      <c r="T305" s="3" t="s">
        <v>471</v>
      </c>
      <c r="V305" s="3"/>
      <c r="W305" s="3"/>
      <c r="X305" s="3"/>
      <c r="Y305" s="3"/>
      <c r="AA305" s="1464" t="str">
        <f>H297</f>
        <v>1015 Saint Joseph Ave</v>
      </c>
      <c r="AB305" s="1464"/>
      <c r="AC305" s="1464"/>
      <c r="AD305" s="1464"/>
      <c r="AE305" s="1464"/>
      <c r="AF305" s="1464"/>
      <c r="AG305" s="1464"/>
      <c r="AH305" s="1464"/>
      <c r="AI305" s="1464"/>
      <c r="AJ305" s="1464"/>
      <c r="AK305" s="146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64"/>
      <c r="I306" s="1464"/>
      <c r="J306" s="1464"/>
      <c r="K306" s="1464"/>
      <c r="L306" s="1464"/>
      <c r="M306" s="1464"/>
      <c r="N306" s="1464"/>
      <c r="O306" s="1464"/>
      <c r="P306" s="1464"/>
      <c r="Q306" s="1464"/>
      <c r="R306" s="1464"/>
      <c r="T306" s="3" t="s">
        <v>75</v>
      </c>
      <c r="V306" s="3"/>
      <c r="W306" s="3"/>
      <c r="X306" s="3"/>
      <c r="Y306" s="3"/>
      <c r="AA306" s="1464" t="str">
        <f>H298</f>
        <v>Los Altos, CA 94024</v>
      </c>
      <c r="AB306" s="1464"/>
      <c r="AC306" s="1464"/>
      <c r="AD306" s="1464"/>
      <c r="AE306" s="1464"/>
      <c r="AF306" s="1464"/>
      <c r="AG306" s="1464"/>
      <c r="AH306" s="1464"/>
      <c r="AI306" s="1464"/>
      <c r="AJ306" s="1464"/>
      <c r="AK306" s="146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64"/>
      <c r="I307" s="1464"/>
      <c r="J307" s="1464"/>
      <c r="K307" s="1464"/>
      <c r="L307" s="1464"/>
      <c r="M307" s="1464"/>
      <c r="N307" s="1464"/>
      <c r="O307" s="1464"/>
      <c r="P307" s="1464"/>
      <c r="Q307" s="1464"/>
      <c r="R307" s="1464"/>
      <c r="T307" s="3" t="s">
        <v>87</v>
      </c>
      <c r="V307" s="3"/>
      <c r="W307" s="3"/>
      <c r="X307" s="3"/>
      <c r="Y307" s="3"/>
      <c r="AA307" s="1464" t="s">
        <v>2710</v>
      </c>
      <c r="AB307" s="1464"/>
      <c r="AC307" s="1464"/>
      <c r="AD307" s="1464"/>
      <c r="AE307" s="1464"/>
      <c r="AF307" s="1464"/>
      <c r="AG307" s="1464"/>
      <c r="AH307" s="1464"/>
      <c r="AI307" s="1464"/>
      <c r="AJ307" s="1464"/>
      <c r="AK307" s="1464"/>
    </row>
    <row r="308" spans="2:72" ht="13" customHeight="1">
      <c r="B308" s="3" t="s">
        <v>88</v>
      </c>
      <c r="C308" s="3"/>
      <c r="D308" s="3"/>
      <c r="E308" s="3"/>
      <c r="F308" s="3"/>
      <c r="G308" s="3"/>
      <c r="H308" s="1515"/>
      <c r="I308" s="1515"/>
      <c r="J308" s="1515"/>
      <c r="K308" s="1515"/>
      <c r="L308" s="1515"/>
      <c r="M308" s="1515"/>
      <c r="N308" s="4" t="s">
        <v>206</v>
      </c>
      <c r="O308" s="4"/>
      <c r="P308" s="1427"/>
      <c r="Q308" s="1427"/>
      <c r="R308" s="1427"/>
      <c r="S308" s="3"/>
      <c r="T308" s="3" t="s">
        <v>88</v>
      </c>
      <c r="V308" s="3"/>
      <c r="W308" s="3"/>
      <c r="X308" s="3"/>
      <c r="Y308" s="3"/>
      <c r="AA308" s="1515" t="str">
        <f>H300</f>
        <v>408-647-4720</v>
      </c>
      <c r="AB308" s="1515"/>
      <c r="AC308" s="1515"/>
      <c r="AD308" s="1515"/>
      <c r="AE308" s="1515"/>
      <c r="AF308" s="1515"/>
      <c r="AG308" s="4" t="s">
        <v>206</v>
      </c>
      <c r="AH308" s="4"/>
      <c r="AI308" s="1427"/>
      <c r="AJ308" s="1427"/>
      <c r="AK308" s="1427"/>
    </row>
    <row r="309" spans="2:72" ht="13" customHeight="1">
      <c r="B309" s="3" t="s">
        <v>89</v>
      </c>
      <c r="C309" s="3"/>
      <c r="D309" s="3"/>
      <c r="E309" s="3"/>
      <c r="F309" s="3"/>
      <c r="G309" s="3"/>
      <c r="H309" s="1431"/>
      <c r="I309" s="1431"/>
      <c r="J309" s="1431"/>
      <c r="K309" s="1431"/>
      <c r="L309" s="1431"/>
      <c r="M309" s="1431"/>
      <c r="N309" s="4"/>
      <c r="O309" s="4"/>
      <c r="P309" s="35"/>
      <c r="Q309" s="35"/>
      <c r="R309" s="35"/>
      <c r="S309" s="3"/>
      <c r="T309" s="3" t="s">
        <v>89</v>
      </c>
      <c r="V309" s="3"/>
      <c r="W309" s="3"/>
      <c r="X309" s="3"/>
      <c r="Y309" s="3"/>
      <c r="AA309" s="1431"/>
      <c r="AB309" s="1431"/>
      <c r="AC309" s="1431"/>
      <c r="AD309" s="1431"/>
      <c r="AE309" s="1431"/>
      <c r="AF309" s="1431"/>
      <c r="AG309" s="4"/>
      <c r="AH309" s="4"/>
      <c r="AI309" s="35"/>
      <c r="AJ309" s="35"/>
      <c r="AK309" s="35"/>
    </row>
    <row r="310" spans="2:72" ht="13" customHeight="1">
      <c r="B310" s="3" t="s">
        <v>76</v>
      </c>
      <c r="C310" s="3"/>
      <c r="D310" s="3"/>
      <c r="E310" s="3"/>
      <c r="F310" s="3"/>
      <c r="G310" s="3"/>
      <c r="H310" s="1464"/>
      <c r="I310" s="1464"/>
      <c r="J310" s="1464"/>
      <c r="K310" s="1464"/>
      <c r="L310" s="1464"/>
      <c r="M310" s="1464"/>
      <c r="N310" s="1432"/>
      <c r="O310" s="1432"/>
      <c r="P310" s="1432"/>
      <c r="Q310" s="1432"/>
      <c r="R310" s="1432"/>
      <c r="S310" s="3"/>
      <c r="T310" s="3" t="s">
        <v>76</v>
      </c>
      <c r="V310" s="3"/>
      <c r="W310" s="3"/>
      <c r="X310" s="3"/>
      <c r="Y310" s="3"/>
      <c r="AA310" s="1464" t="s">
        <v>2711</v>
      </c>
      <c r="AB310" s="1464"/>
      <c r="AC310" s="1464"/>
      <c r="AD310" s="1464"/>
      <c r="AE310" s="1464"/>
      <c r="AF310" s="1464"/>
      <c r="AG310" s="1432"/>
      <c r="AH310" s="1432"/>
      <c r="AI310" s="1432"/>
      <c r="AJ310" s="1432"/>
      <c r="AK310" s="1432"/>
    </row>
    <row r="311" spans="2:72" ht="13" customHeight="1"/>
    <row r="312" spans="2:72" ht="13" customHeight="1">
      <c r="B312" s="3" t="s">
        <v>77</v>
      </c>
      <c r="C312" s="3"/>
      <c r="D312" s="3"/>
      <c r="E312" s="3"/>
      <c r="F312" s="3"/>
      <c r="H312" s="1432" t="s">
        <v>2671</v>
      </c>
      <c r="I312" s="1432"/>
      <c r="J312" s="1432"/>
      <c r="K312" s="1432"/>
      <c r="L312" s="1432"/>
      <c r="M312" s="1432"/>
      <c r="N312" s="1432"/>
      <c r="O312" s="1432"/>
      <c r="P312" s="1432"/>
      <c r="Q312" s="1432"/>
      <c r="R312" s="1432"/>
      <c r="T312" s="4" t="s">
        <v>878</v>
      </c>
      <c r="V312" s="3"/>
      <c r="W312" s="3"/>
      <c r="X312" s="3"/>
      <c r="Y312" s="3"/>
      <c r="AA312" s="1432" t="s">
        <v>2702</v>
      </c>
      <c r="AB312" s="1432"/>
      <c r="AC312" s="1432"/>
      <c r="AD312" s="1432"/>
      <c r="AE312" s="1432"/>
      <c r="AF312" s="1432"/>
      <c r="AG312" s="1432"/>
      <c r="AH312" s="1432"/>
      <c r="AI312" s="1432"/>
      <c r="AJ312" s="1432"/>
      <c r="AK312" s="1432"/>
    </row>
    <row r="313" spans="2:72" ht="13" customHeight="1">
      <c r="B313" s="3" t="s">
        <v>471</v>
      </c>
      <c r="C313" s="3"/>
      <c r="D313" s="3"/>
      <c r="E313" s="3"/>
      <c r="F313" s="3"/>
      <c r="H313" s="1464" t="s">
        <v>2672</v>
      </c>
      <c r="I313" s="1464"/>
      <c r="J313" s="1464"/>
      <c r="K313" s="1464"/>
      <c r="L313" s="1464"/>
      <c r="M313" s="1464"/>
      <c r="N313" s="1464"/>
      <c r="O313" s="1464"/>
      <c r="P313" s="1464"/>
      <c r="Q313" s="1464"/>
      <c r="R313" s="1464"/>
      <c r="T313" s="3" t="s">
        <v>471</v>
      </c>
      <c r="V313" s="3"/>
      <c r="W313" s="3"/>
      <c r="X313" s="3"/>
      <c r="Y313" s="3"/>
      <c r="AA313" s="1464" t="s">
        <v>2703</v>
      </c>
      <c r="AB313" s="1464"/>
      <c r="AC313" s="1464"/>
      <c r="AD313" s="1464"/>
      <c r="AE313" s="1464"/>
      <c r="AF313" s="1464"/>
      <c r="AG313" s="1464"/>
      <c r="AH313" s="1464"/>
      <c r="AI313" s="1464"/>
      <c r="AJ313" s="1464"/>
      <c r="AK313" s="1464"/>
    </row>
    <row r="314" spans="2:72" ht="13" customHeight="1">
      <c r="B314" s="3" t="s">
        <v>472</v>
      </c>
      <c r="C314" s="3"/>
      <c r="D314" s="3"/>
      <c r="E314" s="3"/>
      <c r="F314" s="3"/>
      <c r="H314" s="1464" t="s">
        <v>2673</v>
      </c>
      <c r="I314" s="1464"/>
      <c r="J314" s="1464"/>
      <c r="K314" s="1464"/>
      <c r="L314" s="1464"/>
      <c r="M314" s="1464"/>
      <c r="N314" s="1464"/>
      <c r="O314" s="1464"/>
      <c r="P314" s="1464"/>
      <c r="Q314" s="1464"/>
      <c r="R314" s="1464"/>
      <c r="T314" s="3" t="s">
        <v>75</v>
      </c>
      <c r="V314" s="3"/>
      <c r="W314" s="3"/>
      <c r="X314" s="3"/>
      <c r="Y314" s="3"/>
      <c r="AA314" s="1464" t="s">
        <v>2704</v>
      </c>
      <c r="AB314" s="1464"/>
      <c r="AC314" s="1464"/>
      <c r="AD314" s="1464"/>
      <c r="AE314" s="1464"/>
      <c r="AF314" s="1464"/>
      <c r="AG314" s="1464"/>
      <c r="AH314" s="1464"/>
      <c r="AI314" s="1464"/>
      <c r="AJ314" s="1464"/>
      <c r="AK314" s="1464"/>
    </row>
    <row r="315" spans="2:72" ht="13" customHeight="1">
      <c r="B315" s="3" t="s">
        <v>87</v>
      </c>
      <c r="C315" s="3"/>
      <c r="D315" s="3"/>
      <c r="E315" s="3"/>
      <c r="F315" s="3"/>
      <c r="H315" s="1464" t="s">
        <v>2674</v>
      </c>
      <c r="I315" s="1464"/>
      <c r="J315" s="1464"/>
      <c r="K315" s="1464"/>
      <c r="L315" s="1464"/>
      <c r="M315" s="1464"/>
      <c r="N315" s="1464"/>
      <c r="O315" s="1464"/>
      <c r="P315" s="1464"/>
      <c r="Q315" s="1464"/>
      <c r="R315" s="1464"/>
      <c r="T315" s="3" t="s">
        <v>87</v>
      </c>
      <c r="V315" s="3"/>
      <c r="W315" s="3"/>
      <c r="X315" s="3"/>
      <c r="Y315" s="3"/>
      <c r="AA315" s="1464" t="s">
        <v>2705</v>
      </c>
      <c r="AB315" s="1464"/>
      <c r="AC315" s="1464"/>
      <c r="AD315" s="1464"/>
      <c r="AE315" s="1464"/>
      <c r="AF315" s="1464"/>
      <c r="AG315" s="1464"/>
      <c r="AH315" s="1464"/>
      <c r="AI315" s="1464"/>
      <c r="AJ315" s="1464"/>
      <c r="AK315" s="1464"/>
    </row>
    <row r="316" spans="2:72" ht="13" customHeight="1">
      <c r="B316" s="3" t="s">
        <v>88</v>
      </c>
      <c r="C316" s="3"/>
      <c r="D316" s="3"/>
      <c r="E316" s="3"/>
      <c r="F316" s="3"/>
      <c r="G316" s="3"/>
      <c r="H316" s="1515" t="s">
        <v>2675</v>
      </c>
      <c r="I316" s="1515"/>
      <c r="J316" s="1515"/>
      <c r="K316" s="1515"/>
      <c r="L316" s="1515"/>
      <c r="M316" s="1515"/>
      <c r="N316" s="4" t="s">
        <v>206</v>
      </c>
      <c r="O316" s="4"/>
      <c r="P316" s="1427"/>
      <c r="Q316" s="1427"/>
      <c r="R316" s="1427"/>
      <c r="S316" s="3"/>
      <c r="T316" s="3" t="s">
        <v>88</v>
      </c>
      <c r="V316" s="3"/>
      <c r="W316" s="3"/>
      <c r="X316" s="3"/>
      <c r="Y316" s="3"/>
      <c r="AA316" s="1515" t="s">
        <v>2706</v>
      </c>
      <c r="AB316" s="1515"/>
      <c r="AC316" s="1515"/>
      <c r="AD316" s="1515"/>
      <c r="AE316" s="1515"/>
      <c r="AF316" s="1515"/>
      <c r="AG316" s="4" t="s">
        <v>206</v>
      </c>
      <c r="AH316" s="4"/>
      <c r="AI316" s="1427"/>
      <c r="AJ316" s="1427"/>
      <c r="AK316" s="1427"/>
    </row>
    <row r="317" spans="2:72" ht="13" customHeight="1">
      <c r="B317" s="3" t="s">
        <v>89</v>
      </c>
      <c r="C317" s="3"/>
      <c r="D317" s="3"/>
      <c r="E317" s="3"/>
      <c r="F317" s="3"/>
      <c r="G317" s="3"/>
      <c r="H317" s="1431"/>
      <c r="I317" s="1431"/>
      <c r="J317" s="1431"/>
      <c r="K317" s="1431"/>
      <c r="L317" s="1431"/>
      <c r="M317" s="1431"/>
      <c r="N317" s="4"/>
      <c r="O317" s="4"/>
      <c r="P317" s="35"/>
      <c r="Q317" s="35"/>
      <c r="R317" s="35"/>
      <c r="S317" s="3"/>
      <c r="T317" s="3" t="s">
        <v>89</v>
      </c>
      <c r="V317" s="3"/>
      <c r="W317" s="3"/>
      <c r="X317" s="3"/>
      <c r="Y317" s="3"/>
      <c r="AA317" s="1431" t="s">
        <v>2707</v>
      </c>
      <c r="AB317" s="1431"/>
      <c r="AC317" s="1431"/>
      <c r="AD317" s="1431"/>
      <c r="AE317" s="1431"/>
      <c r="AF317" s="1431"/>
      <c r="AG317" s="4"/>
      <c r="AH317" s="4"/>
      <c r="AI317" s="35"/>
      <c r="AJ317" s="35"/>
      <c r="AK317" s="35"/>
    </row>
    <row r="318" spans="2:72" ht="13" customHeight="1">
      <c r="B318" s="3" t="s">
        <v>76</v>
      </c>
      <c r="C318" s="3"/>
      <c r="D318" s="3"/>
      <c r="E318" s="3"/>
      <c r="F318" s="3"/>
      <c r="G318" s="3"/>
      <c r="H318" s="1464" t="s">
        <v>2676</v>
      </c>
      <c r="I318" s="1464"/>
      <c r="J318" s="1464"/>
      <c r="K318" s="1464"/>
      <c r="L318" s="1464"/>
      <c r="M318" s="1464"/>
      <c r="N318" s="1432"/>
      <c r="O318" s="1432"/>
      <c r="P318" s="1432"/>
      <c r="Q318" s="1432"/>
      <c r="R318" s="1432"/>
      <c r="S318" s="3"/>
      <c r="T318" s="3" t="s">
        <v>76</v>
      </c>
      <c r="V318" s="3"/>
      <c r="W318" s="3"/>
      <c r="X318" s="3"/>
      <c r="Y318" s="3"/>
      <c r="AA318" s="1464" t="s">
        <v>2708</v>
      </c>
      <c r="AB318" s="1464"/>
      <c r="AC318" s="1464"/>
      <c r="AD318" s="1464"/>
      <c r="AE318" s="1464"/>
      <c r="AF318" s="1464"/>
      <c r="AG318" s="1432"/>
      <c r="AH318" s="1432"/>
      <c r="AI318" s="1432"/>
      <c r="AJ318" s="1432"/>
      <c r="AK318" s="143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32" t="s">
        <v>2671</v>
      </c>
      <c r="I320" s="1432"/>
      <c r="J320" s="1432"/>
      <c r="K320" s="1432"/>
      <c r="L320" s="1432"/>
      <c r="M320" s="1432"/>
      <c r="N320" s="1432"/>
      <c r="O320" s="1432"/>
      <c r="P320" s="1432"/>
      <c r="Q320" s="1432"/>
      <c r="R320" s="1432"/>
      <c r="S320" s="3"/>
      <c r="T320" s="3" t="s">
        <v>365</v>
      </c>
      <c r="V320" s="3"/>
      <c r="W320" s="3"/>
      <c r="X320" s="3"/>
      <c r="Y320" s="3"/>
      <c r="AA320" s="1432"/>
      <c r="AB320" s="1432"/>
      <c r="AC320" s="1432"/>
      <c r="AD320" s="1432"/>
      <c r="AE320" s="1432"/>
      <c r="AF320" s="1432"/>
      <c r="AG320" s="1432"/>
      <c r="AH320" s="1432"/>
      <c r="AI320" s="1432"/>
      <c r="AJ320" s="1432"/>
      <c r="AK320" s="1432"/>
    </row>
    <row r="321" spans="2:37" ht="13" customHeight="1">
      <c r="B321" s="3" t="s">
        <v>471</v>
      </c>
      <c r="C321" s="3"/>
      <c r="D321" s="3"/>
      <c r="E321" s="3"/>
      <c r="F321" s="3"/>
      <c r="H321" s="1464" t="s">
        <v>2672</v>
      </c>
      <c r="I321" s="1464"/>
      <c r="J321" s="1464"/>
      <c r="K321" s="1464"/>
      <c r="L321" s="1464"/>
      <c r="M321" s="1464"/>
      <c r="N321" s="1464"/>
      <c r="O321" s="1464"/>
      <c r="P321" s="1464"/>
      <c r="Q321" s="1464"/>
      <c r="R321" s="1464"/>
      <c r="S321" s="3"/>
      <c r="T321" s="3" t="s">
        <v>471</v>
      </c>
      <c r="V321" s="3"/>
      <c r="W321" s="3"/>
      <c r="X321" s="3"/>
      <c r="Y321" s="3"/>
      <c r="AA321" s="1464"/>
      <c r="AB321" s="1464"/>
      <c r="AC321" s="1464"/>
      <c r="AD321" s="1464"/>
      <c r="AE321" s="1464"/>
      <c r="AF321" s="1464"/>
      <c r="AG321" s="1464"/>
      <c r="AH321" s="1464"/>
      <c r="AI321" s="1464"/>
      <c r="AJ321" s="1464"/>
      <c r="AK321" s="1464"/>
    </row>
    <row r="322" spans="2:37" ht="13" customHeight="1">
      <c r="B322" s="3" t="s">
        <v>472</v>
      </c>
      <c r="C322" s="3"/>
      <c r="D322" s="3"/>
      <c r="E322" s="3"/>
      <c r="F322" s="3"/>
      <c r="H322" s="1464" t="s">
        <v>2673</v>
      </c>
      <c r="I322" s="1464"/>
      <c r="J322" s="1464"/>
      <c r="K322" s="1464"/>
      <c r="L322" s="1464"/>
      <c r="M322" s="1464"/>
      <c r="N322" s="1464"/>
      <c r="O322" s="1464"/>
      <c r="P322" s="1464"/>
      <c r="Q322" s="1464"/>
      <c r="R322" s="1464"/>
      <c r="S322" s="3"/>
      <c r="T322" s="3" t="s">
        <v>75</v>
      </c>
      <c r="V322" s="3"/>
      <c r="W322" s="3"/>
      <c r="X322" s="3"/>
      <c r="Y322" s="3"/>
      <c r="AA322" s="1464"/>
      <c r="AB322" s="1464"/>
      <c r="AC322" s="1464"/>
      <c r="AD322" s="1464"/>
      <c r="AE322" s="1464"/>
      <c r="AF322" s="1464"/>
      <c r="AG322" s="1464"/>
      <c r="AH322" s="1464"/>
      <c r="AI322" s="1464"/>
      <c r="AJ322" s="1464"/>
      <c r="AK322" s="1464"/>
    </row>
    <row r="323" spans="2:37" ht="13" customHeight="1">
      <c r="B323" s="3" t="s">
        <v>87</v>
      </c>
      <c r="C323" s="3"/>
      <c r="D323" s="3"/>
      <c r="E323" s="3"/>
      <c r="F323" s="3"/>
      <c r="H323" s="1464" t="s">
        <v>2674</v>
      </c>
      <c r="I323" s="1464"/>
      <c r="J323" s="1464"/>
      <c r="K323" s="1464"/>
      <c r="L323" s="1464"/>
      <c r="M323" s="1464"/>
      <c r="N323" s="1464"/>
      <c r="O323" s="1464"/>
      <c r="P323" s="1464"/>
      <c r="Q323" s="1464"/>
      <c r="R323" s="1464"/>
      <c r="S323" s="3"/>
      <c r="T323" s="3" t="s">
        <v>87</v>
      </c>
      <c r="V323" s="3"/>
      <c r="W323" s="3"/>
      <c r="X323" s="3"/>
      <c r="Y323" s="3"/>
      <c r="AA323" s="1464"/>
      <c r="AB323" s="1464"/>
      <c r="AC323" s="1464"/>
      <c r="AD323" s="1464"/>
      <c r="AE323" s="1464"/>
      <c r="AF323" s="1464"/>
      <c r="AG323" s="1464"/>
      <c r="AH323" s="1464"/>
      <c r="AI323" s="1464"/>
      <c r="AJ323" s="1464"/>
      <c r="AK323" s="1464"/>
    </row>
    <row r="324" spans="2:37" ht="13" customHeight="1">
      <c r="B324" s="3" t="s">
        <v>88</v>
      </c>
      <c r="C324" s="3"/>
      <c r="D324" s="3"/>
      <c r="E324" s="3"/>
      <c r="F324" s="3"/>
      <c r="G324" s="3"/>
      <c r="H324" s="1515" t="s">
        <v>2675</v>
      </c>
      <c r="I324" s="1515"/>
      <c r="J324" s="1515"/>
      <c r="K324" s="1515"/>
      <c r="L324" s="1515"/>
      <c r="M324" s="1515"/>
      <c r="N324" s="4" t="s">
        <v>206</v>
      </c>
      <c r="O324" s="4"/>
      <c r="P324" s="1427"/>
      <c r="Q324" s="1427"/>
      <c r="R324" s="1427"/>
      <c r="S324" s="3"/>
      <c r="T324" s="3" t="s">
        <v>88</v>
      </c>
      <c r="V324" s="3"/>
      <c r="W324" s="3"/>
      <c r="X324" s="3"/>
      <c r="Y324" s="3"/>
      <c r="AA324" s="1515"/>
      <c r="AB324" s="1515"/>
      <c r="AC324" s="1515"/>
      <c r="AD324" s="1515"/>
      <c r="AE324" s="1515"/>
      <c r="AF324" s="1515"/>
      <c r="AG324" s="4" t="s">
        <v>206</v>
      </c>
      <c r="AH324" s="4"/>
      <c r="AI324" s="1427"/>
      <c r="AJ324" s="1427"/>
      <c r="AK324" s="1427"/>
    </row>
    <row r="325" spans="2:37" ht="13" customHeight="1">
      <c r="B325" s="3" t="s">
        <v>89</v>
      </c>
      <c r="C325" s="3"/>
      <c r="D325" s="3"/>
      <c r="E325" s="3"/>
      <c r="F325" s="3"/>
      <c r="G325" s="3"/>
      <c r="H325" s="1431"/>
      <c r="I325" s="1431"/>
      <c r="J325" s="1431"/>
      <c r="K325" s="1431"/>
      <c r="L325" s="1431"/>
      <c r="M325" s="1431"/>
      <c r="N325" s="4"/>
      <c r="O325" s="4"/>
      <c r="P325" s="35"/>
      <c r="Q325" s="35"/>
      <c r="R325" s="35"/>
      <c r="S325" s="3"/>
      <c r="T325" s="3" t="s">
        <v>89</v>
      </c>
      <c r="V325" s="3"/>
      <c r="W325" s="3"/>
      <c r="X325" s="3"/>
      <c r="Y325" s="3"/>
      <c r="AA325" s="1431"/>
      <c r="AB325" s="1431"/>
      <c r="AC325" s="1431"/>
      <c r="AD325" s="1431"/>
      <c r="AE325" s="1431"/>
      <c r="AF325" s="1431"/>
      <c r="AG325" s="4"/>
      <c r="AH325" s="4"/>
      <c r="AI325" s="35"/>
      <c r="AJ325" s="35"/>
      <c r="AK325" s="35"/>
    </row>
    <row r="326" spans="2:37" ht="13" customHeight="1">
      <c r="B326" s="3" t="s">
        <v>76</v>
      </c>
      <c r="C326" s="3"/>
      <c r="D326" s="3"/>
      <c r="E326" s="3"/>
      <c r="F326" s="3"/>
      <c r="G326" s="3"/>
      <c r="H326" s="1464" t="s">
        <v>2676</v>
      </c>
      <c r="I326" s="1464"/>
      <c r="J326" s="1464"/>
      <c r="K326" s="1464"/>
      <c r="L326" s="1464"/>
      <c r="M326" s="1464"/>
      <c r="N326" s="1432"/>
      <c r="O326" s="1432"/>
      <c r="P326" s="1432"/>
      <c r="Q326" s="1432"/>
      <c r="R326" s="1432"/>
      <c r="S326" s="3"/>
      <c r="T326" s="3" t="s">
        <v>76</v>
      </c>
      <c r="V326" s="3"/>
      <c r="W326" s="3"/>
      <c r="X326" s="3"/>
      <c r="Y326" s="3"/>
      <c r="AA326" s="1464"/>
      <c r="AB326" s="1464"/>
      <c r="AC326" s="1464"/>
      <c r="AD326" s="1464"/>
      <c r="AE326" s="1464"/>
      <c r="AF326" s="1464"/>
      <c r="AG326" s="1432"/>
      <c r="AH326" s="1432"/>
      <c r="AI326" s="1432"/>
      <c r="AJ326" s="1432"/>
      <c r="AK326" s="1432"/>
    </row>
    <row r="327" spans="2:37" ht="13" customHeight="1"/>
    <row r="328" spans="2:37" ht="13" customHeight="1">
      <c r="B328" s="4" t="s">
        <v>908</v>
      </c>
      <c r="C328" s="3"/>
      <c r="D328" s="3"/>
      <c r="E328" s="3"/>
      <c r="F328" s="3"/>
      <c r="H328" s="1432"/>
      <c r="I328" s="1432"/>
      <c r="J328" s="1432"/>
      <c r="K328" s="1432"/>
      <c r="L328" s="1432"/>
      <c r="M328" s="1432"/>
      <c r="N328" s="1432"/>
      <c r="O328" s="1432"/>
      <c r="P328" s="1432"/>
      <c r="Q328" s="1432"/>
      <c r="R328" s="1432"/>
      <c r="T328" s="3" t="s">
        <v>366</v>
      </c>
      <c r="V328" s="3"/>
      <c r="W328" s="3"/>
      <c r="X328" s="3"/>
      <c r="Y328" s="3"/>
      <c r="AA328" s="1432" t="s">
        <v>2696</v>
      </c>
      <c r="AB328" s="1432"/>
      <c r="AC328" s="1432"/>
      <c r="AD328" s="1432"/>
      <c r="AE328" s="1432"/>
      <c r="AF328" s="1432"/>
      <c r="AG328" s="1432"/>
      <c r="AH328" s="1432"/>
      <c r="AI328" s="1432"/>
      <c r="AJ328" s="1432"/>
      <c r="AK328" s="1432"/>
    </row>
    <row r="329" spans="2:37" ht="13" customHeight="1">
      <c r="B329" s="3" t="s">
        <v>471</v>
      </c>
      <c r="C329" s="3"/>
      <c r="D329" s="3"/>
      <c r="E329" s="3"/>
      <c r="F329" s="3"/>
      <c r="H329" s="1464"/>
      <c r="I329" s="1464"/>
      <c r="J329" s="1464"/>
      <c r="K329" s="1464"/>
      <c r="L329" s="1464"/>
      <c r="M329" s="1464"/>
      <c r="N329" s="1464"/>
      <c r="O329" s="1464"/>
      <c r="P329" s="1464"/>
      <c r="Q329" s="1464"/>
      <c r="R329" s="1464"/>
      <c r="T329" s="3" t="s">
        <v>471</v>
      </c>
      <c r="V329" s="3"/>
      <c r="W329" s="3"/>
      <c r="X329" s="3"/>
      <c r="Y329" s="3"/>
      <c r="AA329" s="1464" t="s">
        <v>2697</v>
      </c>
      <c r="AB329" s="1464"/>
      <c r="AC329" s="1464"/>
      <c r="AD329" s="1464"/>
      <c r="AE329" s="1464"/>
      <c r="AF329" s="1464"/>
      <c r="AG329" s="1464"/>
      <c r="AH329" s="1464"/>
      <c r="AI329" s="1464"/>
      <c r="AJ329" s="1464"/>
      <c r="AK329" s="1464"/>
    </row>
    <row r="330" spans="2:37" ht="13" customHeight="1">
      <c r="B330" s="3" t="s">
        <v>472</v>
      </c>
      <c r="C330" s="3"/>
      <c r="D330" s="3"/>
      <c r="E330" s="3"/>
      <c r="F330" s="3"/>
      <c r="H330" s="1464"/>
      <c r="I330" s="1464"/>
      <c r="J330" s="1464"/>
      <c r="K330" s="1464"/>
      <c r="L330" s="1464"/>
      <c r="M330" s="1464"/>
      <c r="N330" s="1464"/>
      <c r="O330" s="1464"/>
      <c r="P330" s="1464"/>
      <c r="Q330" s="1464"/>
      <c r="R330" s="1464"/>
      <c r="T330" s="3" t="s">
        <v>75</v>
      </c>
      <c r="V330" s="3"/>
      <c r="W330" s="3"/>
      <c r="X330" s="3"/>
      <c r="Y330" s="3"/>
      <c r="AA330" s="1464" t="s">
        <v>2698</v>
      </c>
      <c r="AB330" s="1464"/>
      <c r="AC330" s="1464"/>
      <c r="AD330" s="1464"/>
      <c r="AE330" s="1464"/>
      <c r="AF330" s="1464"/>
      <c r="AG330" s="1464"/>
      <c r="AH330" s="1464"/>
      <c r="AI330" s="1464"/>
      <c r="AJ330" s="1464"/>
      <c r="AK330" s="1464"/>
    </row>
    <row r="331" spans="2:37" ht="13" customHeight="1">
      <c r="B331" s="3" t="s">
        <v>87</v>
      </c>
      <c r="C331" s="3"/>
      <c r="D331" s="3"/>
      <c r="E331" s="3"/>
      <c r="F331" s="3"/>
      <c r="H331" s="1464"/>
      <c r="I331" s="1464"/>
      <c r="J331" s="1464"/>
      <c r="K331" s="1464"/>
      <c r="L331" s="1464"/>
      <c r="M331" s="1464"/>
      <c r="N331" s="1464"/>
      <c r="O331" s="1464"/>
      <c r="P331" s="1464"/>
      <c r="Q331" s="1464"/>
      <c r="R331" s="1464"/>
      <c r="T331" s="3" t="s">
        <v>87</v>
      </c>
      <c r="V331" s="3"/>
      <c r="W331" s="3"/>
      <c r="X331" s="3"/>
      <c r="Y331" s="3"/>
      <c r="AA331" s="1464" t="s">
        <v>2699</v>
      </c>
      <c r="AB331" s="1464"/>
      <c r="AC331" s="1464"/>
      <c r="AD331" s="1464"/>
      <c r="AE331" s="1464"/>
      <c r="AF331" s="1464"/>
      <c r="AG331" s="1464"/>
      <c r="AH331" s="1464"/>
      <c r="AI331" s="1464"/>
      <c r="AJ331" s="1464"/>
      <c r="AK331" s="1464"/>
    </row>
    <row r="332" spans="2:37" ht="13" customHeight="1">
      <c r="B332" s="3" t="s">
        <v>88</v>
      </c>
      <c r="C332" s="3"/>
      <c r="D332" s="3"/>
      <c r="E332" s="3"/>
      <c r="F332" s="3"/>
      <c r="G332" s="3"/>
      <c r="H332" s="1515"/>
      <c r="I332" s="1515"/>
      <c r="J332" s="1515"/>
      <c r="K332" s="1515"/>
      <c r="L332" s="1515"/>
      <c r="M332" s="1515"/>
      <c r="N332" s="4" t="s">
        <v>206</v>
      </c>
      <c r="O332" s="4"/>
      <c r="P332" s="1427"/>
      <c r="Q332" s="1427"/>
      <c r="R332" s="1427"/>
      <c r="S332" s="3"/>
      <c r="T332" s="3" t="s">
        <v>88</v>
      </c>
      <c r="V332" s="3"/>
      <c r="W332" s="3"/>
      <c r="X332" s="3"/>
      <c r="Y332" s="3"/>
      <c r="AA332" s="1515" t="s">
        <v>2700</v>
      </c>
      <c r="AB332" s="1515"/>
      <c r="AC332" s="1515"/>
      <c r="AD332" s="1515"/>
      <c r="AE332" s="1515"/>
      <c r="AF332" s="1515"/>
      <c r="AG332" s="4" t="s">
        <v>206</v>
      </c>
      <c r="AH332" s="4"/>
      <c r="AI332" s="1427"/>
      <c r="AJ332" s="1427"/>
      <c r="AK332" s="1427"/>
    </row>
    <row r="333" spans="2:37" ht="13" customHeight="1">
      <c r="B333" s="3" t="s">
        <v>89</v>
      </c>
      <c r="C333" s="3"/>
      <c r="D333" s="3"/>
      <c r="E333" s="3"/>
      <c r="F333" s="3"/>
      <c r="G333" s="3"/>
      <c r="H333" s="1431"/>
      <c r="I333" s="1431"/>
      <c r="J333" s="1431"/>
      <c r="K333" s="1431"/>
      <c r="L333" s="1431"/>
      <c r="M333" s="1431"/>
      <c r="N333" s="4"/>
      <c r="O333" s="4"/>
      <c r="P333" s="35"/>
      <c r="Q333" s="35"/>
      <c r="R333" s="35"/>
      <c r="S333" s="3"/>
      <c r="T333" s="3" t="s">
        <v>89</v>
      </c>
      <c r="V333" s="3"/>
      <c r="W333" s="3"/>
      <c r="X333" s="3"/>
      <c r="Y333" s="3"/>
      <c r="AA333" s="1431"/>
      <c r="AB333" s="1431"/>
      <c r="AC333" s="1431"/>
      <c r="AD333" s="1431"/>
      <c r="AE333" s="1431"/>
      <c r="AF333" s="1431"/>
      <c r="AG333" s="4"/>
      <c r="AH333" s="4"/>
      <c r="AI333" s="35"/>
      <c r="AJ333" s="35"/>
      <c r="AK333" s="35"/>
    </row>
    <row r="334" spans="2:37" ht="13" customHeight="1">
      <c r="B334" s="3" t="s">
        <v>76</v>
      </c>
      <c r="C334" s="3"/>
      <c r="D334" s="3"/>
      <c r="E334" s="3"/>
      <c r="F334" s="3"/>
      <c r="G334" s="3"/>
      <c r="H334" s="1464"/>
      <c r="I334" s="1464"/>
      <c r="J334" s="1464"/>
      <c r="K334" s="1464"/>
      <c r="L334" s="1464"/>
      <c r="M334" s="1464"/>
      <c r="N334" s="1432"/>
      <c r="O334" s="1432"/>
      <c r="P334" s="1432"/>
      <c r="Q334" s="1432"/>
      <c r="R334" s="1432"/>
      <c r="S334" s="3"/>
      <c r="T334" s="3" t="s">
        <v>76</v>
      </c>
      <c r="V334" s="3"/>
      <c r="W334" s="3"/>
      <c r="X334" s="3"/>
      <c r="Y334" s="3"/>
      <c r="AA334" s="1464" t="s">
        <v>2701</v>
      </c>
      <c r="AB334" s="1464"/>
      <c r="AC334" s="1464"/>
      <c r="AD334" s="1464"/>
      <c r="AE334" s="1464"/>
      <c r="AF334" s="1464"/>
      <c r="AG334" s="1432"/>
      <c r="AH334" s="1432"/>
      <c r="AI334" s="1432"/>
      <c r="AJ334" s="1432"/>
      <c r="AK334" s="143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2" t="s">
        <v>2677</v>
      </c>
      <c r="I336" s="1432"/>
      <c r="J336" s="1432"/>
      <c r="K336" s="1432"/>
      <c r="L336" s="1432"/>
      <c r="M336" s="1432"/>
      <c r="N336" s="1432"/>
      <c r="O336" s="1432"/>
      <c r="P336" s="1432"/>
      <c r="Q336" s="1432"/>
      <c r="R336" s="1432"/>
      <c r="T336" s="3" t="s">
        <v>368</v>
      </c>
      <c r="V336" s="3"/>
      <c r="W336" s="3"/>
      <c r="X336" s="3"/>
      <c r="Y336" s="3"/>
      <c r="AA336" s="1426" t="s">
        <v>2689</v>
      </c>
      <c r="AB336" s="1432"/>
      <c r="AC336" s="1432"/>
      <c r="AD336" s="1432"/>
      <c r="AE336" s="1432"/>
      <c r="AF336" s="1432"/>
      <c r="AG336" s="1432"/>
      <c r="AH336" s="1432"/>
      <c r="AI336" s="1432"/>
      <c r="AJ336" s="1432"/>
      <c r="AK336" s="1432"/>
    </row>
    <row r="337" spans="2:66" ht="13" customHeight="1">
      <c r="B337" s="3" t="s">
        <v>471</v>
      </c>
      <c r="C337" s="3"/>
      <c r="D337" s="3"/>
      <c r="E337" s="3"/>
      <c r="F337" s="3"/>
      <c r="H337" s="1464" t="s">
        <v>2678</v>
      </c>
      <c r="I337" s="1464"/>
      <c r="J337" s="1464"/>
      <c r="K337" s="1464"/>
      <c r="L337" s="1464"/>
      <c r="M337" s="1464"/>
      <c r="N337" s="1464"/>
      <c r="O337" s="1464"/>
      <c r="P337" s="1464"/>
      <c r="Q337" s="1464"/>
      <c r="R337" s="1464"/>
      <c r="T337" s="3" t="s">
        <v>471</v>
      </c>
      <c r="V337" s="3"/>
      <c r="W337" s="3"/>
      <c r="X337" s="3"/>
      <c r="Y337" s="3"/>
      <c r="AA337" s="1464"/>
      <c r="AB337" s="1464"/>
      <c r="AC337" s="1464"/>
      <c r="AD337" s="1464"/>
      <c r="AE337" s="1464"/>
      <c r="AF337" s="1464"/>
      <c r="AG337" s="1464"/>
      <c r="AH337" s="1464"/>
      <c r="AI337" s="1464"/>
      <c r="AJ337" s="1464"/>
      <c r="AK337" s="1464"/>
    </row>
    <row r="338" spans="2:66" ht="13" customHeight="1">
      <c r="B338" s="3" t="s">
        <v>472</v>
      </c>
      <c r="C338" s="3"/>
      <c r="D338" s="3"/>
      <c r="E338" s="3"/>
      <c r="F338" s="3"/>
      <c r="H338" s="1464" t="s">
        <v>2679</v>
      </c>
      <c r="I338" s="1464"/>
      <c r="J338" s="1464"/>
      <c r="K338" s="1464"/>
      <c r="L338" s="1464"/>
      <c r="M338" s="1464"/>
      <c r="N338" s="1464"/>
      <c r="O338" s="1464"/>
      <c r="P338" s="1464"/>
      <c r="Q338" s="1464"/>
      <c r="R338" s="1464"/>
      <c r="T338" s="3" t="s">
        <v>75</v>
      </c>
      <c r="V338" s="3"/>
      <c r="W338" s="3"/>
      <c r="X338" s="3"/>
      <c r="Y338" s="3"/>
      <c r="AA338" s="1464"/>
      <c r="AB338" s="1464"/>
      <c r="AC338" s="1464"/>
      <c r="AD338" s="1464"/>
      <c r="AE338" s="1464"/>
      <c r="AF338" s="1464"/>
      <c r="AG338" s="1464"/>
      <c r="AH338" s="1464"/>
      <c r="AI338" s="1464"/>
      <c r="AJ338" s="1464"/>
      <c r="AK338" s="1464"/>
    </row>
    <row r="339" spans="2:66" ht="13" customHeight="1">
      <c r="B339" s="3" t="s">
        <v>87</v>
      </c>
      <c r="C339" s="3"/>
      <c r="D339" s="3"/>
      <c r="E339" s="3"/>
      <c r="F339" s="3"/>
      <c r="H339" s="1464" t="s">
        <v>2680</v>
      </c>
      <c r="I339" s="1464"/>
      <c r="J339" s="1464"/>
      <c r="K339" s="1464"/>
      <c r="L339" s="1464"/>
      <c r="M339" s="1464"/>
      <c r="N339" s="1464"/>
      <c r="O339" s="1464"/>
      <c r="P339" s="1464"/>
      <c r="Q339" s="1464"/>
      <c r="R339" s="1464"/>
      <c r="T339" s="3" t="s">
        <v>87</v>
      </c>
      <c r="V339" s="3"/>
      <c r="W339" s="3"/>
      <c r="X339" s="3"/>
      <c r="Y339" s="3"/>
      <c r="AA339" s="1464"/>
      <c r="AB339" s="1464"/>
      <c r="AC339" s="1464"/>
      <c r="AD339" s="1464"/>
      <c r="AE339" s="1464"/>
      <c r="AF339" s="1464"/>
      <c r="AG339" s="1464"/>
      <c r="AH339" s="1464"/>
      <c r="AI339" s="1464"/>
      <c r="AJ339" s="1464"/>
      <c r="AK339" s="1464"/>
    </row>
    <row r="340" spans="2:66" ht="13" customHeight="1">
      <c r="B340" s="3" t="s">
        <v>88</v>
      </c>
      <c r="C340" s="3"/>
      <c r="D340" s="3"/>
      <c r="E340" s="3"/>
      <c r="F340" s="3"/>
      <c r="G340" s="3"/>
      <c r="H340" s="1515" t="s">
        <v>2681</v>
      </c>
      <c r="I340" s="1515"/>
      <c r="J340" s="1515"/>
      <c r="K340" s="1515"/>
      <c r="L340" s="1515"/>
      <c r="M340" s="1515"/>
      <c r="N340" s="4" t="s">
        <v>206</v>
      </c>
      <c r="O340" s="4"/>
      <c r="P340" s="1427"/>
      <c r="Q340" s="1427"/>
      <c r="R340" s="1427"/>
      <c r="S340" s="3"/>
      <c r="T340" s="3" t="s">
        <v>88</v>
      </c>
      <c r="V340" s="3"/>
      <c r="W340" s="3"/>
      <c r="X340" s="3"/>
      <c r="Y340" s="3"/>
      <c r="AA340" s="1515"/>
      <c r="AB340" s="1515"/>
      <c r="AC340" s="1515"/>
      <c r="AD340" s="1515"/>
      <c r="AE340" s="1515"/>
      <c r="AF340" s="1515"/>
      <c r="AG340" s="4" t="s">
        <v>206</v>
      </c>
      <c r="AH340" s="4"/>
      <c r="AI340" s="1427"/>
      <c r="AJ340" s="1427"/>
      <c r="AK340" s="1427"/>
    </row>
    <row r="341" spans="2:66" ht="13" customHeight="1">
      <c r="B341" s="3" t="s">
        <v>89</v>
      </c>
      <c r="C341" s="3"/>
      <c r="D341" s="3"/>
      <c r="E341" s="3"/>
      <c r="F341" s="3"/>
      <c r="G341" s="3"/>
      <c r="H341" s="1431"/>
      <c r="I341" s="1431"/>
      <c r="J341" s="1431"/>
      <c r="K341" s="1431"/>
      <c r="L341" s="1431"/>
      <c r="M341" s="1431"/>
      <c r="N341" s="4"/>
      <c r="O341" s="4"/>
      <c r="P341" s="35"/>
      <c r="Q341" s="35"/>
      <c r="R341" s="35"/>
      <c r="S341" s="3"/>
      <c r="T341" s="3" t="s">
        <v>89</v>
      </c>
      <c r="V341" s="3"/>
      <c r="W341" s="3"/>
      <c r="X341" s="3"/>
      <c r="Y341" s="3"/>
      <c r="AA341" s="1431"/>
      <c r="AB341" s="1431"/>
      <c r="AC341" s="1431"/>
      <c r="AD341" s="1431"/>
      <c r="AE341" s="1431"/>
      <c r="AF341" s="1431"/>
      <c r="AG341" s="4"/>
      <c r="AH341" s="4"/>
      <c r="AI341" s="35"/>
      <c r="AJ341" s="35"/>
      <c r="AK341" s="35"/>
    </row>
    <row r="342" spans="2:66" ht="13" customHeight="1">
      <c r="B342" s="3" t="s">
        <v>76</v>
      </c>
      <c r="C342" s="3"/>
      <c r="D342" s="3"/>
      <c r="E342" s="3"/>
      <c r="F342" s="3"/>
      <c r="G342" s="3"/>
      <c r="H342" s="1464" t="s">
        <v>2682</v>
      </c>
      <c r="I342" s="1464"/>
      <c r="J342" s="1464"/>
      <c r="K342" s="1464"/>
      <c r="L342" s="1464"/>
      <c r="M342" s="1464"/>
      <c r="N342" s="1432"/>
      <c r="O342" s="1432"/>
      <c r="P342" s="1432"/>
      <c r="Q342" s="1432"/>
      <c r="R342" s="1432"/>
      <c r="S342" s="3"/>
      <c r="T342" s="3" t="s">
        <v>76</v>
      </c>
      <c r="V342" s="3"/>
      <c r="W342" s="3"/>
      <c r="X342" s="3"/>
      <c r="Y342" s="3"/>
      <c r="AA342" s="1464"/>
      <c r="AB342" s="1464"/>
      <c r="AC342" s="1464"/>
      <c r="AD342" s="1464"/>
      <c r="AE342" s="1464"/>
      <c r="AF342" s="1464"/>
      <c r="AG342" s="1432"/>
      <c r="AH342" s="1432"/>
      <c r="AI342" s="1432"/>
      <c r="AJ342" s="1432"/>
      <c r="AK342" s="143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2" t="s">
        <v>2683</v>
      </c>
      <c r="I344" s="1432"/>
      <c r="J344" s="1432"/>
      <c r="K344" s="1432"/>
      <c r="L344" s="1432"/>
      <c r="M344" s="1432"/>
      <c r="N344" s="1432"/>
      <c r="O344" s="1432"/>
      <c r="P344" s="1432"/>
      <c r="Q344" s="1432"/>
      <c r="R344" s="1432"/>
      <c r="T344" s="204" t="s">
        <v>886</v>
      </c>
      <c r="V344" s="3"/>
      <c r="W344" s="3"/>
      <c r="X344" s="3"/>
      <c r="Y344" s="3"/>
      <c r="AA344" s="1432" t="s">
        <v>2690</v>
      </c>
      <c r="AB344" s="1432"/>
      <c r="AC344" s="1432"/>
      <c r="AD344" s="1432"/>
      <c r="AE344" s="1432"/>
      <c r="AF344" s="1432"/>
      <c r="AG344" s="1432"/>
      <c r="AH344" s="1432"/>
      <c r="AI344" s="1432"/>
      <c r="AJ344" s="1432"/>
      <c r="AK344" s="1432"/>
    </row>
    <row r="345" spans="2:66" ht="13" customHeight="1">
      <c r="B345" s="3" t="s">
        <v>471</v>
      </c>
      <c r="C345" s="3"/>
      <c r="D345" s="3"/>
      <c r="E345" s="3"/>
      <c r="F345" s="3"/>
      <c r="H345" s="1464" t="s">
        <v>2684</v>
      </c>
      <c r="I345" s="1464"/>
      <c r="J345" s="1464"/>
      <c r="K345" s="1464"/>
      <c r="L345" s="1464"/>
      <c r="M345" s="1464"/>
      <c r="N345" s="1464"/>
      <c r="O345" s="1464"/>
      <c r="P345" s="1464"/>
      <c r="Q345" s="1464"/>
      <c r="R345" s="1464"/>
      <c r="T345" s="3" t="s">
        <v>471</v>
      </c>
      <c r="V345" s="3"/>
      <c r="W345" s="3"/>
      <c r="X345" s="3"/>
      <c r="Y345" s="3"/>
      <c r="AA345" s="1464" t="s">
        <v>2691</v>
      </c>
      <c r="AB345" s="1464"/>
      <c r="AC345" s="1464"/>
      <c r="AD345" s="1464"/>
      <c r="AE345" s="1464"/>
      <c r="AF345" s="1464"/>
      <c r="AG345" s="1464"/>
      <c r="AH345" s="1464"/>
      <c r="AI345" s="1464"/>
      <c r="AJ345" s="1464"/>
      <c r="AK345" s="1464"/>
    </row>
    <row r="346" spans="2:66" ht="13" customHeight="1">
      <c r="B346" s="3" t="s">
        <v>75</v>
      </c>
      <c r="C346" s="3"/>
      <c r="D346" s="3"/>
      <c r="E346" s="3"/>
      <c r="F346" s="3"/>
      <c r="H346" s="1464" t="s">
        <v>2685</v>
      </c>
      <c r="I346" s="1464"/>
      <c r="J346" s="1464"/>
      <c r="K346" s="1464"/>
      <c r="L346" s="1464"/>
      <c r="M346" s="1464"/>
      <c r="N346" s="1464"/>
      <c r="O346" s="1464"/>
      <c r="P346" s="1464"/>
      <c r="Q346" s="1464"/>
      <c r="R346" s="1464"/>
      <c r="T346" s="3" t="s">
        <v>75</v>
      </c>
      <c r="V346" s="3"/>
      <c r="W346" s="3"/>
      <c r="X346" s="3"/>
      <c r="Y346" s="3"/>
      <c r="AA346" s="1464" t="s">
        <v>2692</v>
      </c>
      <c r="AB346" s="1464"/>
      <c r="AC346" s="1464"/>
      <c r="AD346" s="1464"/>
      <c r="AE346" s="1464"/>
      <c r="AF346" s="1464"/>
      <c r="AG346" s="1464"/>
      <c r="AH346" s="1464"/>
      <c r="AI346" s="1464"/>
      <c r="AJ346" s="1464"/>
      <c r="AK346" s="1464"/>
    </row>
    <row r="347" spans="2:66" ht="13" customHeight="1">
      <c r="B347" s="3" t="s">
        <v>87</v>
      </c>
      <c r="C347" s="3"/>
      <c r="D347" s="3"/>
      <c r="E347" s="3"/>
      <c r="F347" s="3"/>
      <c r="G347" s="3"/>
      <c r="H347" s="1464" t="s">
        <v>2686</v>
      </c>
      <c r="I347" s="1464"/>
      <c r="J347" s="1464"/>
      <c r="K347" s="1464"/>
      <c r="L347" s="1464"/>
      <c r="M347" s="1464"/>
      <c r="N347" s="1464"/>
      <c r="O347" s="1464"/>
      <c r="P347" s="1464"/>
      <c r="Q347" s="1464"/>
      <c r="R347" s="1464"/>
      <c r="T347" s="3" t="s">
        <v>87</v>
      </c>
      <c r="V347" s="3"/>
      <c r="W347" s="3"/>
      <c r="X347" s="3"/>
      <c r="Y347" s="3"/>
      <c r="AA347" s="1464" t="s">
        <v>2693</v>
      </c>
      <c r="AB347" s="1464"/>
      <c r="AC347" s="1464"/>
      <c r="AD347" s="1464"/>
      <c r="AE347" s="1464"/>
      <c r="AF347" s="1464"/>
      <c r="AG347" s="1464"/>
      <c r="AH347" s="1464"/>
      <c r="AI347" s="1464"/>
      <c r="AJ347" s="1464"/>
      <c r="AK347" s="1464"/>
    </row>
    <row r="348" spans="2:66" ht="13" customHeight="1">
      <c r="B348" s="3" t="s">
        <v>88</v>
      </c>
      <c r="C348" s="3"/>
      <c r="D348" s="3"/>
      <c r="E348" s="3"/>
      <c r="F348" s="3"/>
      <c r="G348" s="3"/>
      <c r="H348" s="1515" t="s">
        <v>2687</v>
      </c>
      <c r="I348" s="1515"/>
      <c r="J348" s="1515"/>
      <c r="K348" s="1515"/>
      <c r="L348" s="1515"/>
      <c r="M348" s="1515"/>
      <c r="N348" s="4" t="s">
        <v>206</v>
      </c>
      <c r="O348" s="4"/>
      <c r="P348" s="1427"/>
      <c r="Q348" s="1427"/>
      <c r="R348" s="1427"/>
      <c r="S348" s="3"/>
      <c r="T348" s="3" t="s">
        <v>88</v>
      </c>
      <c r="V348" s="3"/>
      <c r="W348" s="3"/>
      <c r="X348" s="3"/>
      <c r="Y348" s="3"/>
      <c r="AA348" s="1515" t="s">
        <v>2694</v>
      </c>
      <c r="AB348" s="1515"/>
      <c r="AC348" s="1515"/>
      <c r="AD348" s="1515"/>
      <c r="AE348" s="1515"/>
      <c r="AF348" s="1515"/>
      <c r="AG348" s="4" t="s">
        <v>206</v>
      </c>
      <c r="AH348" s="4"/>
      <c r="AI348" s="1427"/>
      <c r="AJ348" s="1427"/>
      <c r="AK348" s="1427"/>
    </row>
    <row r="349" spans="2:66" ht="13" customHeight="1">
      <c r="B349" s="3" t="s">
        <v>89</v>
      </c>
      <c r="C349" s="3"/>
      <c r="D349" s="3"/>
      <c r="E349" s="3"/>
      <c r="F349" s="3"/>
      <c r="G349" s="3"/>
      <c r="H349" s="1431"/>
      <c r="I349" s="1431"/>
      <c r="J349" s="1431"/>
      <c r="K349" s="1431"/>
      <c r="L349" s="1431"/>
      <c r="M349" s="1431"/>
      <c r="N349" s="4"/>
      <c r="O349" s="4"/>
      <c r="P349" s="35"/>
      <c r="Q349" s="35"/>
      <c r="R349" s="35"/>
      <c r="S349" s="3"/>
      <c r="T349" s="3" t="s">
        <v>89</v>
      </c>
      <c r="V349" s="3"/>
      <c r="W349" s="3"/>
      <c r="X349" s="3"/>
      <c r="Y349" s="3"/>
      <c r="AA349" s="1431"/>
      <c r="AB349" s="1431"/>
      <c r="AC349" s="1431"/>
      <c r="AD349" s="1431"/>
      <c r="AE349" s="1431"/>
      <c r="AF349" s="1431"/>
      <c r="AG349" s="4"/>
      <c r="AH349" s="4"/>
      <c r="AI349" s="35"/>
      <c r="AJ349" s="35"/>
      <c r="AK349" s="35"/>
    </row>
    <row r="350" spans="2:66" ht="13" customHeight="1">
      <c r="B350" s="3" t="s">
        <v>76</v>
      </c>
      <c r="C350" s="3"/>
      <c r="D350" s="3"/>
      <c r="E350" s="3"/>
      <c r="F350" s="3"/>
      <c r="G350" s="3"/>
      <c r="H350" s="1464" t="s">
        <v>2688</v>
      </c>
      <c r="I350" s="1464"/>
      <c r="J350" s="1464"/>
      <c r="K350" s="1464"/>
      <c r="L350" s="1464"/>
      <c r="M350" s="1464"/>
      <c r="N350" s="1432"/>
      <c r="O350" s="1432"/>
      <c r="P350" s="1432"/>
      <c r="Q350" s="1432"/>
      <c r="R350" s="1432"/>
      <c r="S350" s="3"/>
      <c r="T350" s="3" t="s">
        <v>76</v>
      </c>
      <c r="V350" s="3"/>
      <c r="W350" s="3"/>
      <c r="X350" s="3"/>
      <c r="Y350" s="3"/>
      <c r="AA350" s="1464" t="s">
        <v>2695</v>
      </c>
      <c r="AB350" s="1464"/>
      <c r="AC350" s="1464"/>
      <c r="AD350" s="1464"/>
      <c r="AE350" s="1464"/>
      <c r="AF350" s="1464"/>
      <c r="AG350" s="1432"/>
      <c r="AH350" s="1432"/>
      <c r="AI350" s="1432"/>
      <c r="AJ350" s="1432"/>
      <c r="AK350" s="143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32"/>
      <c r="Q352" s="1432"/>
      <c r="R352" s="1432"/>
      <c r="S352" s="1432"/>
      <c r="T352" s="1432"/>
      <c r="U352" s="1432"/>
      <c r="V352" s="1432"/>
      <c r="W352" s="1432"/>
      <c r="X352" s="1432"/>
      <c r="Y352" s="1432"/>
      <c r="Z352" s="1432"/>
      <c r="AA352" s="1432"/>
      <c r="AB352" s="1432"/>
      <c r="AC352" s="1432"/>
      <c r="AD352" s="1432"/>
      <c r="AE352" s="1432"/>
      <c r="BN352" t="s">
        <v>669</v>
      </c>
    </row>
    <row r="353" spans="1:66" ht="13" customHeight="1">
      <c r="B353" s="4"/>
      <c r="C353" s="4"/>
      <c r="D353" s="4"/>
      <c r="E353" s="4"/>
      <c r="F353" s="4"/>
      <c r="I353" s="4" t="s">
        <v>471</v>
      </c>
      <c r="P353" s="1464"/>
      <c r="Q353" s="1464"/>
      <c r="R353" s="1464"/>
      <c r="S353" s="1464"/>
      <c r="T353" s="1464"/>
      <c r="U353" s="1464"/>
      <c r="V353" s="1464"/>
      <c r="W353" s="1464"/>
      <c r="X353" s="1464"/>
      <c r="Y353" s="1464"/>
      <c r="Z353" s="1464"/>
      <c r="AA353" s="1464"/>
      <c r="AB353" s="1464"/>
      <c r="AC353" s="1464"/>
      <c r="AD353" s="1464"/>
      <c r="AE353" s="1464"/>
      <c r="BN353" t="s">
        <v>545</v>
      </c>
    </row>
    <row r="354" spans="1:66" ht="13" customHeight="1">
      <c r="B354" s="4"/>
      <c r="C354" s="4"/>
      <c r="D354" s="4"/>
      <c r="E354" s="4"/>
      <c r="F354" s="4"/>
      <c r="I354" s="4" t="s">
        <v>75</v>
      </c>
      <c r="P354" s="1464"/>
      <c r="Q354" s="1464"/>
      <c r="R354" s="1464"/>
      <c r="S354" s="1464"/>
      <c r="T354" s="1464"/>
      <c r="U354" s="1464"/>
      <c r="V354" s="1464"/>
      <c r="W354" s="1464"/>
      <c r="X354" s="1464"/>
      <c r="Y354" s="1464"/>
      <c r="Z354" s="1464"/>
      <c r="AA354" s="1464"/>
      <c r="AB354" s="1464"/>
      <c r="AC354" s="1464"/>
      <c r="AD354" s="1464"/>
      <c r="AE354" s="1464"/>
    </row>
    <row r="355" spans="1:66" ht="13" customHeight="1">
      <c r="B355" s="4"/>
      <c r="C355" s="4"/>
      <c r="D355" s="4"/>
      <c r="E355" s="4"/>
      <c r="F355" s="4"/>
      <c r="G355" s="4"/>
      <c r="I355" s="4" t="s">
        <v>87</v>
      </c>
      <c r="P355" s="1464"/>
      <c r="Q355" s="1464"/>
      <c r="R355" s="1464"/>
      <c r="S355" s="1464"/>
      <c r="T355" s="1464"/>
      <c r="U355" s="1464"/>
      <c r="V355" s="1464"/>
      <c r="W355" s="1464"/>
      <c r="X355" s="1464"/>
      <c r="Y355" s="1464"/>
      <c r="Z355" s="1464"/>
      <c r="AA355" s="1464"/>
      <c r="AB355" s="1464"/>
      <c r="AC355" s="1464"/>
      <c r="AD355" s="1464"/>
      <c r="AE355" s="1464"/>
    </row>
    <row r="356" spans="1:66" ht="13" customHeight="1">
      <c r="B356" s="4"/>
      <c r="C356" s="4"/>
      <c r="D356" s="4"/>
      <c r="E356" s="4"/>
      <c r="F356" s="4"/>
      <c r="G356" s="4"/>
      <c r="H356" s="302"/>
      <c r="I356" s="4" t="s">
        <v>88</v>
      </c>
      <c r="P356" s="1431"/>
      <c r="Q356" s="1431"/>
      <c r="R356" s="1431"/>
      <c r="S356" s="1431"/>
      <c r="T356" s="1431"/>
      <c r="U356" s="1431"/>
      <c r="V356" s="1431"/>
      <c r="W356" s="1431"/>
      <c r="X356" s="1431"/>
      <c r="Y356" s="1431"/>
      <c r="Z356" s="1431"/>
      <c r="AA356" s="4" t="s">
        <v>206</v>
      </c>
      <c r="AB356" s="4"/>
      <c r="AC356" s="1453"/>
      <c r="AD356" s="1453"/>
      <c r="AE356" s="1453"/>
      <c r="AF356" s="302"/>
      <c r="AG356" s="4"/>
      <c r="AH356" s="4"/>
      <c r="AI356" s="4"/>
      <c r="AJ356" s="4"/>
      <c r="AK356" s="4"/>
    </row>
    <row r="357" spans="1:66" ht="13" customHeight="1">
      <c r="B357" s="4"/>
      <c r="C357" s="4"/>
      <c r="D357" s="4"/>
      <c r="E357" s="4"/>
      <c r="F357" s="4"/>
      <c r="G357" s="4"/>
      <c r="H357" s="302"/>
      <c r="I357" s="4" t="s">
        <v>89</v>
      </c>
      <c r="P357" s="1431"/>
      <c r="Q357" s="1431"/>
      <c r="R357" s="1431"/>
      <c r="S357" s="1431"/>
      <c r="T357" s="1431"/>
      <c r="U357" s="1431"/>
      <c r="V357" s="1431"/>
      <c r="W357" s="1431"/>
      <c r="X357" s="1431"/>
      <c r="Y357" s="1431"/>
      <c r="Z357" s="1431"/>
      <c r="AF357" s="302"/>
      <c r="AG357" s="4"/>
      <c r="AH357" s="4"/>
      <c r="AI357" s="35"/>
      <c r="AJ357" s="35"/>
      <c r="AK357" s="35"/>
    </row>
    <row r="358" spans="1:66" ht="13" customHeight="1">
      <c r="B358" s="4"/>
      <c r="C358" s="4"/>
      <c r="D358" s="4"/>
      <c r="E358" s="4"/>
      <c r="F358" s="4"/>
      <c r="G358" s="4"/>
      <c r="I358" s="4" t="s">
        <v>76</v>
      </c>
      <c r="P358" s="1432"/>
      <c r="Q358" s="1432"/>
      <c r="R358" s="1432"/>
      <c r="S358" s="1432"/>
      <c r="T358" s="1432"/>
      <c r="U358" s="1432"/>
      <c r="V358" s="1432"/>
      <c r="W358" s="1432"/>
      <c r="X358" s="1432"/>
      <c r="Y358" s="1432"/>
      <c r="Z358" s="1432"/>
      <c r="AA358" s="1432"/>
      <c r="AB358" s="1432"/>
      <c r="AC358" s="1432"/>
      <c r="AD358" s="1432"/>
      <c r="AE358" s="1432"/>
    </row>
    <row r="359" spans="1:66" ht="13" customHeight="1">
      <c r="T359" s="8"/>
      <c r="U359" s="8"/>
      <c r="V359" s="8"/>
      <c r="W359" s="8"/>
      <c r="X359" s="8"/>
      <c r="Y359" s="8"/>
      <c r="Z359" s="8"/>
      <c r="AU359" s="95"/>
      <c r="AV359" s="95"/>
      <c r="AW359" s="95"/>
      <c r="AX359" s="95"/>
      <c r="AY359" s="95"/>
    </row>
    <row r="360" spans="1:66" ht="13" customHeight="1">
      <c r="A360" s="1467" t="s">
        <v>542</v>
      </c>
      <c r="B360" s="1467"/>
      <c r="C360" s="1467"/>
      <c r="D360" s="1467"/>
      <c r="E360" s="1467"/>
      <c r="F360" s="1467"/>
      <c r="G360" s="1467"/>
      <c r="H360" s="1467"/>
      <c r="I360" s="1467"/>
      <c r="J360" s="1467"/>
      <c r="K360" s="1467"/>
      <c r="L360" s="1467"/>
      <c r="M360" s="1467"/>
      <c r="N360" s="1467"/>
      <c r="O360" s="1467"/>
      <c r="P360" s="1467"/>
      <c r="Q360" s="1467"/>
      <c r="R360" s="1467"/>
      <c r="S360" s="1467"/>
      <c r="T360" s="1467"/>
      <c r="U360" s="1467"/>
      <c r="V360" s="1467"/>
      <c r="W360" s="1467"/>
      <c r="X360" s="1467"/>
      <c r="Y360" s="1467"/>
      <c r="Z360" s="1467"/>
      <c r="AA360" s="1467"/>
      <c r="AB360" s="1467"/>
      <c r="AC360" s="1467"/>
      <c r="AD360" s="1467"/>
      <c r="AE360" s="1467"/>
      <c r="AF360" s="1467"/>
      <c r="AG360" s="1467"/>
      <c r="AH360" s="1467"/>
      <c r="AI360" s="1467"/>
      <c r="AJ360" s="1467"/>
      <c r="AK360" s="1467"/>
      <c r="AL360" s="1467"/>
      <c r="AM360" s="1467"/>
      <c r="AN360" s="1467"/>
      <c r="AO360" s="1467"/>
      <c r="AP360" s="1467"/>
      <c r="AQ360" s="1467"/>
      <c r="AR360" s="1467"/>
      <c r="AS360" s="1467"/>
      <c r="AT360" s="1467"/>
      <c r="AU360" s="95"/>
      <c r="AV360" s="95"/>
      <c r="AW360" s="95"/>
      <c r="AX360" s="95"/>
      <c r="AY360" s="95"/>
    </row>
    <row r="361" spans="1:66" ht="13" customHeight="1">
      <c r="A361" s="1467"/>
      <c r="B361" s="1467"/>
      <c r="C361" s="1467"/>
      <c r="D361" s="1467"/>
      <c r="E361" s="1467"/>
      <c r="F361" s="1467"/>
      <c r="G361" s="1467"/>
      <c r="H361" s="1467"/>
      <c r="I361" s="1467"/>
      <c r="J361" s="1467"/>
      <c r="K361" s="1467"/>
      <c r="L361" s="1467"/>
      <c r="M361" s="1467"/>
      <c r="N361" s="1467"/>
      <c r="O361" s="1467"/>
      <c r="P361" s="1467"/>
      <c r="Q361" s="1467"/>
      <c r="R361" s="1467"/>
      <c r="S361" s="1467"/>
      <c r="T361" s="1467"/>
      <c r="U361" s="1467"/>
      <c r="V361" s="1467"/>
      <c r="W361" s="1467"/>
      <c r="X361" s="1467"/>
      <c r="Y361" s="1467"/>
      <c r="Z361" s="1467"/>
      <c r="AA361" s="1467"/>
      <c r="AB361" s="1467"/>
      <c r="AC361" s="1467"/>
      <c r="AD361" s="1467"/>
      <c r="AE361" s="1467"/>
      <c r="AF361" s="1467"/>
      <c r="AG361" s="1467"/>
      <c r="AH361" s="1467"/>
      <c r="AI361" s="1467"/>
      <c r="AJ361" s="1467"/>
      <c r="AK361" s="1467"/>
      <c r="AL361" s="1467"/>
      <c r="AM361" s="1467"/>
      <c r="AN361" s="1467"/>
      <c r="AO361" s="1467"/>
      <c r="AP361" s="1467"/>
      <c r="AQ361" s="1467"/>
      <c r="AR361" s="1467"/>
      <c r="AS361" s="1467"/>
      <c r="AT361" s="146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2055</v>
      </c>
      <c r="M364" s="1340" t="s">
        <v>545</v>
      </c>
      <c r="N364" s="1340"/>
      <c r="P364" t="s">
        <v>1639</v>
      </c>
      <c r="AJ364" s="1340" t="s">
        <v>545</v>
      </c>
      <c r="AK364" s="1340"/>
    </row>
    <row r="365" spans="1:66" ht="13" customHeight="1">
      <c r="D365" s="3" t="s">
        <v>1628</v>
      </c>
      <c r="M365" s="1340" t="s">
        <v>591</v>
      </c>
      <c r="N365" s="1340"/>
      <c r="P365" s="3" t="s">
        <v>1708</v>
      </c>
      <c r="AJ365" s="1455">
        <v>0</v>
      </c>
      <c r="AK365" s="1455"/>
    </row>
    <row r="366" spans="1:66" ht="13" customHeight="1">
      <c r="D366" s="3" t="s">
        <v>704</v>
      </c>
      <c r="M366" s="1340" t="s">
        <v>591</v>
      </c>
      <c r="N366" s="1340"/>
      <c r="P366" t="s">
        <v>1638</v>
      </c>
      <c r="AJ366" s="1340" t="s">
        <v>669</v>
      </c>
      <c r="AK366" s="1340"/>
    </row>
    <row r="367" spans="1:66" ht="13" customHeight="1">
      <c r="D367" s="3" t="s">
        <v>705</v>
      </c>
      <c r="M367" s="1340" t="s">
        <v>591</v>
      </c>
      <c r="N367" s="1340"/>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3" customHeight="1">
      <c r="E373" t="s">
        <v>370</v>
      </c>
      <c r="Y373" s="1340" t="s">
        <v>591</v>
      </c>
      <c r="Z373" s="1340"/>
    </row>
    <row r="374" spans="1:34" ht="13" customHeight="1">
      <c r="D374" s="4" t="s">
        <v>978</v>
      </c>
      <c r="Q374" s="1432"/>
      <c r="R374" s="1432"/>
      <c r="S374" s="1432"/>
      <c r="T374" s="1432"/>
      <c r="U374" s="1432"/>
      <c r="V374" s="1432"/>
      <c r="W374" s="1432"/>
      <c r="X374" s="1432"/>
      <c r="Y374" s="1432"/>
      <c r="Z374" s="1432"/>
      <c r="AA374" s="1432"/>
      <c r="AB374" s="1432"/>
      <c r="AC374" s="1432"/>
      <c r="AD374" s="1432"/>
      <c r="AE374" s="1432"/>
      <c r="AF374" s="1432"/>
      <c r="AG374" s="143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3" customHeight="1">
      <c r="E377" s="1465" t="s">
        <v>706</v>
      </c>
      <c r="F377" s="1465"/>
      <c r="G377" s="1465"/>
      <c r="H377" s="1465"/>
      <c r="I377" s="1465"/>
      <c r="J377" s="1465"/>
      <c r="K377" s="1465"/>
      <c r="L377" s="1465"/>
      <c r="M377" s="1465"/>
      <c r="N377" s="1465"/>
      <c r="O377" s="1465"/>
      <c r="P377" s="1465"/>
      <c r="Q377" s="1465"/>
      <c r="R377" s="1465"/>
      <c r="S377" s="1465"/>
      <c r="T377" s="1465"/>
      <c r="U377" s="1465"/>
      <c r="V377" s="1465"/>
      <c r="W377" s="1465"/>
      <c r="X377" s="1465"/>
      <c r="Y377" s="1465"/>
      <c r="Z377" s="1465"/>
      <c r="AA377" s="1465"/>
      <c r="AB377" s="1465"/>
      <c r="AC377" s="1465"/>
      <c r="AD377" s="1465"/>
      <c r="AE377" s="1465"/>
      <c r="AF377" s="1465"/>
      <c r="AG377" s="1465"/>
      <c r="AH377" s="1465"/>
    </row>
    <row r="378" spans="1:34" ht="13" customHeight="1">
      <c r="E378" s="1465"/>
      <c r="F378" s="1465"/>
      <c r="G378" s="1465"/>
      <c r="H378" s="1465"/>
      <c r="I378" s="1465"/>
      <c r="J378" s="1465"/>
      <c r="K378" s="1465"/>
      <c r="L378" s="1465"/>
      <c r="M378" s="1465"/>
      <c r="N378" s="1465"/>
      <c r="O378" s="1465"/>
      <c r="P378" s="1465"/>
      <c r="Q378" s="1465"/>
      <c r="R378" s="1465"/>
      <c r="S378" s="1465"/>
      <c r="T378" s="1465"/>
      <c r="U378" s="1465"/>
      <c r="V378" s="1465"/>
      <c r="W378" s="1465"/>
      <c r="X378" s="1465"/>
      <c r="Y378" s="1465"/>
      <c r="Z378" s="1465"/>
      <c r="AA378" s="1465"/>
      <c r="AB378" s="1465"/>
      <c r="AC378" s="1465"/>
      <c r="AD378" s="1465"/>
      <c r="AE378" s="1465"/>
      <c r="AF378" s="1465"/>
      <c r="AG378" s="1465"/>
      <c r="AH378" s="1465"/>
    </row>
    <row r="379" spans="1:34" ht="13" customHeight="1">
      <c r="E379" s="4" t="s">
        <v>448</v>
      </c>
      <c r="F379" s="4"/>
      <c r="G379" s="4"/>
      <c r="H379" s="4"/>
      <c r="I379" s="4"/>
      <c r="J379" s="4"/>
      <c r="K379" s="4"/>
      <c r="L379" s="4"/>
      <c r="N379" s="1461"/>
      <c r="O379" s="1461"/>
      <c r="P379" s="1461"/>
      <c r="Q379" s="1461"/>
      <c r="R379" s="4"/>
      <c r="U379" s="4" t="s">
        <v>449</v>
      </c>
      <c r="V379" s="4"/>
      <c r="W379" s="4"/>
      <c r="X379" s="4"/>
      <c r="Y379" s="4"/>
      <c r="Z379" s="4"/>
      <c r="AA379" s="4"/>
      <c r="AB379" s="4"/>
      <c r="AC379" s="1461"/>
      <c r="AD379" s="1461"/>
      <c r="AE379" s="1461"/>
      <c r="AF379" s="1461"/>
    </row>
    <row r="380" spans="1:34" ht="13" customHeight="1">
      <c r="E380" s="4" t="s">
        <v>450</v>
      </c>
      <c r="F380" s="4"/>
      <c r="G380" s="4"/>
      <c r="H380" s="4"/>
      <c r="I380" s="4"/>
      <c r="J380" s="4"/>
      <c r="K380" s="4"/>
      <c r="L380" s="4"/>
      <c r="N380" s="1461"/>
      <c r="O380" s="1461"/>
      <c r="P380" s="1461"/>
      <c r="Q380" s="1461"/>
      <c r="R380" s="4"/>
      <c r="U380" s="4" t="s">
        <v>0</v>
      </c>
      <c r="V380" s="4"/>
      <c r="W380" s="4"/>
      <c r="X380" s="4"/>
      <c r="Y380" s="4"/>
      <c r="Z380" s="4"/>
      <c r="AA380" s="4"/>
      <c r="AB380" s="4"/>
      <c r="AC380" s="1461"/>
      <c r="AD380" s="1461"/>
      <c r="AE380" s="1461"/>
      <c r="AF380" s="1461"/>
    </row>
    <row r="381" spans="1:34" ht="13" customHeight="1">
      <c r="E381" s="4" t="s">
        <v>1</v>
      </c>
      <c r="F381" s="4"/>
      <c r="G381" s="4"/>
      <c r="H381" s="4"/>
      <c r="I381" s="4"/>
      <c r="J381" s="4"/>
      <c r="K381" s="4"/>
      <c r="L381" s="4"/>
      <c r="N381" s="1461"/>
      <c r="O381" s="1461"/>
      <c r="P381" s="1461"/>
      <c r="Q381" s="1461"/>
      <c r="R381" s="4"/>
      <c r="V381" s="4"/>
      <c r="W381" s="4"/>
      <c r="X381" s="4"/>
      <c r="Y381" s="4"/>
      <c r="Z381" s="4"/>
      <c r="AA381" s="4"/>
      <c r="AB381" s="4"/>
    </row>
    <row r="382" spans="1:34" ht="13" customHeight="1">
      <c r="E382" s="4" t="s">
        <v>2</v>
      </c>
      <c r="F382" s="4"/>
      <c r="G382" s="4"/>
      <c r="H382" s="4"/>
      <c r="I382" s="4"/>
      <c r="J382" s="4"/>
      <c r="K382" s="4"/>
      <c r="L382" s="4"/>
      <c r="N382" s="1824"/>
      <c r="O382" s="1824"/>
      <c r="P382" s="1824"/>
      <c r="Q382" s="1824"/>
      <c r="R382" s="1824"/>
      <c r="S382" s="1824"/>
      <c r="T382" s="1824"/>
      <c r="U382" s="1824"/>
      <c r="V382" s="1824"/>
      <c r="W382" s="1824"/>
      <c r="X382" s="1824"/>
      <c r="Y382" s="1824"/>
      <c r="Z382" s="1824"/>
      <c r="AA382" s="1824"/>
      <c r="AB382" s="1824"/>
      <c r="AC382" s="1824"/>
      <c r="AD382" s="1824"/>
      <c r="AE382" s="1824"/>
      <c r="AF382" s="1824"/>
    </row>
    <row r="383" spans="1:34" ht="13" customHeight="1">
      <c r="E383" s="4"/>
      <c r="F383" s="4"/>
      <c r="G383" s="4"/>
      <c r="H383" s="4"/>
      <c r="I383" s="4"/>
      <c r="J383" s="4"/>
      <c r="K383" s="4"/>
      <c r="L383" s="4"/>
      <c r="N383" s="1825"/>
      <c r="O383" s="1825"/>
      <c r="P383" s="1825"/>
      <c r="Q383" s="1825"/>
      <c r="R383" s="1825"/>
      <c r="S383" s="1825"/>
      <c r="T383" s="1825"/>
      <c r="U383" s="1825"/>
      <c r="V383" s="1825"/>
      <c r="W383" s="1825"/>
      <c r="X383" s="1825"/>
      <c r="Y383" s="1825"/>
      <c r="Z383" s="1825"/>
      <c r="AA383" s="1825"/>
      <c r="AB383" s="1825"/>
      <c r="AC383" s="1825"/>
      <c r="AD383" s="1825"/>
      <c r="AE383" s="1825"/>
      <c r="AF383" s="1825"/>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2041</v>
      </c>
      <c r="F386" s="4"/>
      <c r="G386" s="4"/>
      <c r="H386" s="4"/>
      <c r="I386" s="4"/>
      <c r="J386" s="4"/>
      <c r="K386" s="4"/>
      <c r="L386" s="4"/>
      <c r="N386" t="s">
        <v>2037</v>
      </c>
      <c r="R386" s="27" t="s">
        <v>305</v>
      </c>
      <c r="S386" s="1782"/>
      <c r="T386" s="1782"/>
      <c r="U386" s="1" t="s">
        <v>306</v>
      </c>
      <c r="V386" s="1782"/>
      <c r="W386" s="1782"/>
      <c r="Y386" t="s">
        <v>2037</v>
      </c>
      <c r="AC386" s="27" t="s">
        <v>305</v>
      </c>
      <c r="AD386" s="1782"/>
      <c r="AE386" s="1782"/>
      <c r="AF386" s="1" t="s">
        <v>306</v>
      </c>
      <c r="AG386" s="1782"/>
      <c r="AH386" s="1782"/>
    </row>
    <row r="387" spans="1:36" ht="13" customHeight="1">
      <c r="E387" s="4" t="s">
        <v>987</v>
      </c>
      <c r="F387" s="4"/>
      <c r="G387" s="4"/>
      <c r="H387" s="4"/>
      <c r="I387" s="4"/>
      <c r="J387" s="4"/>
      <c r="K387" s="4"/>
      <c r="L387" s="4"/>
      <c r="N387" s="1782"/>
      <c r="O387" s="1782"/>
      <c r="P387" s="1782"/>
    </row>
    <row r="388" spans="1:36" ht="13" customHeight="1">
      <c r="E388" s="204" t="s">
        <v>2042</v>
      </c>
      <c r="F388" s="4"/>
      <c r="G388" s="4"/>
      <c r="H388" s="4"/>
      <c r="I388" s="4"/>
      <c r="J388" s="4"/>
      <c r="K388" s="4"/>
      <c r="L388" s="4"/>
      <c r="AG388" s="1817" t="s">
        <v>591</v>
      </c>
      <c r="AH388" s="1817"/>
    </row>
    <row r="389" spans="1:36" ht="13" customHeight="1">
      <c r="E389" s="4"/>
      <c r="F389" s="4"/>
      <c r="G389" s="4" t="s">
        <v>2043</v>
      </c>
      <c r="H389" s="4"/>
      <c r="I389" s="4"/>
      <c r="J389" s="4"/>
      <c r="K389" s="4"/>
      <c r="L389" s="4"/>
      <c r="AG389" s="1817" t="s">
        <v>591</v>
      </c>
      <c r="AH389" s="1817"/>
    </row>
    <row r="390" spans="1:36" ht="13" customHeight="1">
      <c r="E390" s="4"/>
      <c r="F390" s="4"/>
      <c r="G390" s="320" t="s">
        <v>988</v>
      </c>
      <c r="H390" s="4"/>
      <c r="I390" s="4"/>
      <c r="J390" s="4"/>
      <c r="K390" s="4"/>
      <c r="L390" s="4"/>
      <c r="V390" s="1340" t="s">
        <v>591</v>
      </c>
      <c r="W390" s="1340"/>
      <c r="Y390" s="22" t="s">
        <v>980</v>
      </c>
    </row>
    <row r="391" spans="1:36" ht="13" customHeight="1">
      <c r="E391" s="4" t="s">
        <v>981</v>
      </c>
      <c r="F391" s="4"/>
      <c r="G391" s="4"/>
      <c r="H391" s="4"/>
      <c r="I391" s="4"/>
      <c r="J391" s="4"/>
      <c r="K391" s="4"/>
      <c r="L391" s="4"/>
      <c r="V391" s="1340" t="s">
        <v>591</v>
      </c>
      <c r="W391" s="1340"/>
      <c r="Y391" s="4" t="s">
        <v>982</v>
      </c>
    </row>
    <row r="392" spans="1:36" ht="13" customHeight="1"/>
    <row r="393" spans="1:36" ht="13" customHeight="1">
      <c r="A393" s="2" t="s">
        <v>78</v>
      </c>
      <c r="B393" s="2"/>
    </row>
    <row r="394" spans="1:36" ht="13" customHeight="1">
      <c r="D394" t="s">
        <v>428</v>
      </c>
      <c r="J394" s="1426" t="s">
        <v>2754</v>
      </c>
      <c r="K394" s="1432"/>
      <c r="L394" s="1432"/>
      <c r="M394" s="1432"/>
      <c r="N394" s="1432"/>
      <c r="O394" s="1432"/>
      <c r="P394" s="1432"/>
      <c r="Q394" s="1432"/>
      <c r="R394" s="1432"/>
      <c r="S394" s="1432"/>
      <c r="T394" s="1432"/>
      <c r="U394" s="1432"/>
      <c r="V394" s="8" t="s">
        <v>83</v>
      </c>
      <c r="W394" s="8"/>
      <c r="X394" s="8"/>
      <c r="Y394" s="8"/>
      <c r="Z394" s="8"/>
      <c r="AA394" s="8"/>
      <c r="AB394" s="8"/>
      <c r="AC394" s="1426" t="s">
        <v>2755</v>
      </c>
      <c r="AD394" s="1432"/>
      <c r="AE394" s="1432"/>
      <c r="AF394" s="1432"/>
      <c r="AG394" s="1432"/>
      <c r="AH394" s="1432"/>
      <c r="AI394" s="1432"/>
      <c r="AJ394" s="1432"/>
    </row>
    <row r="395" spans="1:36" ht="13" customHeight="1">
      <c r="D395" s="3" t="s">
        <v>1182</v>
      </c>
      <c r="J395" s="1383" t="s">
        <v>2755</v>
      </c>
      <c r="K395" s="1464"/>
      <c r="L395" s="1464"/>
      <c r="M395" s="1464"/>
      <c r="N395" s="1464"/>
      <c r="O395" s="1464"/>
      <c r="P395" s="1464"/>
      <c r="Q395" s="1464"/>
      <c r="R395" s="1464"/>
      <c r="S395" s="1464"/>
      <c r="T395" s="1464"/>
      <c r="U395" s="1464"/>
      <c r="V395" s="3" t="s">
        <v>1182</v>
      </c>
      <c r="W395" s="8"/>
      <c r="X395" s="8"/>
      <c r="Y395" s="8"/>
      <c r="Z395" s="8"/>
      <c r="AA395" s="8"/>
      <c r="AB395" s="8"/>
      <c r="AC395" s="1432"/>
      <c r="AD395" s="1432"/>
      <c r="AE395" s="1432"/>
      <c r="AF395" s="1432"/>
      <c r="AG395" s="1432"/>
      <c r="AH395" s="1432"/>
      <c r="AI395" s="1432"/>
      <c r="AJ395" s="1432"/>
    </row>
    <row r="396" spans="1:36" ht="13" customHeight="1">
      <c r="D396" s="3" t="s">
        <v>441</v>
      </c>
      <c r="J396" s="1383" t="s">
        <v>2756</v>
      </c>
      <c r="K396" s="1464"/>
      <c r="L396" s="1464"/>
      <c r="M396" s="1464"/>
      <c r="N396" s="1464"/>
      <c r="O396" s="1464"/>
      <c r="P396" s="1464"/>
      <c r="Q396" s="1464"/>
      <c r="R396" s="1464"/>
      <c r="S396" s="1464"/>
      <c r="T396" s="1464"/>
      <c r="U396" s="1464"/>
      <c r="V396" s="3" t="s">
        <v>441</v>
      </c>
      <c r="W396" s="8"/>
      <c r="X396" s="8"/>
      <c r="Y396" s="8"/>
      <c r="Z396" s="8"/>
      <c r="AA396" s="8"/>
      <c r="AB396" s="8"/>
      <c r="AC396" s="1432"/>
      <c r="AD396" s="1432"/>
      <c r="AE396" s="1432"/>
      <c r="AF396" s="1432"/>
      <c r="AG396" s="1432"/>
      <c r="AH396" s="1432"/>
      <c r="AI396" s="1432"/>
      <c r="AJ396" s="1432"/>
    </row>
    <row r="397" spans="1:36" ht="13" customHeight="1">
      <c r="D397" t="s">
        <v>1178</v>
      </c>
      <c r="J397" s="1827" t="s">
        <v>2758</v>
      </c>
      <c r="K397" s="1377"/>
      <c r="L397" s="1377"/>
      <c r="M397" s="1377"/>
      <c r="N397" s="1377"/>
      <c r="O397" s="1377"/>
      <c r="P397" s="1377"/>
      <c r="Q397" s="1377"/>
      <c r="R397" s="1377"/>
      <c r="S397" s="1377"/>
      <c r="T397" s="1377"/>
      <c r="U397" s="1377"/>
      <c r="V397" s="1432"/>
      <c r="W397" s="1432"/>
      <c r="X397" s="1432"/>
      <c r="Y397" s="1432"/>
      <c r="Z397" s="1432"/>
      <c r="AA397" s="1432"/>
      <c r="AB397" s="1432"/>
      <c r="AC397" s="1432"/>
      <c r="AD397" s="1432"/>
      <c r="AE397" s="1432"/>
      <c r="AF397" s="1432"/>
      <c r="AG397" s="1432"/>
      <c r="AH397" s="1432"/>
      <c r="AI397" s="1432"/>
      <c r="AJ397" s="1432"/>
    </row>
    <row r="398" spans="1:36" ht="13" customHeight="1">
      <c r="D398" t="s">
        <v>4</v>
      </c>
      <c r="Q398" s="1762">
        <v>45919</v>
      </c>
      <c r="R398" s="1762"/>
      <c r="S398" s="1762"/>
      <c r="T398" s="1762"/>
      <c r="U398" s="1762"/>
      <c r="V398" t="s">
        <v>309</v>
      </c>
      <c r="AI398" s="1340" t="s">
        <v>669</v>
      </c>
      <c r="AJ398" s="1340"/>
    </row>
    <row r="399" spans="1:36" ht="13" customHeight="1">
      <c r="D399" t="s">
        <v>5</v>
      </c>
      <c r="Q399" s="1623">
        <v>46465</v>
      </c>
      <c r="R399" s="1787"/>
      <c r="S399" s="1787"/>
      <c r="T399" s="1787"/>
      <c r="U399" s="1787"/>
      <c r="W399" s="21" t="s">
        <v>74</v>
      </c>
      <c r="AG399" s="1784"/>
      <c r="AH399" s="1784"/>
      <c r="AI399" s="1784"/>
      <c r="AJ399" s="1784"/>
    </row>
    <row r="400" spans="1:36" ht="13" customHeight="1">
      <c r="D400" t="s">
        <v>427</v>
      </c>
      <c r="Q400" s="1834">
        <v>5500000</v>
      </c>
      <c r="R400" s="1834"/>
      <c r="S400" s="1834"/>
      <c r="T400" s="1834"/>
      <c r="U400" s="1834"/>
      <c r="V400" s="3" t="s">
        <v>1181</v>
      </c>
      <c r="AG400" s="1785">
        <v>46338</v>
      </c>
      <c r="AH400" s="1785"/>
      <c r="AI400" s="1785"/>
      <c r="AJ400" s="1785"/>
    </row>
    <row r="401" spans="4:36" ht="13" customHeight="1">
      <c r="D401" t="s">
        <v>88</v>
      </c>
      <c r="I401" s="1514" t="s">
        <v>2757</v>
      </c>
      <c r="J401" s="1515"/>
      <c r="K401" s="1515"/>
      <c r="L401" s="1515"/>
      <c r="M401" s="1515"/>
      <c r="N401" s="1515"/>
      <c r="Q401" s="4" t="s">
        <v>206</v>
      </c>
      <c r="S401" s="1833"/>
      <c r="T401" s="1833"/>
      <c r="U401" s="1833"/>
      <c r="V401" t="s">
        <v>73</v>
      </c>
      <c r="AI401" s="1340" t="s">
        <v>669</v>
      </c>
      <c r="AJ401" s="1340"/>
    </row>
    <row r="402" spans="4:36" ht="13" customHeight="1">
      <c r="D402" t="s">
        <v>310</v>
      </c>
      <c r="Q402" s="1415"/>
      <c r="R402" s="1415"/>
      <c r="S402" s="1415"/>
      <c r="T402" s="1415"/>
      <c r="U402" s="1415"/>
      <c r="V402" t="s">
        <v>311</v>
      </c>
      <c r="AG402" s="1784"/>
      <c r="AH402" s="1784"/>
      <c r="AI402" s="1784"/>
      <c r="AJ402" s="1784"/>
    </row>
    <row r="403" spans="4:36" ht="13" customHeight="1">
      <c r="D403" t="s">
        <v>312</v>
      </c>
      <c r="Q403" s="1830"/>
      <c r="R403" s="1830"/>
      <c r="S403" s="1830"/>
      <c r="T403" s="1830"/>
      <c r="U403" s="1830"/>
      <c r="V403" t="s">
        <v>1163</v>
      </c>
      <c r="AG403" s="1784"/>
      <c r="AH403" s="1784"/>
      <c r="AI403" s="1784"/>
      <c r="AJ403" s="1784"/>
    </row>
    <row r="404" spans="4:36" ht="13" customHeight="1">
      <c r="D404" t="s">
        <v>1162</v>
      </c>
      <c r="AG404" s="1784"/>
      <c r="AH404" s="1784"/>
      <c r="AI404" s="1784"/>
      <c r="AJ404" s="1784"/>
    </row>
    <row r="405" spans="4:36" ht="13" customHeight="1">
      <c r="AG405" s="456"/>
      <c r="AH405" s="456"/>
      <c r="AI405" s="456"/>
      <c r="AJ405" s="456"/>
    </row>
    <row r="406" spans="4:36" ht="13" customHeight="1">
      <c r="D406" s="3" t="s">
        <v>2099</v>
      </c>
      <c r="AG406" s="456"/>
      <c r="AH406" s="456"/>
      <c r="AI406" s="1340" t="s">
        <v>669</v>
      </c>
      <c r="AJ406" s="1340"/>
    </row>
    <row r="407" spans="4:36" ht="13" customHeight="1">
      <c r="D407" s="3" t="s">
        <v>1656</v>
      </c>
      <c r="T407" s="1758"/>
      <c r="U407" s="1758"/>
      <c r="V407" s="1758"/>
      <c r="W407" s="1758"/>
      <c r="X407" s="1758"/>
      <c r="Y407" s="1758"/>
      <c r="Z407" s="1758"/>
      <c r="AA407" s="1758"/>
      <c r="AB407" s="1758"/>
      <c r="AC407" s="1758"/>
      <c r="AD407" s="1758"/>
      <c r="AE407" s="1758"/>
      <c r="AF407" s="1758"/>
      <c r="AG407" s="1758"/>
      <c r="AH407" s="1758"/>
      <c r="AI407" s="1758"/>
      <c r="AJ407" s="1758"/>
    </row>
    <row r="408" spans="4:36" ht="13" customHeight="1">
      <c r="D408" s="3" t="s">
        <v>1655</v>
      </c>
      <c r="T408" s="1758"/>
      <c r="U408" s="1758"/>
      <c r="V408" s="1758"/>
      <c r="W408" s="1758"/>
      <c r="X408" s="1758"/>
      <c r="Y408" s="1758"/>
      <c r="Z408" s="1758"/>
      <c r="AA408" s="1758"/>
      <c r="AB408" s="1758"/>
      <c r="AC408" s="1758"/>
      <c r="AD408" s="1758"/>
      <c r="AE408" s="1758"/>
      <c r="AF408" s="1758"/>
      <c r="AG408" s="1758"/>
      <c r="AH408" s="1758"/>
      <c r="AI408" s="1758"/>
      <c r="AJ408" s="1758"/>
    </row>
    <row r="409" spans="4:36" ht="13" customHeight="1">
      <c r="AG409" s="456"/>
      <c r="AH409" s="456"/>
      <c r="AI409" s="456"/>
      <c r="AJ409" s="456"/>
    </row>
    <row r="410" spans="4:36" ht="13" customHeight="1">
      <c r="D410" s="3" t="s">
        <v>1649</v>
      </c>
      <c r="S410" s="1758" t="s">
        <v>669</v>
      </c>
      <c r="T410" s="1758"/>
      <c r="U410" s="1758"/>
      <c r="V410" t="s">
        <v>1650</v>
      </c>
      <c r="AG410" s="1788"/>
      <c r="AH410" s="1788"/>
      <c r="AI410" s="1788"/>
      <c r="AJ410" s="1788"/>
    </row>
    <row r="411" spans="4:36" ht="13" customHeight="1">
      <c r="D411" s="3" t="s">
        <v>1647</v>
      </c>
      <c r="S411" s="1758" t="s">
        <v>591</v>
      </c>
      <c r="T411" s="1758"/>
      <c r="U411" s="1758"/>
      <c r="V411" t="s">
        <v>1652</v>
      </c>
      <c r="AE411" s="1829"/>
      <c r="AF411" s="1829"/>
      <c r="AG411" s="1829"/>
      <c r="AH411" s="1829"/>
      <c r="AI411" s="1829"/>
      <c r="AJ411" s="1829"/>
    </row>
    <row r="412" spans="4:36" ht="13" customHeight="1">
      <c r="D412" s="3" t="s">
        <v>1648</v>
      </c>
      <c r="K412" s="1786"/>
      <c r="L412" s="1786"/>
      <c r="M412" s="1786"/>
      <c r="N412" s="1786"/>
      <c r="O412" s="1786"/>
      <c r="P412" s="1786"/>
      <c r="Q412" s="1786"/>
      <c r="R412" s="1786"/>
      <c r="S412" s="1786"/>
      <c r="T412" s="1786"/>
      <c r="U412" s="1786"/>
      <c r="V412" s="1786"/>
      <c r="W412" s="1786"/>
      <c r="X412" s="1786"/>
      <c r="Y412" s="1786"/>
      <c r="Z412" s="1786"/>
      <c r="AA412" s="1786"/>
      <c r="AB412" s="1786"/>
      <c r="AC412" s="1786"/>
      <c r="AD412" s="1786"/>
      <c r="AE412" s="1786"/>
      <c r="AF412" s="1786"/>
      <c r="AG412" s="1786"/>
      <c r="AH412" s="1786"/>
      <c r="AI412" s="1786"/>
      <c r="AJ412" s="1786"/>
    </row>
    <row r="413" spans="4:36" ht="13" customHeight="1">
      <c r="D413" s="3" t="s">
        <v>1651</v>
      </c>
      <c r="K413" s="1786"/>
      <c r="L413" s="1786"/>
      <c r="M413" s="1786"/>
      <c r="N413" s="1786"/>
      <c r="O413" s="1786"/>
      <c r="P413" s="1786"/>
      <c r="Q413" s="1786"/>
      <c r="R413" s="1786"/>
      <c r="S413" s="1786"/>
      <c r="T413" s="1786"/>
      <c r="U413" s="1786"/>
      <c r="V413" s="1786"/>
      <c r="W413" s="1786"/>
      <c r="X413" s="1786"/>
      <c r="Y413" s="1786"/>
      <c r="Z413" s="1786"/>
      <c r="AA413" s="1786"/>
      <c r="AB413" s="1786"/>
      <c r="AC413" s="1786"/>
      <c r="AD413" s="1786"/>
      <c r="AE413" s="1786"/>
      <c r="AF413" s="1786"/>
      <c r="AG413" s="1786"/>
      <c r="AH413" s="1786"/>
      <c r="AI413" s="1786"/>
      <c r="AJ413" s="1786"/>
    </row>
    <row r="414" spans="4:36" ht="13" customHeight="1">
      <c r="D414" s="3" t="s">
        <v>1654</v>
      </c>
      <c r="E414" s="477"/>
      <c r="F414" s="477"/>
      <c r="G414" s="477"/>
      <c r="H414" s="477"/>
      <c r="I414" s="477"/>
      <c r="J414" s="477"/>
      <c r="K414" s="477"/>
      <c r="L414" s="477"/>
      <c r="M414" s="477"/>
      <c r="N414" s="477"/>
      <c r="O414" s="477"/>
      <c r="P414" s="477"/>
      <c r="Q414" s="477"/>
      <c r="R414" s="477"/>
      <c r="S414" s="1832" t="s">
        <v>1184</v>
      </c>
      <c r="T414" s="1832"/>
      <c r="U414" s="1832"/>
      <c r="V414" s="1832"/>
      <c r="W414" s="1832"/>
      <c r="X414" s="1832"/>
      <c r="Y414" s="1832"/>
      <c r="Z414" s="1832"/>
      <c r="AA414" s="1832"/>
      <c r="AB414" s="1832"/>
      <c r="AC414" s="1832"/>
      <c r="AD414" s="1832"/>
      <c r="AE414" s="1832"/>
      <c r="AF414" s="1832"/>
      <c r="AG414" s="1832"/>
      <c r="AH414" s="1832"/>
      <c r="AI414" s="1832"/>
      <c r="AJ414" s="1832"/>
    </row>
    <row r="415" spans="4:36" ht="13"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6" t="s">
        <v>2716</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3" customHeight="1">
      <c r="E420" t="s">
        <v>106</v>
      </c>
      <c r="R420" s="1340" t="s">
        <v>545</v>
      </c>
      <c r="S420" s="1340"/>
      <c r="AC420" s="27" t="s">
        <v>570</v>
      </c>
      <c r="AD420" s="1461">
        <v>6</v>
      </c>
      <c r="AE420" s="1461"/>
    </row>
    <row r="421" spans="1:39" ht="13" customHeight="1">
      <c r="E421" t="s">
        <v>107</v>
      </c>
      <c r="R421" s="1340" t="s">
        <v>591</v>
      </c>
      <c r="S421" s="1340"/>
      <c r="AC421" s="27" t="s">
        <v>570</v>
      </c>
      <c r="AD421" s="1461"/>
      <c r="AE421" s="1461"/>
    </row>
    <row r="422" spans="1:39" ht="13" customHeight="1">
      <c r="E422" t="s">
        <v>108</v>
      </c>
      <c r="S422" s="1340" t="s">
        <v>591</v>
      </c>
      <c r="T422" s="1340"/>
    </row>
    <row r="423" spans="1:39" ht="13" customHeight="1">
      <c r="E423" t="s">
        <v>170</v>
      </c>
      <c r="H423" s="1766" t="s">
        <v>334</v>
      </c>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row>
    <row r="424" spans="1:39" ht="13" customHeight="1">
      <c r="H424" s="1767"/>
      <c r="I424" s="1767"/>
      <c r="J424" s="1767"/>
      <c r="K424" s="1767"/>
      <c r="L424" s="1767"/>
      <c r="M424" s="1767"/>
      <c r="N424" s="1767"/>
      <c r="O424" s="1767"/>
      <c r="P424" s="1767"/>
      <c r="Q424" s="1767"/>
      <c r="R424" s="1767"/>
      <c r="S424" s="1767"/>
      <c r="T424" s="1767"/>
      <c r="U424" s="1767"/>
      <c r="V424" s="1767"/>
      <c r="W424" s="1767"/>
      <c r="X424" s="1767"/>
      <c r="Y424" s="1767"/>
      <c r="Z424" s="1767"/>
      <c r="AA424" s="1767"/>
      <c r="AB424" s="1767"/>
      <c r="AC424" s="1767"/>
      <c r="AD424" s="1767"/>
      <c r="AE424" s="1767"/>
    </row>
    <row r="425" spans="1:39" ht="13" customHeight="1"/>
    <row r="426" spans="1:39" ht="13" customHeight="1">
      <c r="A426" s="2" t="s">
        <v>590</v>
      </c>
      <c r="B426" s="2"/>
      <c r="C426" s="2"/>
      <c r="D426" s="2" t="s">
        <v>114</v>
      </c>
      <c r="AF426" s="2" t="s">
        <v>957</v>
      </c>
    </row>
    <row r="427" spans="1:39" ht="13" customHeight="1">
      <c r="E427" s="1782"/>
      <c r="F427" s="1782"/>
      <c r="G427" s="1782"/>
      <c r="H427" s="13" t="s">
        <v>115</v>
      </c>
      <c r="I427" s="1782"/>
      <c r="J427" s="1782"/>
      <c r="K427" s="1782"/>
      <c r="L427" t="s">
        <v>116</v>
      </c>
      <c r="N427" s="27" t="s">
        <v>575</v>
      </c>
      <c r="P427" s="1760">
        <v>0.33</v>
      </c>
      <c r="Q427" s="1760"/>
      <c r="R427" s="1760"/>
      <c r="S427" t="s">
        <v>117</v>
      </c>
      <c r="W427" s="1831">
        <f>IF(E427&gt;0,(E427*I427),(P427*43560))</f>
        <v>14374.800000000001</v>
      </c>
      <c r="X427" s="1831"/>
      <c r="Y427" s="1831"/>
      <c r="Z427" t="s">
        <v>118</v>
      </c>
      <c r="AF427" s="1761">
        <f>IFERROR(IF(P427&gt;0,(AG446/P427),(AG446/(W427/43560))),0)</f>
        <v>290.90909090909088</v>
      </c>
      <c r="AG427" s="1761"/>
      <c r="AH427" s="1761"/>
      <c r="AM427" s="3"/>
    </row>
    <row r="428" spans="1:39" ht="13" customHeight="1">
      <c r="E428" t="s">
        <v>51</v>
      </c>
    </row>
    <row r="429" spans="1:39" ht="13" customHeight="1">
      <c r="E429" s="1781"/>
      <c r="F429" s="1781"/>
      <c r="G429" s="1781"/>
      <c r="H429" s="1781"/>
      <c r="I429" s="1781"/>
      <c r="J429" s="1781"/>
      <c r="K429" s="1781"/>
      <c r="L429" s="1781"/>
      <c r="M429" s="1781"/>
      <c r="N429" s="1781"/>
      <c r="O429" s="1781"/>
      <c r="P429" s="1781"/>
      <c r="Q429" s="1781"/>
      <c r="R429" s="1781"/>
      <c r="S429" s="1781"/>
      <c r="T429" s="1781"/>
      <c r="U429" s="1781"/>
      <c r="V429" s="1781"/>
      <c r="W429" s="1781"/>
      <c r="X429" s="1781"/>
      <c r="Y429" s="1781"/>
      <c r="Z429" s="1781"/>
      <c r="AA429" s="1781"/>
      <c r="AB429" s="1781"/>
      <c r="AC429" s="1781"/>
      <c r="AD429" s="1781"/>
      <c r="AE429" s="1781"/>
      <c r="AF429" s="1781"/>
      <c r="AG429" s="1781"/>
      <c r="AH429" s="1781"/>
      <c r="AI429" s="1781"/>
      <c r="AJ429" s="1781"/>
    </row>
    <row r="430" spans="1:39" ht="13" customHeight="1">
      <c r="E430" s="118" t="s">
        <v>1725</v>
      </c>
      <c r="F430" s="1008"/>
      <c r="G430" s="1008"/>
      <c r="H430" s="1008"/>
      <c r="I430" s="1759">
        <f>P427</f>
        <v>0.33</v>
      </c>
      <c r="J430" s="1759"/>
      <c r="K430" s="1759"/>
      <c r="L430" s="1008"/>
      <c r="M430" s="118"/>
      <c r="N430" s="1008"/>
      <c r="O430" s="1008"/>
      <c r="P430" s="1497">
        <f>(DU763+DU786+DU808)/I430</f>
        <v>512.12121212121212</v>
      </c>
      <c r="Q430" s="1497"/>
      <c r="R430" s="1497"/>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40">
        <v>1</v>
      </c>
      <c r="Q433" s="1340"/>
      <c r="S433" t="s">
        <v>189</v>
      </c>
      <c r="AE433" s="1340">
        <v>1</v>
      </c>
      <c r="AF433" s="1340"/>
    </row>
    <row r="434" spans="1:36" ht="13" customHeight="1">
      <c r="E434" t="s">
        <v>190</v>
      </c>
      <c r="P434" s="1340">
        <v>0</v>
      </c>
      <c r="Q434" s="1340"/>
      <c r="S434" t="s">
        <v>131</v>
      </c>
      <c r="AE434" s="1340" t="s">
        <v>591</v>
      </c>
      <c r="AF434" s="1340"/>
    </row>
    <row r="435" spans="1:36" ht="13" customHeight="1">
      <c r="F435" s="28" t="s">
        <v>132</v>
      </c>
    </row>
    <row r="436" spans="1:36" ht="13" customHeight="1">
      <c r="F436" s="1814"/>
      <c r="G436" s="1814"/>
      <c r="H436" s="1814"/>
      <c r="I436" s="1814"/>
      <c r="J436" s="1814"/>
      <c r="K436" s="1814"/>
      <c r="L436" s="1814"/>
      <c r="M436" s="1814"/>
      <c r="N436" s="1814"/>
      <c r="O436" s="1814"/>
      <c r="P436" s="1814"/>
      <c r="Q436" s="1814"/>
      <c r="R436" s="1814"/>
      <c r="S436" s="1814"/>
      <c r="T436" s="1814"/>
      <c r="U436" s="1814"/>
      <c r="V436" s="1814"/>
      <c r="W436" s="1814"/>
      <c r="X436" s="1814"/>
      <c r="Y436" s="1814"/>
      <c r="Z436" s="1814"/>
      <c r="AA436" s="1814"/>
      <c r="AB436" s="1814"/>
      <c r="AC436" s="1814"/>
      <c r="AD436" s="1814"/>
      <c r="AE436" s="1814"/>
      <c r="AF436" s="1814"/>
      <c r="AG436" s="1814"/>
      <c r="AH436" s="1814"/>
    </row>
    <row r="437" spans="1:36" ht="13" customHeight="1">
      <c r="F437" s="1779"/>
      <c r="G437" s="1779"/>
      <c r="H437" s="1779"/>
      <c r="I437" s="1779"/>
      <c r="J437" s="1779"/>
      <c r="K437" s="1779"/>
      <c r="L437" s="1779"/>
      <c r="M437" s="1779"/>
      <c r="N437" s="1779"/>
      <c r="O437" s="1779"/>
      <c r="P437" s="1779"/>
      <c r="Q437" s="1779"/>
      <c r="R437" s="1779"/>
      <c r="S437" s="1779"/>
      <c r="T437" s="1779"/>
      <c r="U437" s="1779"/>
      <c r="V437" s="1779"/>
      <c r="W437" s="1779"/>
      <c r="X437" s="1779"/>
      <c r="Y437" s="1779"/>
      <c r="Z437" s="1779"/>
      <c r="AA437" s="1779"/>
      <c r="AB437" s="1779"/>
      <c r="AC437" s="1779"/>
      <c r="AD437" s="1779"/>
      <c r="AE437" s="1779"/>
      <c r="AF437" s="1779"/>
      <c r="AG437" s="1779"/>
      <c r="AH437" s="1779"/>
    </row>
    <row r="438" spans="1:36" ht="13" customHeight="1">
      <c r="E438" t="s">
        <v>608</v>
      </c>
      <c r="P438" s="1"/>
      <c r="Q438" s="1340" t="s">
        <v>545</v>
      </c>
      <c r="R438" s="1340"/>
    </row>
    <row r="439" spans="1:36" ht="13" customHeight="1">
      <c r="F439" t="s">
        <v>609</v>
      </c>
      <c r="P439" s="1"/>
      <c r="Q439" s="1"/>
      <c r="AF439" s="1340" t="s">
        <v>591</v>
      </c>
      <c r="AG439" s="1783"/>
    </row>
    <row r="440" spans="1:36" ht="13" customHeight="1"/>
    <row r="441" spans="1:36" ht="13" customHeight="1">
      <c r="A441" s="2"/>
      <c r="B441" s="2"/>
      <c r="C441" s="2"/>
      <c r="E441" s="4" t="s">
        <v>308</v>
      </c>
      <c r="Z441" s="1340" t="s">
        <v>669</v>
      </c>
      <c r="AA441" s="134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40" t="s">
        <v>591</v>
      </c>
      <c r="AA443" s="1340"/>
    </row>
    <row r="444" spans="1:36" ht="13" customHeight="1"/>
    <row r="445" spans="1:36" ht="13" customHeight="1">
      <c r="A445" s="2" t="s">
        <v>467</v>
      </c>
      <c r="B445" s="2"/>
      <c r="C445" s="2"/>
      <c r="D445" s="2" t="s">
        <v>764</v>
      </c>
      <c r="AF445" s="48"/>
    </row>
    <row r="446" spans="1:36" ht="13" customHeight="1">
      <c r="D446" s="1475" t="s">
        <v>43</v>
      </c>
      <c r="E446" s="1473"/>
      <c r="F446" s="1473"/>
      <c r="G446" s="1473"/>
      <c r="H446" s="1473"/>
      <c r="I446" s="1473"/>
      <c r="J446" s="1473"/>
      <c r="K446" s="1473"/>
      <c r="L446" s="1473"/>
      <c r="M446" s="1473"/>
      <c r="N446" s="1473"/>
      <c r="O446" s="1473"/>
      <c r="P446" s="1473"/>
      <c r="Q446" s="1473"/>
      <c r="R446" s="1473"/>
      <c r="S446" s="1473"/>
      <c r="T446" s="1473"/>
      <c r="U446" s="1473"/>
      <c r="V446" s="1473"/>
      <c r="W446" s="1473"/>
      <c r="X446" s="1473"/>
      <c r="Y446" s="1473"/>
      <c r="Z446" s="1473"/>
      <c r="AA446" s="1473"/>
      <c r="AB446" s="1473"/>
      <c r="AC446" s="1473"/>
      <c r="AD446" s="1473"/>
      <c r="AE446" s="1473"/>
      <c r="AF446" s="1474"/>
      <c r="AG446" s="1533">
        <f>G761+1</f>
        <v>96</v>
      </c>
      <c r="AH446" s="1826"/>
      <c r="AI446" s="1826"/>
      <c r="AJ446" s="1826"/>
    </row>
    <row r="447" spans="1:36" ht="13" customHeight="1">
      <c r="D447" s="1472" t="s">
        <v>1222</v>
      </c>
      <c r="E447" s="1751"/>
      <c r="F447" s="1751"/>
      <c r="G447" s="1751"/>
      <c r="H447" s="1751"/>
      <c r="I447" s="1751"/>
      <c r="J447" s="1751"/>
      <c r="K447" s="1751"/>
      <c r="L447" s="1751"/>
      <c r="M447" s="1751"/>
      <c r="N447" s="1751"/>
      <c r="O447" s="1751"/>
      <c r="P447" s="1751"/>
      <c r="Q447" s="1751"/>
      <c r="R447" s="1751"/>
      <c r="S447" s="1751"/>
      <c r="T447" s="1751"/>
      <c r="U447" s="1751"/>
      <c r="V447" s="1751"/>
      <c r="W447" s="1751"/>
      <c r="X447" s="1751"/>
      <c r="Y447" s="1751"/>
      <c r="Z447" s="1751"/>
      <c r="AA447" s="1751"/>
      <c r="AB447" s="1751"/>
      <c r="AC447" s="1751"/>
      <c r="AD447" s="1751"/>
      <c r="AE447" s="1751"/>
      <c r="AF447" s="1752"/>
      <c r="AG447" s="1852">
        <v>0</v>
      </c>
      <c r="AH447" s="1533"/>
      <c r="AI447" s="1533"/>
      <c r="AJ447" s="1533"/>
    </row>
    <row r="448" spans="1:36" ht="13" customHeight="1">
      <c r="D448" s="1472" t="s">
        <v>1031</v>
      </c>
      <c r="E448" s="1751"/>
      <c r="F448" s="1751"/>
      <c r="G448" s="1751"/>
      <c r="H448" s="1751"/>
      <c r="I448" s="1751"/>
      <c r="J448" s="1751"/>
      <c r="K448" s="1751"/>
      <c r="L448" s="1751"/>
      <c r="M448" s="1751"/>
      <c r="N448" s="1751"/>
      <c r="O448" s="1751"/>
      <c r="P448" s="1751"/>
      <c r="Q448" s="1751"/>
      <c r="R448" s="1751"/>
      <c r="S448" s="1751"/>
      <c r="T448" s="1751"/>
      <c r="U448" s="1751"/>
      <c r="V448" s="1751"/>
      <c r="W448" s="1751"/>
      <c r="X448" s="1751"/>
      <c r="Y448" s="1751"/>
      <c r="Z448" s="1751"/>
      <c r="AA448" s="1751"/>
      <c r="AB448" s="1751"/>
      <c r="AC448" s="1751"/>
      <c r="AD448" s="1751"/>
      <c r="AE448" s="1751"/>
      <c r="AF448" s="1752"/>
      <c r="AG448" s="1826">
        <f>AG446-1</f>
        <v>95</v>
      </c>
      <c r="AH448" s="1826"/>
      <c r="AI448" s="1826"/>
      <c r="AJ448" s="1826"/>
    </row>
    <row r="449" spans="4:55" ht="13" customHeight="1">
      <c r="D449" s="1472" t="s">
        <v>1032</v>
      </c>
      <c r="E449" s="1751"/>
      <c r="F449" s="1751"/>
      <c r="G449" s="1751"/>
      <c r="H449" s="1751"/>
      <c r="I449" s="1751"/>
      <c r="J449" s="1751"/>
      <c r="K449" s="1751"/>
      <c r="L449" s="1751"/>
      <c r="M449" s="1751"/>
      <c r="N449" s="1751"/>
      <c r="O449" s="1751"/>
      <c r="P449" s="1751"/>
      <c r="Q449" s="1751"/>
      <c r="R449" s="1751"/>
      <c r="S449" s="1751"/>
      <c r="T449" s="1751"/>
      <c r="U449" s="1751"/>
      <c r="V449" s="1751"/>
      <c r="W449" s="1751"/>
      <c r="X449" s="1751"/>
      <c r="Y449" s="1751"/>
      <c r="Z449" s="1751"/>
      <c r="AA449" s="1751"/>
      <c r="AB449" s="1751"/>
      <c r="AC449" s="1751"/>
      <c r="AD449" s="1751"/>
      <c r="AE449" s="1751"/>
      <c r="AF449" s="1752"/>
      <c r="AG449" s="1826">
        <f>AG448</f>
        <v>95</v>
      </c>
      <c r="AH449" s="1826"/>
      <c r="AI449" s="1826"/>
      <c r="AJ449" s="1826"/>
    </row>
    <row r="450" spans="4:55" ht="13" customHeight="1">
      <c r="D450" s="1472" t="s">
        <v>1034</v>
      </c>
      <c r="E450" s="1751"/>
      <c r="F450" s="1751"/>
      <c r="G450" s="1751"/>
      <c r="H450" s="1751"/>
      <c r="I450" s="1751"/>
      <c r="J450" s="1751"/>
      <c r="K450" s="1751"/>
      <c r="L450" s="1751"/>
      <c r="M450" s="1751"/>
      <c r="N450" s="1751"/>
      <c r="O450" s="1751"/>
      <c r="P450" s="1751"/>
      <c r="Q450" s="1751"/>
      <c r="R450" s="1751"/>
      <c r="S450" s="1751"/>
      <c r="T450" s="1751"/>
      <c r="U450" s="1751"/>
      <c r="V450" s="1751"/>
      <c r="W450" s="1751"/>
      <c r="X450" s="1751"/>
      <c r="Y450" s="1751"/>
      <c r="Z450" s="1751"/>
      <c r="AA450" s="1751"/>
      <c r="AB450" s="1751"/>
      <c r="AC450" s="1751"/>
      <c r="AD450" s="1751"/>
      <c r="AE450" s="1751"/>
      <c r="AF450" s="1752"/>
      <c r="AG450" s="1828">
        <f>IF(ISERROR(AG449/AG448),0,AG449/AG448)</f>
        <v>1</v>
      </c>
      <c r="AH450" s="1828"/>
      <c r="AI450" s="1828"/>
      <c r="AJ450" s="1828"/>
    </row>
    <row r="451" spans="4:55" ht="13" customHeight="1">
      <c r="D451" s="1472" t="s">
        <v>1033</v>
      </c>
      <c r="E451" s="1751"/>
      <c r="F451" s="1751"/>
      <c r="G451" s="1751"/>
      <c r="H451" s="1751"/>
      <c r="I451" s="1751"/>
      <c r="J451" s="1751"/>
      <c r="K451" s="1751"/>
      <c r="L451" s="1751"/>
      <c r="M451" s="1751"/>
      <c r="N451" s="1751"/>
      <c r="O451" s="1751"/>
      <c r="P451" s="1751"/>
      <c r="Q451" s="1751"/>
      <c r="R451" s="1751"/>
      <c r="S451" s="1751"/>
      <c r="T451" s="1751"/>
      <c r="U451" s="1751"/>
      <c r="V451" s="1751"/>
      <c r="W451" s="1751"/>
      <c r="X451" s="1751"/>
      <c r="Y451" s="1751"/>
      <c r="Z451" s="1751"/>
      <c r="AA451" s="1751"/>
      <c r="AB451" s="1751"/>
      <c r="AC451" s="1751"/>
      <c r="AD451" s="1751"/>
      <c r="AE451" s="1751"/>
      <c r="AF451" s="1752"/>
      <c r="AG451" s="1476">
        <v>50766</v>
      </c>
      <c r="AH451" s="1476"/>
      <c r="AI451" s="1476"/>
      <c r="AJ451" s="1476"/>
    </row>
    <row r="452" spans="4:55" ht="13" customHeight="1">
      <c r="D452" s="1472" t="s">
        <v>1035</v>
      </c>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2"/>
      <c r="AG452" s="1476">
        <f>AG451</f>
        <v>50766</v>
      </c>
      <c r="AH452" s="1476"/>
      <c r="AI452" s="1476"/>
      <c r="AJ452" s="1476"/>
    </row>
    <row r="453" spans="4:55" ht="13" customHeight="1">
      <c r="D453" s="1472" t="s">
        <v>1036</v>
      </c>
      <c r="E453" s="1751"/>
      <c r="F453" s="1751"/>
      <c r="G453" s="1751"/>
      <c r="H453" s="1751"/>
      <c r="I453" s="1751"/>
      <c r="J453" s="1751"/>
      <c r="K453" s="1751"/>
      <c r="L453" s="1751"/>
      <c r="M453" s="1751"/>
      <c r="N453" s="1751"/>
      <c r="O453" s="1751"/>
      <c r="P453" s="1751"/>
      <c r="Q453" s="1751"/>
      <c r="R453" s="1751"/>
      <c r="S453" s="1751"/>
      <c r="T453" s="1751"/>
      <c r="U453" s="1751"/>
      <c r="V453" s="1751"/>
      <c r="W453" s="1751"/>
      <c r="X453" s="1751"/>
      <c r="Y453" s="1751"/>
      <c r="Z453" s="1751"/>
      <c r="AA453" s="1751"/>
      <c r="AB453" s="1751"/>
      <c r="AC453" s="1751"/>
      <c r="AD453" s="1751"/>
      <c r="AE453" s="1751"/>
      <c r="AF453" s="1752"/>
      <c r="AG453" s="1828">
        <f>IF(ISERROR(AG452/AG451),0,AG452/AG451)</f>
        <v>1</v>
      </c>
      <c r="AH453" s="1828"/>
      <c r="AI453" s="1828"/>
      <c r="AJ453" s="1828"/>
    </row>
    <row r="454" spans="4:55" ht="13" customHeight="1">
      <c r="D454" s="1472" t="s">
        <v>1037</v>
      </c>
      <c r="E454" s="1751"/>
      <c r="F454" s="1751"/>
      <c r="G454" s="1751"/>
      <c r="H454" s="1751"/>
      <c r="I454" s="1751"/>
      <c r="J454" s="1751"/>
      <c r="K454" s="1751"/>
      <c r="L454" s="1751"/>
      <c r="M454" s="1751"/>
      <c r="N454" s="1751"/>
      <c r="O454" s="1751"/>
      <c r="P454" s="1751"/>
      <c r="Q454" s="1751"/>
      <c r="R454" s="1751"/>
      <c r="S454" s="1751"/>
      <c r="T454" s="1751"/>
      <c r="U454" s="1751"/>
      <c r="V454" s="1751"/>
      <c r="W454" s="1751"/>
      <c r="X454" s="1751"/>
      <c r="Y454" s="1751"/>
      <c r="Z454" s="1751"/>
      <c r="AA454" s="1751"/>
      <c r="AB454" s="1751"/>
      <c r="AC454" s="1751"/>
      <c r="AD454" s="1751"/>
      <c r="AE454" s="1751"/>
      <c r="AF454" s="1752"/>
      <c r="AG454" s="1828">
        <f>MIN(IF(AG450&gt;AG453,AG453,AG450),1)</f>
        <v>1</v>
      </c>
      <c r="AH454" s="1828"/>
      <c r="AI454" s="1828"/>
      <c r="AJ454" s="1828"/>
    </row>
    <row r="455" spans="4:55" ht="13" customHeight="1">
      <c r="D455" s="1472" t="s">
        <v>2044</v>
      </c>
      <c r="E455" s="1473"/>
      <c r="F455" s="1473"/>
      <c r="G455" s="1473"/>
      <c r="H455" s="1473"/>
      <c r="I455" s="1473"/>
      <c r="J455" s="1473"/>
      <c r="K455" s="1473"/>
      <c r="L455" s="1473"/>
      <c r="M455" s="1473"/>
      <c r="N455" s="1473"/>
      <c r="O455" s="1473"/>
      <c r="P455" s="1473"/>
      <c r="Q455" s="1473"/>
      <c r="R455" s="1473"/>
      <c r="S455" s="1473"/>
      <c r="T455" s="1473"/>
      <c r="U455" s="1473"/>
      <c r="V455" s="1473"/>
      <c r="W455" s="1473"/>
      <c r="X455" s="1473"/>
      <c r="Y455" s="1473"/>
      <c r="Z455" s="1473"/>
      <c r="AA455" s="1473"/>
      <c r="AB455" s="1473"/>
      <c r="AC455" s="1473"/>
      <c r="AD455" s="1473"/>
      <c r="AE455" s="1473"/>
      <c r="AF455" s="1474"/>
      <c r="AG455" s="1476">
        <v>2105</v>
      </c>
      <c r="AH455" s="1476"/>
      <c r="AI455" s="1476"/>
      <c r="AJ455" s="1476"/>
      <c r="AZ455" s="34"/>
      <c r="BA455" s="34"/>
      <c r="BB455" s="34"/>
      <c r="BC455" s="34"/>
    </row>
    <row r="456" spans="4:55" ht="13" customHeight="1">
      <c r="D456" s="1475" t="s">
        <v>569</v>
      </c>
      <c r="E456" s="1473"/>
      <c r="F456" s="1473"/>
      <c r="G456" s="1473"/>
      <c r="H456" s="1473"/>
      <c r="I456" s="1473"/>
      <c r="J456" s="1473"/>
      <c r="K456" s="1473"/>
      <c r="L456" s="1473"/>
      <c r="M456" s="1473"/>
      <c r="N456" s="1473"/>
      <c r="O456" s="1473"/>
      <c r="P456" s="1473"/>
      <c r="Q456" s="1473"/>
      <c r="R456" s="1473"/>
      <c r="S456" s="1473"/>
      <c r="T456" s="1473"/>
      <c r="U456" s="1473"/>
      <c r="V456" s="1473"/>
      <c r="W456" s="1473"/>
      <c r="X456" s="1473"/>
      <c r="Y456" s="1473"/>
      <c r="Z456" s="1473"/>
      <c r="AA456" s="1473"/>
      <c r="AB456" s="1473"/>
      <c r="AC456" s="1473"/>
      <c r="AD456" s="1473"/>
      <c r="AE456" s="1473"/>
      <c r="AF456" s="1474"/>
      <c r="AG456" s="1476">
        <v>0</v>
      </c>
      <c r="AH456" s="1476"/>
      <c r="AI456" s="1476"/>
      <c r="AJ456" s="1476"/>
      <c r="AZ456" s="3"/>
      <c r="BA456" s="3"/>
      <c r="BB456" s="3"/>
      <c r="BC456" s="3"/>
    </row>
    <row r="457" spans="4:55" ht="13" customHeight="1">
      <c r="D457" s="1472" t="s">
        <v>1205</v>
      </c>
      <c r="E457" s="1473"/>
      <c r="F457" s="1473"/>
      <c r="G457" s="1473"/>
      <c r="H457" s="1473"/>
      <c r="I457" s="1473"/>
      <c r="J457" s="1473"/>
      <c r="K457" s="1473"/>
      <c r="L457" s="1473"/>
      <c r="M457" s="1473"/>
      <c r="N457" s="1473"/>
      <c r="O457" s="1473"/>
      <c r="P457" s="1473"/>
      <c r="Q457" s="1473"/>
      <c r="R457" s="1473"/>
      <c r="S457" s="1473"/>
      <c r="T457" s="1473"/>
      <c r="U457" s="1473"/>
      <c r="V457" s="1473"/>
      <c r="W457" s="1473"/>
      <c r="X457" s="1473"/>
      <c r="Y457" s="1473"/>
      <c r="Z457" s="1473"/>
      <c r="AA457" s="1473"/>
      <c r="AB457" s="1473"/>
      <c r="AC457" s="1473"/>
      <c r="AD457" s="1473"/>
      <c r="AE457" s="1473"/>
      <c r="AF457" s="1474"/>
      <c r="AG457" s="1476">
        <v>2587</v>
      </c>
      <c r="AH457" s="1476"/>
      <c r="AI457" s="1476"/>
      <c r="AJ457" s="1476"/>
      <c r="AZ457" s="3"/>
      <c r="BA457" s="3"/>
      <c r="BB457" s="3"/>
      <c r="BC457" s="3"/>
    </row>
    <row r="458" spans="4:55" ht="13" customHeight="1">
      <c r="D458" s="1472" t="s">
        <v>1038</v>
      </c>
      <c r="E458" s="1473"/>
      <c r="F458" s="1473"/>
      <c r="G458" s="1473"/>
      <c r="H458" s="1473"/>
      <c r="I458" s="1473"/>
      <c r="J458" s="1473"/>
      <c r="K458" s="1473"/>
      <c r="L458" s="1473"/>
      <c r="M458" s="1473"/>
      <c r="N458" s="1473"/>
      <c r="O458" s="1473"/>
      <c r="P458" s="1473"/>
      <c r="Q458" s="1473"/>
      <c r="R458" s="1473"/>
      <c r="S458" s="1473"/>
      <c r="T458" s="1473"/>
      <c r="U458" s="1473"/>
      <c r="V458" s="1473"/>
      <c r="W458" s="1473"/>
      <c r="X458" s="1473"/>
      <c r="Y458" s="1473"/>
      <c r="Z458" s="1473"/>
      <c r="AA458" s="1473"/>
      <c r="AB458" s="1473"/>
      <c r="AC458" s="1473"/>
      <c r="AD458" s="1473"/>
      <c r="AE458" s="1473"/>
      <c r="AF458" s="1474"/>
      <c r="AG458" s="1476">
        <v>7848</v>
      </c>
      <c r="AH458" s="1476"/>
      <c r="AI458" s="1476"/>
      <c r="AJ458" s="1476"/>
      <c r="BB458" s="3"/>
      <c r="BC458" s="3"/>
    </row>
    <row r="459" spans="4:55" ht="13" customHeight="1">
      <c r="D459" s="1771" t="s">
        <v>1039</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53">
        <f>AG451+AG455+AG457+AG458</f>
        <v>63306</v>
      </c>
      <c r="AH459" s="1853"/>
      <c r="AI459" s="1853"/>
      <c r="AJ459" s="1853"/>
      <c r="AZ459" s="3"/>
      <c r="BA459" s="3"/>
      <c r="BB459" s="3"/>
      <c r="BC459" s="3"/>
    </row>
    <row r="460" spans="4:55" ht="13" customHeight="1">
      <c r="D460" s="1753" t="s">
        <v>1206</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3"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23">
        <f>IF(AG446=0,"",'Sources and Uses Budget'!B105/Application!AG446)</f>
        <v>905638.64583333337</v>
      </c>
      <c r="AD463" s="1823"/>
      <c r="AE463" s="1823"/>
      <c r="AF463" s="1823"/>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23">
        <f>IF(AG446=0,"",'Sources and Uses Budget'!C105/Application!AG446)</f>
        <v>905638.64583333337</v>
      </c>
      <c r="AD464" s="1823"/>
      <c r="AE464" s="1823"/>
      <c r="AF464" s="1823"/>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23">
        <f>IF(AG446=0,"",('Sources and Uses Budget'!$S$107+'Sources and Uses Budget'!$T$107)/Application!AG446)</f>
        <v>843205</v>
      </c>
      <c r="AD465" s="1823"/>
      <c r="AE465" s="1823"/>
      <c r="AF465" s="1823"/>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4" t="s">
        <v>2056</v>
      </c>
      <c r="E473" s="1478"/>
      <c r="F473" s="1478"/>
      <c r="G473" s="1478"/>
      <c r="H473" s="1478"/>
      <c r="I473" s="1478"/>
      <c r="J473" s="1478"/>
      <c r="K473" s="1478"/>
      <c r="L473" s="1478"/>
      <c r="M473" s="1478"/>
      <c r="N473" s="1478"/>
      <c r="O473" s="1478"/>
      <c r="P473" s="1478"/>
      <c r="Q473" s="1478"/>
      <c r="R473" s="1478"/>
      <c r="S473" s="1478"/>
      <c r="T473" s="1478"/>
      <c r="U473" s="1478"/>
      <c r="V473" s="1479"/>
      <c r="W473" s="1438">
        <v>0</v>
      </c>
      <c r="X473" s="1439"/>
      <c r="Y473" s="144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77" t="s">
        <v>693</v>
      </c>
      <c r="E474" s="1478"/>
      <c r="F474" s="1478"/>
      <c r="G474" s="1478"/>
      <c r="H474" s="1478"/>
      <c r="I474" s="1478"/>
      <c r="J474" s="1478"/>
      <c r="K474" s="1478"/>
      <c r="L474" s="1478"/>
      <c r="M474" s="1478"/>
      <c r="N474" s="1478"/>
      <c r="O474" s="1478"/>
      <c r="P474" s="1478"/>
      <c r="Q474" s="1478"/>
      <c r="R474" s="1478"/>
      <c r="S474" s="1478"/>
      <c r="T474" s="1478"/>
      <c r="U474" s="1478"/>
      <c r="V474" s="1479"/>
      <c r="W474" s="1438">
        <v>0</v>
      </c>
      <c r="X474" s="1439"/>
      <c r="Y474" s="144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77" t="s">
        <v>694</v>
      </c>
      <c r="E475" s="1478"/>
      <c r="F475" s="1478"/>
      <c r="G475" s="1478"/>
      <c r="H475" s="1478"/>
      <c r="I475" s="1478"/>
      <c r="J475" s="1478"/>
      <c r="K475" s="1478"/>
      <c r="L475" s="1478"/>
      <c r="M475" s="1478"/>
      <c r="N475" s="1478"/>
      <c r="O475" s="1478"/>
      <c r="P475" s="1478"/>
      <c r="Q475" s="1478"/>
      <c r="R475" s="1478"/>
      <c r="S475" s="1478"/>
      <c r="T475" s="1478"/>
      <c r="U475" s="1478"/>
      <c r="V475" s="1479"/>
      <c r="W475" s="1438">
        <v>0</v>
      </c>
      <c r="X475" s="1439"/>
      <c r="Y475" s="144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77" t="s">
        <v>695</v>
      </c>
      <c r="E476" s="1478"/>
      <c r="F476" s="1478"/>
      <c r="G476" s="1478"/>
      <c r="H476" s="1478"/>
      <c r="I476" s="1478"/>
      <c r="J476" s="1478"/>
      <c r="K476" s="1478"/>
      <c r="L476" s="1478"/>
      <c r="M476" s="1478"/>
      <c r="N476" s="1478"/>
      <c r="O476" s="1478"/>
      <c r="P476" s="1478"/>
      <c r="Q476" s="1478"/>
      <c r="R476" s="1478"/>
      <c r="S476" s="1478"/>
      <c r="T476" s="1478"/>
      <c r="U476" s="1478"/>
      <c r="V476" s="1479"/>
      <c r="W476" s="1438">
        <v>0</v>
      </c>
      <c r="X476" s="1439"/>
      <c r="Y476" s="144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77" t="s">
        <v>881</v>
      </c>
      <c r="E477" s="1478"/>
      <c r="F477" s="1478"/>
      <c r="G477" s="1478"/>
      <c r="H477" s="1478"/>
      <c r="I477" s="1478"/>
      <c r="J477" s="1478"/>
      <c r="K477" s="1478"/>
      <c r="L477" s="1478"/>
      <c r="M477" s="1478"/>
      <c r="N477" s="1478"/>
      <c r="O477" s="1478"/>
      <c r="P477" s="1478"/>
      <c r="Q477" s="1478"/>
      <c r="R477" s="1478"/>
      <c r="S477" s="1478"/>
      <c r="T477" s="1478"/>
      <c r="U477" s="1478"/>
      <c r="V477" s="1479"/>
      <c r="W477" s="1438">
        <v>0</v>
      </c>
      <c r="X477" s="1439"/>
      <c r="Y477" s="144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77" t="s">
        <v>696</v>
      </c>
      <c r="E478" s="1478"/>
      <c r="F478" s="1478"/>
      <c r="G478" s="1478"/>
      <c r="H478" s="1478"/>
      <c r="I478" s="1478"/>
      <c r="J478" s="1478"/>
      <c r="K478" s="1478"/>
      <c r="L478" s="1478"/>
      <c r="M478" s="1478"/>
      <c r="N478" s="1478"/>
      <c r="O478" s="1478"/>
      <c r="P478" s="1478"/>
      <c r="Q478" s="1478"/>
      <c r="R478" s="1478"/>
      <c r="S478" s="1478"/>
      <c r="T478" s="1478"/>
      <c r="U478" s="1478"/>
      <c r="V478" s="1479"/>
      <c r="W478" s="1438">
        <v>0</v>
      </c>
      <c r="X478" s="1439"/>
      <c r="Y478" s="144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77" t="s">
        <v>1012</v>
      </c>
      <c r="E479" s="1478"/>
      <c r="F479" s="1478"/>
      <c r="G479" s="1478"/>
      <c r="H479" s="1478"/>
      <c r="I479" s="1478"/>
      <c r="J479" s="1478"/>
      <c r="K479" s="1478"/>
      <c r="L479" s="1478"/>
      <c r="M479" s="1478"/>
      <c r="N479" s="1478"/>
      <c r="O479" s="1478"/>
      <c r="P479" s="1478"/>
      <c r="Q479" s="1478"/>
      <c r="R479" s="1478"/>
      <c r="S479" s="1478"/>
      <c r="T479" s="1478"/>
      <c r="U479" s="1478"/>
      <c r="V479" s="1479"/>
      <c r="W479" s="1438">
        <v>0</v>
      </c>
      <c r="X479" s="1439"/>
      <c r="Y479" s="144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74" t="s">
        <v>2146</v>
      </c>
      <c r="E480" s="1859"/>
      <c r="F480" s="1859"/>
      <c r="G480" s="1859"/>
      <c r="H480" s="1859"/>
      <c r="I480" s="1859"/>
      <c r="J480" s="1859"/>
      <c r="K480" s="1859"/>
      <c r="L480" s="1859"/>
      <c r="M480" s="1859"/>
      <c r="N480" s="1859"/>
      <c r="O480" s="1859"/>
      <c r="P480" s="1859"/>
      <c r="Q480" s="1859"/>
      <c r="R480" s="1859"/>
      <c r="S480" s="1859"/>
      <c r="T480" s="1859"/>
      <c r="U480" s="1859"/>
      <c r="V480" s="1860"/>
      <c r="W480" s="1438">
        <v>0</v>
      </c>
      <c r="X480" s="1439"/>
      <c r="Y480" s="144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74" t="s">
        <v>1643</v>
      </c>
      <c r="E481" s="1478"/>
      <c r="F481" s="1478"/>
      <c r="G481" s="1478"/>
      <c r="H481" s="1478"/>
      <c r="I481" s="1478"/>
      <c r="J481" s="1478"/>
      <c r="K481" s="1478"/>
      <c r="L481" s="1478"/>
      <c r="M481" s="1478"/>
      <c r="N481" s="1478"/>
      <c r="O481" s="1478"/>
      <c r="P481" s="1478"/>
      <c r="Q481" s="1478"/>
      <c r="R481" s="1478"/>
      <c r="S481" s="1478"/>
      <c r="T481" s="1478"/>
      <c r="U481" s="1478"/>
      <c r="V481" s="1479"/>
      <c r="W481" s="1438">
        <v>10</v>
      </c>
      <c r="X481" s="1439"/>
      <c r="Y481" s="144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763" t="s">
        <v>2741</v>
      </c>
      <c r="H482" s="1764"/>
      <c r="I482" s="1764"/>
      <c r="J482" s="1764"/>
      <c r="K482" s="1764"/>
      <c r="L482" s="1764"/>
      <c r="M482" s="1764"/>
      <c r="N482" s="1764"/>
      <c r="O482" s="1764"/>
      <c r="P482" s="1764"/>
      <c r="Q482" s="1764"/>
      <c r="R482" s="1764"/>
      <c r="S482" s="1764"/>
      <c r="T482" s="1764"/>
      <c r="U482" s="1764"/>
      <c r="V482" s="1765"/>
      <c r="W482" s="1438">
        <v>5</v>
      </c>
      <c r="X482" s="1439"/>
      <c r="Y482" s="144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467" t="s">
        <v>810</v>
      </c>
      <c r="B488" s="1467"/>
      <c r="C488" s="1467"/>
      <c r="D488" s="1467"/>
      <c r="E488" s="1467"/>
      <c r="F488" s="1467"/>
      <c r="G488" s="1467"/>
      <c r="H488" s="1467"/>
      <c r="I488" s="1467"/>
      <c r="J488" s="1467"/>
      <c r="K488" s="1467"/>
      <c r="L488" s="1467"/>
      <c r="M488" s="1467"/>
      <c r="N488" s="1467"/>
      <c r="O488" s="1467"/>
      <c r="P488" s="1467"/>
      <c r="Q488" s="1467"/>
      <c r="R488" s="1467"/>
      <c r="S488" s="1467"/>
      <c r="T488" s="1467"/>
      <c r="U488" s="1467"/>
      <c r="V488" s="1467"/>
      <c r="W488" s="1467"/>
      <c r="X488" s="1467"/>
      <c r="Y488" s="1467"/>
      <c r="Z488" s="1467"/>
      <c r="AA488" s="1467"/>
      <c r="AB488" s="1467"/>
      <c r="AC488" s="1467"/>
      <c r="AD488" s="1467"/>
      <c r="AE488" s="1467"/>
      <c r="AF488" s="1467"/>
      <c r="AG488" s="1467"/>
      <c r="AH488" s="1467"/>
      <c r="AI488" s="1467"/>
      <c r="AJ488" s="1467"/>
      <c r="AK488" s="1467"/>
      <c r="AL488" s="1467"/>
      <c r="AM488" s="1467"/>
      <c r="AN488" s="1467"/>
      <c r="AO488" s="1467"/>
      <c r="AP488" s="1467"/>
      <c r="AQ488" s="1467"/>
      <c r="AR488" s="1467"/>
      <c r="AS488" s="1467"/>
      <c r="AT488" s="1467"/>
      <c r="AU488" s="95"/>
      <c r="AV488" s="95"/>
      <c r="AW488" s="95"/>
      <c r="AX488" s="95"/>
      <c r="AY488" s="95"/>
      <c r="AZ488" s="3"/>
      <c r="BB488" s="3"/>
      <c r="BC488" s="3"/>
    </row>
    <row r="489" spans="1:55" ht="13" customHeight="1">
      <c r="A489" s="1467"/>
      <c r="B489" s="1467"/>
      <c r="C489" s="1467"/>
      <c r="D489" s="1467"/>
      <c r="E489" s="1467"/>
      <c r="F489" s="1467"/>
      <c r="G489" s="1467"/>
      <c r="H489" s="1467"/>
      <c r="I489" s="1467"/>
      <c r="J489" s="1467"/>
      <c r="K489" s="1467"/>
      <c r="L489" s="1467"/>
      <c r="M489" s="1467"/>
      <c r="N489" s="1467"/>
      <c r="O489" s="1467"/>
      <c r="P489" s="1467"/>
      <c r="Q489" s="1467"/>
      <c r="R489" s="1467"/>
      <c r="S489" s="1467"/>
      <c r="T489" s="1467"/>
      <c r="U489" s="1467"/>
      <c r="V489" s="1467"/>
      <c r="W489" s="1467"/>
      <c r="X489" s="1467"/>
      <c r="Y489" s="1467"/>
      <c r="Z489" s="1467"/>
      <c r="AA489" s="1467"/>
      <c r="AB489" s="1467"/>
      <c r="AC489" s="1467"/>
      <c r="AD489" s="1467"/>
      <c r="AE489" s="1467"/>
      <c r="AF489" s="1467"/>
      <c r="AG489" s="1467"/>
      <c r="AH489" s="1467"/>
      <c r="AI489" s="1467"/>
      <c r="AJ489" s="1467"/>
      <c r="AK489" s="1467"/>
      <c r="AL489" s="1467"/>
      <c r="AM489" s="1467"/>
      <c r="AN489" s="1467"/>
      <c r="AO489" s="1467"/>
      <c r="AP489" s="1467"/>
      <c r="AQ489" s="1467"/>
      <c r="AR489" s="1467"/>
      <c r="AS489" s="1467"/>
      <c r="AT489" s="1467"/>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8" t="s">
        <v>393</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3" customHeight="1">
      <c r="B494" s="45" t="s">
        <v>394</v>
      </c>
      <c r="C494" s="5"/>
      <c r="D494" s="5"/>
      <c r="E494" s="5"/>
      <c r="F494" s="5"/>
      <c r="G494" s="5"/>
      <c r="H494" s="5"/>
      <c r="I494" s="5"/>
      <c r="J494" s="5"/>
      <c r="K494" s="5"/>
      <c r="L494" s="5"/>
      <c r="M494" s="5"/>
      <c r="N494" s="5"/>
      <c r="O494" s="5"/>
      <c r="P494" s="5"/>
      <c r="Q494" s="1565" t="s">
        <v>2742</v>
      </c>
      <c r="R494" s="1464"/>
      <c r="S494" s="1464"/>
      <c r="T494" s="1464"/>
      <c r="U494" s="1464"/>
      <c r="V494" s="1464"/>
      <c r="W494" s="1464"/>
      <c r="X494" s="1464"/>
      <c r="Y494" s="1464"/>
      <c r="Z494" s="1464"/>
      <c r="AA494" s="1464"/>
      <c r="AB494" s="1464"/>
      <c r="AC494" s="1464"/>
      <c r="AD494" s="1464"/>
      <c r="AE494" s="1464"/>
      <c r="AF494" s="1464"/>
      <c r="AG494" s="1464"/>
      <c r="AH494" s="1464"/>
      <c r="AI494" s="1464"/>
      <c r="AJ494" s="1464"/>
      <c r="AK494" s="1566"/>
      <c r="AZ494" s="3"/>
      <c r="BB494" s="3"/>
      <c r="BC494" s="3"/>
    </row>
    <row r="495" spans="1:55" ht="13" customHeight="1">
      <c r="B495" s="45" t="s">
        <v>395</v>
      </c>
      <c r="C495" s="5"/>
      <c r="D495" s="5"/>
      <c r="E495" s="5"/>
      <c r="F495" s="5"/>
      <c r="G495" s="5"/>
      <c r="H495" s="5"/>
      <c r="I495" s="5"/>
      <c r="J495" s="5"/>
      <c r="K495" s="5"/>
      <c r="L495" s="5"/>
      <c r="M495" s="5"/>
      <c r="N495" s="5"/>
      <c r="O495" s="5"/>
      <c r="P495" s="5"/>
      <c r="Q495" s="1565" t="s">
        <v>2743</v>
      </c>
      <c r="R495" s="1464"/>
      <c r="S495" s="1464"/>
      <c r="T495" s="1464"/>
      <c r="U495" s="1464"/>
      <c r="V495" s="1464"/>
      <c r="W495" s="1464"/>
      <c r="X495" s="1464"/>
      <c r="Y495" s="1464"/>
      <c r="Z495" s="1464"/>
      <c r="AA495" s="1464"/>
      <c r="AB495" s="1464"/>
      <c r="AC495" s="1464"/>
      <c r="AD495" s="1464"/>
      <c r="AE495" s="1464"/>
      <c r="AF495" s="1464"/>
      <c r="AG495" s="1464"/>
      <c r="AH495" s="1464"/>
      <c r="AI495" s="1464"/>
      <c r="AJ495" s="1464"/>
      <c r="AK495" s="1566"/>
      <c r="AZ495" s="3"/>
      <c r="BB495" s="3"/>
      <c r="BC495" s="3"/>
    </row>
    <row r="496" spans="1:55" ht="13" customHeight="1">
      <c r="B496" s="45" t="s">
        <v>396</v>
      </c>
      <c r="C496" s="5"/>
      <c r="D496" s="5"/>
      <c r="E496" s="5"/>
      <c r="F496" s="5"/>
      <c r="G496" s="5"/>
      <c r="H496" s="5"/>
      <c r="I496" s="5"/>
      <c r="J496" s="5"/>
      <c r="K496" s="5"/>
      <c r="L496" s="5"/>
      <c r="M496" s="5"/>
      <c r="N496" s="5"/>
      <c r="O496" s="5"/>
      <c r="P496" s="5"/>
      <c r="Q496" s="1565" t="s">
        <v>2744</v>
      </c>
      <c r="R496" s="1464"/>
      <c r="S496" s="1464"/>
      <c r="T496" s="1464"/>
      <c r="U496" s="1464"/>
      <c r="V496" s="1464"/>
      <c r="W496" s="1464"/>
      <c r="X496" s="1464"/>
      <c r="Y496" s="1464"/>
      <c r="Z496" s="1464"/>
      <c r="AA496" s="1464"/>
      <c r="AB496" s="1464"/>
      <c r="AC496" s="1464"/>
      <c r="AD496" s="1464"/>
      <c r="AE496" s="1464"/>
      <c r="AF496" s="1464"/>
      <c r="AG496" s="1464"/>
      <c r="AH496" s="1464"/>
      <c r="AI496" s="1464"/>
      <c r="AJ496" s="1464"/>
      <c r="AK496" s="1566"/>
      <c r="AZ496" s="3"/>
      <c r="BA496" s="3"/>
      <c r="BB496" s="3"/>
      <c r="BC496" s="3"/>
    </row>
    <row r="497" spans="1:66" ht="13" customHeight="1">
      <c r="B497" s="1842" t="s">
        <v>397</v>
      </c>
      <c r="C497" s="1843"/>
      <c r="D497" s="1843"/>
      <c r="E497" s="1843"/>
      <c r="F497" s="1843"/>
      <c r="G497" s="1843"/>
      <c r="H497" s="1843"/>
      <c r="I497" s="1843"/>
      <c r="J497" s="1843"/>
      <c r="K497" s="1843"/>
      <c r="L497" s="1843"/>
      <c r="M497" s="1843"/>
      <c r="N497" s="1843"/>
      <c r="O497" s="1843"/>
      <c r="P497" s="1844"/>
      <c r="Q497" s="1848" t="s">
        <v>669</v>
      </c>
      <c r="R497" s="1849"/>
      <c r="S497" s="1775" t="s">
        <v>166</v>
      </c>
      <c r="T497" s="1776"/>
      <c r="U497" s="1776"/>
      <c r="V497" s="1776"/>
      <c r="W497" s="1776"/>
      <c r="X497" s="1776"/>
      <c r="Y497" s="1776"/>
      <c r="Z497" s="1776"/>
      <c r="AA497" s="1776"/>
      <c r="AB497" s="1776"/>
      <c r="AC497" s="1776"/>
      <c r="AD497" s="1776"/>
      <c r="AE497" s="1776"/>
      <c r="AF497" s="1776"/>
      <c r="AG497" s="1776"/>
      <c r="AH497" s="1776"/>
      <c r="AI497" s="1776"/>
      <c r="AJ497" s="1776"/>
      <c r="AK497" s="1777"/>
      <c r="AZ497" s="3"/>
      <c r="BA497" s="3"/>
      <c r="BB497" s="3"/>
      <c r="BC497" s="3"/>
    </row>
    <row r="498" spans="1:66" ht="13" customHeight="1">
      <c r="B498" s="1845"/>
      <c r="C498" s="1846"/>
      <c r="D498" s="1846"/>
      <c r="E498" s="1846"/>
      <c r="F498" s="1846"/>
      <c r="G498" s="1846"/>
      <c r="H498" s="1846"/>
      <c r="I498" s="1846"/>
      <c r="J498" s="1846"/>
      <c r="K498" s="1846"/>
      <c r="L498" s="1846"/>
      <c r="M498" s="1846"/>
      <c r="N498" s="1846"/>
      <c r="O498" s="1846"/>
      <c r="P498" s="1847"/>
      <c r="Q498" s="1850"/>
      <c r="R498" s="1851"/>
      <c r="S498" s="1778"/>
      <c r="T498" s="1779"/>
      <c r="U498" s="1779"/>
      <c r="V498" s="1779"/>
      <c r="W498" s="1779"/>
      <c r="X498" s="1779"/>
      <c r="Y498" s="1779"/>
      <c r="Z498" s="1779"/>
      <c r="AA498" s="1779"/>
      <c r="AB498" s="1779"/>
      <c r="AC498" s="1779"/>
      <c r="AD498" s="1779"/>
      <c r="AE498" s="1779"/>
      <c r="AF498" s="1779"/>
      <c r="AG498" s="1779"/>
      <c r="AH498" s="1779"/>
      <c r="AI498" s="1779"/>
      <c r="AJ498" s="1779"/>
      <c r="AK498" s="1780"/>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856" t="s">
        <v>669</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858"/>
      <c r="AZ499" s="3"/>
      <c r="BA499" s="3"/>
      <c r="BB499" s="3"/>
      <c r="BC499" s="3"/>
    </row>
    <row r="500" spans="1:66" ht="13" customHeight="1">
      <c r="B500" s="45" t="s">
        <v>398</v>
      </c>
      <c r="C500" s="5"/>
      <c r="D500" s="5"/>
      <c r="E500" s="5"/>
      <c r="F500" s="5"/>
      <c r="G500" s="5"/>
      <c r="H500" s="5"/>
      <c r="I500" s="5"/>
      <c r="J500" s="5"/>
      <c r="K500" s="5"/>
      <c r="L500" s="5"/>
      <c r="M500" s="5"/>
      <c r="N500" s="5"/>
      <c r="O500" s="5"/>
      <c r="P500" s="5"/>
      <c r="Q500" s="1565" t="s">
        <v>2745</v>
      </c>
      <c r="R500" s="1464"/>
      <c r="S500" s="1464"/>
      <c r="T500" s="1464"/>
      <c r="U500" s="1464"/>
      <c r="V500" s="1464"/>
      <c r="W500" s="1464"/>
      <c r="X500" s="1464"/>
      <c r="Y500" s="1464"/>
      <c r="Z500" s="1464"/>
      <c r="AA500" s="1464"/>
      <c r="AB500" s="1464"/>
      <c r="AC500" s="1464"/>
      <c r="AD500" s="1464"/>
      <c r="AE500" s="1464"/>
      <c r="AF500" s="1464"/>
      <c r="AG500" s="1464"/>
      <c r="AH500" s="1464"/>
      <c r="AI500" s="1464"/>
      <c r="AJ500" s="1464"/>
      <c r="AK500" s="1566"/>
      <c r="AZ500" s="3"/>
      <c r="BA500" s="3"/>
      <c r="BB500" s="3"/>
      <c r="BC500" s="3"/>
    </row>
    <row r="501" spans="1:66" ht="13" customHeight="1">
      <c r="B501" s="45" t="s">
        <v>399</v>
      </c>
      <c r="C501" s="5"/>
      <c r="D501" s="5"/>
      <c r="E501" s="5"/>
      <c r="F501" s="5"/>
      <c r="G501" s="5"/>
      <c r="H501" s="5"/>
      <c r="I501" s="5"/>
      <c r="J501" s="5"/>
      <c r="K501" s="5"/>
      <c r="L501" s="5"/>
      <c r="M501" s="5"/>
      <c r="N501" s="5"/>
      <c r="O501" s="5"/>
      <c r="P501" s="5"/>
      <c r="Q501" s="1565" t="s">
        <v>2746</v>
      </c>
      <c r="R501" s="1464"/>
      <c r="S501" s="1464"/>
      <c r="T501" s="1464"/>
      <c r="U501" s="1464"/>
      <c r="V501" s="1464"/>
      <c r="W501" s="1464"/>
      <c r="X501" s="1464"/>
      <c r="Y501" s="1464"/>
      <c r="Z501" s="1464"/>
      <c r="AA501" s="1464"/>
      <c r="AB501" s="1464"/>
      <c r="AC501" s="1464"/>
      <c r="AD501" s="1464"/>
      <c r="AE501" s="1464"/>
      <c r="AF501" s="1464"/>
      <c r="AG501" s="1464"/>
      <c r="AH501" s="1464"/>
      <c r="AI501" s="1464"/>
      <c r="AJ501" s="1464"/>
      <c r="AK501" s="1566"/>
      <c r="AZ501" s="3"/>
      <c r="BA501" s="3"/>
      <c r="BB501" s="3"/>
      <c r="BC501" s="3"/>
    </row>
    <row r="502" spans="1:66" ht="13" customHeight="1">
      <c r="B502" s="121" t="s">
        <v>1657</v>
      </c>
      <c r="C502" s="5"/>
      <c r="D502" s="5"/>
      <c r="E502" s="5"/>
      <c r="F502" s="5"/>
      <c r="G502" s="5"/>
      <c r="H502" s="5"/>
      <c r="I502" s="5"/>
      <c r="J502" s="5"/>
      <c r="K502" s="5"/>
      <c r="L502" s="5"/>
      <c r="M502" s="5"/>
      <c r="N502" s="5"/>
      <c r="O502" s="5"/>
      <c r="P502" s="5"/>
      <c r="Q502" s="1565">
        <v>46</v>
      </c>
      <c r="R502" s="1464"/>
      <c r="S502" s="1464"/>
      <c r="T502" s="1464"/>
      <c r="U502" s="1464"/>
      <c r="V502" s="1464"/>
      <c r="W502" s="1464"/>
      <c r="X502" s="1464"/>
      <c r="Y502" s="1464"/>
      <c r="Z502" s="1464"/>
      <c r="AA502" s="1464"/>
      <c r="AB502" s="1464"/>
      <c r="AC502" s="1464"/>
      <c r="AD502" s="1464"/>
      <c r="AE502" s="1464"/>
      <c r="AF502" s="1464"/>
      <c r="AG502" s="1464"/>
      <c r="AH502" s="1464"/>
      <c r="AI502" s="1464"/>
      <c r="AJ502" s="1464"/>
      <c r="AK502" s="1566"/>
      <c r="AZ502" s="3"/>
      <c r="BA502" s="3"/>
      <c r="BB502" s="3"/>
      <c r="BC502" s="3"/>
    </row>
    <row r="503" spans="1:66" ht="13" customHeight="1">
      <c r="B503" s="121" t="s">
        <v>1658</v>
      </c>
      <c r="C503" s="5"/>
      <c r="D503" s="5"/>
      <c r="E503" s="5"/>
      <c r="F503" s="5"/>
      <c r="G503" s="5"/>
      <c r="H503" s="5"/>
      <c r="I503" s="5"/>
      <c r="J503" s="5"/>
      <c r="K503" s="5"/>
      <c r="L503" s="5"/>
      <c r="M503" s="1454">
        <v>46</v>
      </c>
      <c r="N503" s="1455"/>
      <c r="O503" s="1455"/>
      <c r="P503" s="1456"/>
      <c r="Q503" s="121" t="s">
        <v>1659</v>
      </c>
      <c r="R503" s="5"/>
      <c r="S503" s="5"/>
      <c r="T503" s="5"/>
      <c r="U503" s="5"/>
      <c r="V503" s="5"/>
      <c r="W503" s="5"/>
      <c r="X503" s="5"/>
      <c r="Y503" s="5"/>
      <c r="Z503" s="5"/>
      <c r="AA503" s="5"/>
      <c r="AB503" s="5"/>
      <c r="AC503" s="5"/>
      <c r="AD503" s="5"/>
      <c r="AE503" s="5"/>
      <c r="AF503" s="5"/>
      <c r="AG503" s="5"/>
      <c r="AH503" s="1454">
        <v>0</v>
      </c>
      <c r="AI503" s="1455"/>
      <c r="AJ503" s="1455"/>
      <c r="AK503" s="145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401</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402</v>
      </c>
      <c r="AD508" s="1769"/>
      <c r="AE508" s="1769"/>
      <c r="AF508" s="1769"/>
      <c r="AG508" s="50" t="s">
        <v>403</v>
      </c>
      <c r="AH508" s="1769" t="s">
        <v>404</v>
      </c>
      <c r="AI508" s="1769"/>
      <c r="AJ508" s="1769"/>
      <c r="AK508" s="1770"/>
      <c r="AZ508" s="3"/>
      <c r="BA508" s="3"/>
      <c r="BB508" s="3"/>
      <c r="BC508" s="3"/>
      <c r="BD508" s="3"/>
      <c r="BE508" s="3"/>
      <c r="BF508" s="3"/>
      <c r="BG508" s="3"/>
      <c r="BH508" s="3"/>
      <c r="BI508" s="3"/>
      <c r="BJ508" s="3"/>
      <c r="BK508" s="3"/>
      <c r="BL508" s="3"/>
      <c r="BM508" s="3"/>
      <c r="BN508" s="3"/>
    </row>
    <row r="509" spans="1:66" ht="13" customHeight="1">
      <c r="B509" s="1698" t="s">
        <v>405</v>
      </c>
      <c r="C509" s="1480"/>
      <c r="D509" s="1480"/>
      <c r="E509" s="1480"/>
      <c r="F509" s="1480"/>
      <c r="G509" s="1480"/>
      <c r="H509" s="1481"/>
      <c r="I509" s="42" t="s">
        <v>406</v>
      </c>
      <c r="J509" s="42"/>
      <c r="K509" s="42"/>
      <c r="L509" s="42"/>
      <c r="M509" s="42"/>
      <c r="N509" s="42"/>
      <c r="O509" s="42"/>
      <c r="P509" s="42"/>
      <c r="Q509" s="42"/>
      <c r="R509" s="42"/>
      <c r="S509" s="42"/>
      <c r="T509" s="42"/>
      <c r="U509" s="42"/>
      <c r="V509" s="42"/>
      <c r="W509" s="42"/>
      <c r="AC509" s="1460" t="s">
        <v>591</v>
      </c>
      <c r="AD509" s="1461"/>
      <c r="AE509" s="1461"/>
      <c r="AF509" s="1461"/>
      <c r="AG509" s="13" t="s">
        <v>403</v>
      </c>
      <c r="AH509" s="1377" t="s">
        <v>591</v>
      </c>
      <c r="AI509" s="1377"/>
      <c r="AJ509" s="1377"/>
      <c r="AK509" s="1378"/>
      <c r="AZ509" s="3"/>
      <c r="BA509" s="3"/>
      <c r="BB509" s="3"/>
      <c r="BC509" s="3"/>
      <c r="BD509" s="3"/>
      <c r="BE509" s="3"/>
      <c r="BF509" s="3"/>
      <c r="BG509" s="3"/>
      <c r="BH509" s="3"/>
      <c r="BI509" s="3"/>
      <c r="BJ509" s="3"/>
      <c r="BK509" s="3"/>
      <c r="BL509" s="3"/>
      <c r="BM509" s="3"/>
      <c r="BN509" s="3"/>
    </row>
    <row r="510" spans="1:66" ht="13" customHeight="1">
      <c r="B510" s="1699"/>
      <c r="C510" s="1482"/>
      <c r="D510" s="1482"/>
      <c r="E510" s="1482"/>
      <c r="F510" s="1482"/>
      <c r="G510" s="1482"/>
      <c r="H510" s="1483"/>
      <c r="I510" s="48" t="s">
        <v>407</v>
      </c>
      <c r="J510" s="48"/>
      <c r="K510" s="48"/>
      <c r="L510" s="48"/>
      <c r="M510" s="48"/>
      <c r="N510" s="48"/>
      <c r="O510" s="48"/>
      <c r="P510" s="48"/>
      <c r="Q510" s="48"/>
      <c r="R510" s="48"/>
      <c r="S510" s="48"/>
      <c r="T510" s="48"/>
      <c r="U510" s="48"/>
      <c r="V510" s="48"/>
      <c r="W510" s="48"/>
      <c r="X510" s="48"/>
      <c r="Y510" s="48"/>
      <c r="Z510" s="48"/>
      <c r="AA510" s="48"/>
      <c r="AB510" s="48"/>
      <c r="AC510" s="1460">
        <v>11</v>
      </c>
      <c r="AD510" s="1461"/>
      <c r="AE510" s="1461"/>
      <c r="AF510" s="1461"/>
      <c r="AG510" s="38" t="s">
        <v>403</v>
      </c>
      <c r="AH510" s="1377">
        <v>2026</v>
      </c>
      <c r="AI510" s="1377"/>
      <c r="AJ510" s="1377"/>
      <c r="AK510" s="1378"/>
      <c r="AZ510" s="3"/>
      <c r="BA510" s="3"/>
      <c r="BB510" s="3"/>
      <c r="BC510" s="3"/>
      <c r="BD510" s="3"/>
      <c r="BE510" s="3"/>
      <c r="BF510" s="3"/>
      <c r="BG510" s="3"/>
      <c r="BH510" s="3"/>
      <c r="BI510" s="3"/>
      <c r="BJ510" s="3"/>
      <c r="BK510" s="3"/>
      <c r="BL510" s="3"/>
      <c r="BM510" s="3"/>
      <c r="BN510" s="3"/>
    </row>
    <row r="511" spans="1:66" ht="13" customHeight="1">
      <c r="B511" s="1698" t="s">
        <v>408</v>
      </c>
      <c r="C511" s="1480"/>
      <c r="D511" s="1480"/>
      <c r="E511" s="1480"/>
      <c r="F511" s="1480"/>
      <c r="G511" s="1480"/>
      <c r="H511" s="1481"/>
      <c r="I511" s="42" t="s">
        <v>409</v>
      </c>
      <c r="J511" s="42"/>
      <c r="K511" s="42"/>
      <c r="L511" s="42"/>
      <c r="M511" s="42"/>
      <c r="N511" s="42"/>
      <c r="O511" s="42"/>
      <c r="P511" s="42"/>
      <c r="Q511" s="42"/>
      <c r="R511" s="42"/>
      <c r="S511" s="42"/>
      <c r="T511" s="42"/>
      <c r="U511" s="42"/>
      <c r="V511" s="42"/>
      <c r="W511" s="42"/>
      <c r="AC511" s="1460" t="s">
        <v>591</v>
      </c>
      <c r="AD511" s="1461"/>
      <c r="AE511" s="1461"/>
      <c r="AF511" s="1461"/>
      <c r="AG511" s="13" t="s">
        <v>403</v>
      </c>
      <c r="AH511" s="1377"/>
      <c r="AI511" s="1377"/>
      <c r="AJ511" s="1377"/>
      <c r="AK511" s="1378"/>
      <c r="AZ511" s="3"/>
      <c r="BA511" s="3"/>
      <c r="BB511" s="3"/>
      <c r="BC511" s="3"/>
      <c r="BD511" s="3"/>
      <c r="BE511" s="3"/>
      <c r="BF511" s="3"/>
      <c r="BG511" s="3"/>
      <c r="BH511" s="3"/>
      <c r="BI511" s="3"/>
      <c r="BJ511" s="3"/>
      <c r="BK511" s="3"/>
      <c r="BL511" s="3"/>
      <c r="BM511" s="3"/>
      <c r="BN511" s="3"/>
    </row>
    <row r="512" spans="1:66" ht="13" customHeight="1">
      <c r="B512" s="1699"/>
      <c r="C512" s="1482"/>
      <c r="D512" s="1482"/>
      <c r="E512" s="1482"/>
      <c r="F512" s="1482"/>
      <c r="G512" s="1482"/>
      <c r="H512" s="1483"/>
      <c r="I512" t="s">
        <v>410</v>
      </c>
      <c r="AC512" s="1460" t="s">
        <v>591</v>
      </c>
      <c r="AD512" s="1461"/>
      <c r="AE512" s="1461"/>
      <c r="AF512" s="1461"/>
      <c r="AG512" s="13" t="s">
        <v>403</v>
      </c>
      <c r="AH512" s="1377"/>
      <c r="AI512" s="1377"/>
      <c r="AJ512" s="1377"/>
      <c r="AK512" s="1378"/>
      <c r="AZ512" s="3"/>
      <c r="BA512" s="3"/>
      <c r="BB512" s="3"/>
      <c r="BC512" s="3"/>
      <c r="BD512" s="3"/>
      <c r="BE512" s="3"/>
      <c r="BF512" s="3"/>
      <c r="BG512" s="3"/>
      <c r="BH512" s="3"/>
      <c r="BI512" s="3"/>
      <c r="BJ512" s="3"/>
      <c r="BK512" s="3"/>
      <c r="BL512" s="3"/>
      <c r="BM512" s="3"/>
      <c r="BN512" s="3"/>
    </row>
    <row r="513" spans="2:66" ht="13" customHeight="1">
      <c r="B513" s="1699"/>
      <c r="C513" s="1482"/>
      <c r="D513" s="1482"/>
      <c r="E513" s="1482"/>
      <c r="F513" s="1482"/>
      <c r="G513" s="1482"/>
      <c r="H513" s="1483"/>
      <c r="I513" t="s">
        <v>411</v>
      </c>
      <c r="AC513" s="1460">
        <v>7</v>
      </c>
      <c r="AD513" s="1461"/>
      <c r="AE513" s="1461"/>
      <c r="AF513" s="1461"/>
      <c r="AG513" s="13" t="s">
        <v>403</v>
      </c>
      <c r="AH513" s="1377">
        <v>2026</v>
      </c>
      <c r="AI513" s="1377"/>
      <c r="AJ513" s="1377"/>
      <c r="AK513" s="1378"/>
      <c r="AZ513" s="3"/>
      <c r="BA513" s="3"/>
      <c r="BB513" s="3"/>
      <c r="BC513" s="3"/>
      <c r="BD513" s="3"/>
      <c r="BE513" s="3"/>
      <c r="BF513" s="3"/>
      <c r="BG513" s="3"/>
      <c r="BH513" s="3"/>
      <c r="BI513" s="3"/>
      <c r="BJ513" s="3"/>
      <c r="BK513" s="3"/>
      <c r="BL513" s="3"/>
      <c r="BM513" s="3"/>
      <c r="BN513" s="3"/>
    </row>
    <row r="514" spans="2:66" ht="13" customHeight="1">
      <c r="B514" s="1699"/>
      <c r="C514" s="1482"/>
      <c r="D514" s="1482"/>
      <c r="E514" s="1482"/>
      <c r="F514" s="1482"/>
      <c r="G514" s="1482"/>
      <c r="H514" s="1483"/>
      <c r="I514" t="s">
        <v>412</v>
      </c>
      <c r="AC514" s="1460" t="s">
        <v>591</v>
      </c>
      <c r="AD514" s="1461"/>
      <c r="AE514" s="1461"/>
      <c r="AF514" s="1461"/>
      <c r="AG514" s="13" t="s">
        <v>403</v>
      </c>
      <c r="AH514" s="1377"/>
      <c r="AI514" s="1377"/>
      <c r="AJ514" s="1377"/>
      <c r="AK514" s="1378"/>
      <c r="AZ514" s="3"/>
      <c r="BA514" s="3"/>
      <c r="BB514" s="3"/>
      <c r="BC514" s="3"/>
      <c r="BD514" s="3"/>
      <c r="BE514" s="3"/>
      <c r="BF514" s="3"/>
      <c r="BG514" s="3"/>
      <c r="BH514" s="3"/>
      <c r="BI514" s="3"/>
      <c r="BJ514" s="3"/>
      <c r="BK514" s="3"/>
      <c r="BL514" s="3"/>
      <c r="BM514" s="3"/>
      <c r="BN514" s="3"/>
    </row>
    <row r="515" spans="2:66" ht="13" customHeight="1">
      <c r="B515" s="1699"/>
      <c r="C515" s="1482"/>
      <c r="D515" s="1482"/>
      <c r="E515" s="1482"/>
      <c r="F515" s="1482"/>
      <c r="G515" s="1482"/>
      <c r="H515" s="1483"/>
      <c r="I515" s="3" t="s">
        <v>413</v>
      </c>
      <c r="AC515" s="1364">
        <v>10</v>
      </c>
      <c r="AD515" s="1365"/>
      <c r="AE515" s="1365"/>
      <c r="AF515" s="1365"/>
      <c r="AG515" s="13" t="s">
        <v>403</v>
      </c>
      <c r="AH515" s="1377">
        <v>2026</v>
      </c>
      <c r="AI515" s="1377"/>
      <c r="AJ515" s="1377"/>
      <c r="AK515" s="1378"/>
      <c r="AZ515" s="3"/>
      <c r="BA515" s="3"/>
      <c r="BB515" s="3"/>
      <c r="BC515" s="3"/>
      <c r="BD515" s="3"/>
      <c r="BE515" s="3"/>
      <c r="BF515" s="3"/>
      <c r="BG515" s="3"/>
      <c r="BH515" s="3"/>
      <c r="BI515" s="3"/>
      <c r="BJ515" s="3"/>
      <c r="BK515" s="3"/>
      <c r="BL515" s="3"/>
      <c r="BM515" s="3"/>
      <c r="BN515" s="3"/>
    </row>
    <row r="516" spans="2:66" ht="13" customHeight="1">
      <c r="B516" s="1699"/>
      <c r="C516" s="1482"/>
      <c r="D516" s="1482"/>
      <c r="E516" s="1482"/>
      <c r="F516" s="1482"/>
      <c r="G516" s="1482"/>
      <c r="H516" s="1483"/>
      <c r="I516" s="892" t="s">
        <v>170</v>
      </c>
      <c r="J516" s="48"/>
      <c r="K516" s="48"/>
      <c r="L516" s="1757" t="s">
        <v>334</v>
      </c>
      <c r="M516" s="1758"/>
      <c r="N516" s="1758"/>
      <c r="O516" s="1758"/>
      <c r="P516" s="1758"/>
      <c r="Q516" s="1758"/>
      <c r="R516" s="1758"/>
      <c r="S516" s="1758"/>
      <c r="T516" s="1758"/>
      <c r="U516" s="1758"/>
      <c r="V516" s="1758"/>
      <c r="W516" s="1758"/>
      <c r="X516" s="1758"/>
      <c r="Y516" s="1758"/>
      <c r="Z516" s="1758"/>
      <c r="AA516" s="1758"/>
      <c r="AB516" s="1854"/>
      <c r="AC516" s="1460" t="s">
        <v>591</v>
      </c>
      <c r="AD516" s="1461"/>
      <c r="AE516" s="1461"/>
      <c r="AF516" s="1461"/>
      <c r="AG516" s="38" t="s">
        <v>403</v>
      </c>
      <c r="AH516" s="1377"/>
      <c r="AI516" s="1377"/>
      <c r="AJ516" s="1377"/>
      <c r="AK516" s="1378"/>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826" t="s">
        <v>1184</v>
      </c>
      <c r="AD517" s="1826"/>
      <c r="AE517" s="1826"/>
      <c r="AF517" s="1826"/>
      <c r="AG517" s="13"/>
      <c r="AH517" s="1342"/>
      <c r="AI517" s="1342"/>
      <c r="AJ517" s="1342"/>
      <c r="AK517" s="171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4"/>
      <c r="AD518" s="1365"/>
      <c r="AE518" s="1365"/>
      <c r="AF518" s="1366"/>
      <c r="AG518" s="13"/>
      <c r="AH518" s="1342"/>
      <c r="AI518" s="1342"/>
      <c r="AJ518" s="1342"/>
      <c r="AK518" s="171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9">
        <v>0.4</v>
      </c>
      <c r="AD520" s="1840"/>
      <c r="AE520" s="1840"/>
      <c r="AF520" s="1841"/>
      <c r="AG520" s="38"/>
      <c r="AH520" s="1755"/>
      <c r="AI520" s="1755"/>
      <c r="AJ520" s="1755"/>
      <c r="AK520" s="1756"/>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62" t="s">
        <v>402</v>
      </c>
      <c r="AD521" s="1463"/>
      <c r="AE521" s="1463"/>
      <c r="AF521" s="1463"/>
      <c r="AG521" s="38" t="s">
        <v>403</v>
      </c>
      <c r="AH521" s="1463" t="s">
        <v>404</v>
      </c>
      <c r="AI521" s="1463"/>
      <c r="AJ521" s="1463"/>
      <c r="AK521" s="1855"/>
      <c r="AZ521" s="3"/>
      <c r="BA521" s="3"/>
      <c r="BB521" s="3"/>
      <c r="BC521" s="3"/>
      <c r="BD521" s="3"/>
      <c r="BE521" s="3"/>
      <c r="BF521" s="3"/>
      <c r="BG521" s="3"/>
      <c r="BH521" s="3"/>
      <c r="BI521" s="3"/>
      <c r="BJ521" s="3"/>
      <c r="BK521" s="3"/>
      <c r="BL521" s="3"/>
      <c r="BM521" s="3"/>
      <c r="BN521" s="3" t="s">
        <v>2061</v>
      </c>
    </row>
    <row r="522" spans="2:66" ht="13" customHeight="1">
      <c r="B522" s="1698" t="s">
        <v>414</v>
      </c>
      <c r="C522" s="1480"/>
      <c r="D522" s="1480"/>
      <c r="E522" s="1480"/>
      <c r="F522" s="1480"/>
      <c r="G522" s="1480"/>
      <c r="H522" s="1481"/>
      <c r="I522" s="42" t="s">
        <v>415</v>
      </c>
      <c r="J522" s="42"/>
      <c r="K522" s="42"/>
      <c r="L522" s="42"/>
      <c r="M522" s="42"/>
      <c r="N522" s="42"/>
      <c r="O522" s="42"/>
      <c r="P522" s="42"/>
      <c r="Q522" s="42"/>
      <c r="R522" s="42"/>
      <c r="S522" s="42"/>
      <c r="T522" s="42"/>
      <c r="U522" s="42"/>
      <c r="V522" s="42"/>
      <c r="W522" s="42"/>
      <c r="AC522" s="1460">
        <v>1</v>
      </c>
      <c r="AD522" s="1461"/>
      <c r="AE522" s="1461"/>
      <c r="AF522" s="1461"/>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2062</v>
      </c>
    </row>
    <row r="523" spans="2:66" ht="13" customHeight="1">
      <c r="B523" s="1699"/>
      <c r="C523" s="1482"/>
      <c r="D523" s="1482"/>
      <c r="E523" s="1482"/>
      <c r="F523" s="1482"/>
      <c r="G523" s="1482"/>
      <c r="H523" s="1483"/>
      <c r="I523" t="s">
        <v>416</v>
      </c>
      <c r="AC523" s="1460">
        <v>1</v>
      </c>
      <c r="AD523" s="1461"/>
      <c r="AE523" s="1461"/>
      <c r="AF523" s="1461"/>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2063</v>
      </c>
    </row>
    <row r="524" spans="2:66" ht="13" customHeight="1">
      <c r="B524" s="1699"/>
      <c r="C524" s="1482"/>
      <c r="D524" s="1482"/>
      <c r="E524" s="1482"/>
      <c r="F524" s="1482"/>
      <c r="G524" s="1482"/>
      <c r="H524" s="1483"/>
      <c r="I524" s="48" t="s">
        <v>417</v>
      </c>
      <c r="J524" s="48"/>
      <c r="K524" s="48"/>
      <c r="L524" s="48"/>
      <c r="M524" s="48"/>
      <c r="N524" s="48"/>
      <c r="O524" s="48"/>
      <c r="P524" s="48"/>
      <c r="Q524" s="48"/>
      <c r="R524" s="48"/>
      <c r="S524" s="48"/>
      <c r="T524" s="48"/>
      <c r="U524" s="48"/>
      <c r="V524" s="48"/>
      <c r="W524" s="48"/>
      <c r="X524" s="48"/>
      <c r="Y524" s="48"/>
      <c r="Z524" s="48"/>
      <c r="AA524" s="48"/>
      <c r="AB524" s="48"/>
      <c r="AC524" s="1460">
        <v>11</v>
      </c>
      <c r="AD524" s="1461"/>
      <c r="AE524" s="1461"/>
      <c r="AF524" s="1461"/>
      <c r="AG524" s="38" t="s">
        <v>403</v>
      </c>
      <c r="AH524" s="1377">
        <v>2026</v>
      </c>
      <c r="AI524" s="1377"/>
      <c r="AJ524" s="1377"/>
      <c r="AK524" s="1378"/>
      <c r="AZ524" s="3"/>
      <c r="BA524" s="3"/>
      <c r="BB524" s="3"/>
      <c r="BC524" s="3"/>
      <c r="BD524" s="3"/>
      <c r="BE524" s="3"/>
      <c r="BF524" s="3"/>
      <c r="BG524" s="3"/>
      <c r="BH524" s="3"/>
      <c r="BI524" s="3"/>
      <c r="BJ524" s="3"/>
      <c r="BK524" s="3"/>
      <c r="BL524" s="3"/>
      <c r="BM524" s="3"/>
      <c r="BN524" s="3" t="s">
        <v>2064</v>
      </c>
    </row>
    <row r="525" spans="2:66" ht="13" customHeight="1">
      <c r="B525" s="1698" t="s">
        <v>418</v>
      </c>
      <c r="C525" s="1480"/>
      <c r="D525" s="1480"/>
      <c r="E525" s="1480"/>
      <c r="F525" s="1480"/>
      <c r="G525" s="1480"/>
      <c r="H525" s="1481"/>
      <c r="I525" s="42" t="s">
        <v>415</v>
      </c>
      <c r="J525" s="42"/>
      <c r="K525" s="42"/>
      <c r="L525" s="42"/>
      <c r="M525" s="42"/>
      <c r="N525" s="42"/>
      <c r="O525" s="42"/>
      <c r="P525" s="42"/>
      <c r="Q525" s="42"/>
      <c r="R525" s="42"/>
      <c r="S525" s="42"/>
      <c r="T525" s="42"/>
      <c r="U525" s="42"/>
      <c r="V525" s="42"/>
      <c r="W525" s="42"/>
      <c r="X525" s="42"/>
      <c r="Y525" s="42"/>
      <c r="Z525" s="42"/>
      <c r="AA525" s="42"/>
      <c r="AB525" s="42"/>
      <c r="AC525" s="1364">
        <v>1</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2065</v>
      </c>
    </row>
    <row r="526" spans="2:66" ht="13" customHeight="1">
      <c r="B526" s="1699"/>
      <c r="C526" s="1482"/>
      <c r="D526" s="1482"/>
      <c r="E526" s="1482"/>
      <c r="F526" s="1482"/>
      <c r="G526" s="1482"/>
      <c r="H526" s="1483"/>
      <c r="I526" t="s">
        <v>416</v>
      </c>
      <c r="AC526" s="1460">
        <v>1</v>
      </c>
      <c r="AD526" s="1461"/>
      <c r="AE526" s="1461"/>
      <c r="AF526" s="1461"/>
      <c r="AG526" s="13" t="s">
        <v>403</v>
      </c>
      <c r="AH526" s="1377">
        <v>2026</v>
      </c>
      <c r="AI526" s="1377"/>
      <c r="AJ526" s="1377"/>
      <c r="AK526" s="1378"/>
      <c r="BB526" s="3"/>
      <c r="BC526" s="3"/>
      <c r="BD526" s="3"/>
      <c r="BE526" s="3"/>
      <c r="BF526" s="3"/>
      <c r="BG526" s="3"/>
      <c r="BH526" s="3"/>
      <c r="BI526" s="3"/>
      <c r="BJ526" s="3"/>
      <c r="BK526" s="3"/>
      <c r="BL526" s="3"/>
      <c r="BM526" s="3"/>
      <c r="BN526" s="3" t="s">
        <v>2066</v>
      </c>
    </row>
    <row r="527" spans="2:66" ht="13" customHeight="1">
      <c r="B527" s="1700"/>
      <c r="C527" s="1484"/>
      <c r="D527" s="1484"/>
      <c r="E527" s="1484"/>
      <c r="F527" s="1484"/>
      <c r="G527" s="1484"/>
      <c r="H527" s="1485"/>
      <c r="I527" s="48" t="s">
        <v>417</v>
      </c>
      <c r="J527" s="48"/>
      <c r="K527" s="48"/>
      <c r="L527" s="48"/>
      <c r="M527" s="48"/>
      <c r="N527" s="48"/>
      <c r="O527" s="48"/>
      <c r="P527" s="48"/>
      <c r="Q527" s="48"/>
      <c r="R527" s="48"/>
      <c r="S527" s="48"/>
      <c r="T527" s="48"/>
      <c r="U527" s="48"/>
      <c r="V527" s="48"/>
      <c r="W527" s="48"/>
      <c r="X527" s="48"/>
      <c r="Y527" s="48"/>
      <c r="Z527" s="48"/>
      <c r="AA527" s="48"/>
      <c r="AB527" s="48"/>
      <c r="AC527" s="1460">
        <v>11</v>
      </c>
      <c r="AD527" s="1461"/>
      <c r="AE527" s="1461"/>
      <c r="AF527" s="1461"/>
      <c r="AG527" s="38" t="s">
        <v>403</v>
      </c>
      <c r="AH527" s="1377">
        <v>2028</v>
      </c>
      <c r="AI527" s="1377"/>
      <c r="AJ527" s="1377"/>
      <c r="AK527" s="1378"/>
      <c r="BB527" s="3"/>
      <c r="BC527" s="3"/>
      <c r="BD527" s="3"/>
      <c r="BE527" s="3"/>
      <c r="BF527" s="3"/>
      <c r="BG527" s="3"/>
      <c r="BH527" s="3"/>
      <c r="BI527" s="3"/>
      <c r="BJ527" s="3"/>
      <c r="BK527" s="3"/>
      <c r="BL527" s="3"/>
      <c r="BM527" s="3"/>
      <c r="BN527" s="3" t="s">
        <v>2067</v>
      </c>
    </row>
    <row r="528" spans="2:66" ht="13" customHeight="1">
      <c r="B528" s="1698" t="s">
        <v>419</v>
      </c>
      <c r="C528" s="1480"/>
      <c r="D528" s="1480"/>
      <c r="E528" s="1480"/>
      <c r="F528" s="1480"/>
      <c r="G528" s="1480"/>
      <c r="H528" s="1481"/>
      <c r="I528" s="41" t="s">
        <v>420</v>
      </c>
      <c r="J528" s="42"/>
      <c r="K528" s="42"/>
      <c r="L528" s="42"/>
      <c r="M528" s="42"/>
      <c r="N528" s="42"/>
      <c r="O528" s="1757" t="s">
        <v>334</v>
      </c>
      <c r="P528" s="1758"/>
      <c r="Q528" s="1758"/>
      <c r="R528" s="1758"/>
      <c r="S528" s="1758"/>
      <c r="T528" s="1758"/>
      <c r="U528" s="1758"/>
      <c r="V528" s="1758"/>
      <c r="W528" s="1758"/>
      <c r="X528" s="1758"/>
      <c r="Y528" s="1758"/>
      <c r="Z528" s="1758"/>
      <c r="AA528" s="1758"/>
      <c r="AB528" s="58"/>
      <c r="AC528" s="1364" t="s">
        <v>591</v>
      </c>
      <c r="AD528" s="1365"/>
      <c r="AE528" s="1365"/>
      <c r="AF528" s="1365"/>
      <c r="AG528" s="129" t="s">
        <v>403</v>
      </c>
      <c r="AH528" s="1377"/>
      <c r="AI528" s="1377"/>
      <c r="AJ528" s="1377"/>
      <c r="AK528" s="1378"/>
      <c r="AZ528" s="3"/>
      <c r="BB528" s="3"/>
      <c r="BC528" s="3"/>
      <c r="BD528" s="3"/>
      <c r="BE528" s="3"/>
      <c r="BF528" s="3"/>
      <c r="BG528" s="3"/>
      <c r="BH528" s="3"/>
      <c r="BI528" s="3"/>
      <c r="BJ528" s="3"/>
      <c r="BK528" s="3"/>
      <c r="BL528" s="3"/>
      <c r="BM528" s="3"/>
      <c r="BN528" s="3" t="s">
        <v>2068</v>
      </c>
    </row>
    <row r="529" spans="2:66" ht="13" customHeight="1">
      <c r="B529" s="1699"/>
      <c r="C529" s="1482"/>
      <c r="D529" s="1482"/>
      <c r="E529" s="1482"/>
      <c r="F529" s="1482"/>
      <c r="G529" s="1482"/>
      <c r="H529" s="1483"/>
      <c r="I529" s="114" t="s">
        <v>421</v>
      </c>
      <c r="AB529" s="65"/>
      <c r="AC529" s="1460" t="s">
        <v>591</v>
      </c>
      <c r="AD529" s="1461"/>
      <c r="AE529" s="1461"/>
      <c r="AF529" s="1461"/>
      <c r="AG529" s="13" t="s">
        <v>403</v>
      </c>
      <c r="AH529" s="1377"/>
      <c r="AI529" s="1377"/>
      <c r="AJ529" s="1377"/>
      <c r="AK529" s="1378"/>
      <c r="AZ529" s="3"/>
      <c r="BB529" s="3"/>
      <c r="BC529" s="3"/>
      <c r="BD529" s="3"/>
      <c r="BE529" s="3"/>
      <c r="BF529" s="3"/>
      <c r="BG529" s="3"/>
      <c r="BH529" s="3"/>
      <c r="BI529" s="3"/>
      <c r="BJ529" s="3"/>
      <c r="BK529" s="3"/>
      <c r="BL529" s="3"/>
      <c r="BM529" s="3"/>
      <c r="BN529" s="3" t="s">
        <v>2069</v>
      </c>
    </row>
    <row r="530" spans="2:66" ht="13" customHeight="1">
      <c r="B530" s="1699"/>
      <c r="C530" s="1482"/>
      <c r="D530" s="1482"/>
      <c r="E530" s="1482"/>
      <c r="F530" s="1482"/>
      <c r="G530" s="1482"/>
      <c r="H530" s="1483"/>
      <c r="I530" s="47" t="s">
        <v>422</v>
      </c>
      <c r="J530" s="48"/>
      <c r="K530" s="48"/>
      <c r="L530" s="48"/>
      <c r="M530" s="48"/>
      <c r="N530" s="48"/>
      <c r="O530" s="48"/>
      <c r="P530" s="48"/>
      <c r="Q530" s="48"/>
      <c r="R530" s="48"/>
      <c r="S530" s="48"/>
      <c r="T530" s="48"/>
      <c r="U530" s="48"/>
      <c r="V530" s="48"/>
      <c r="W530" s="48"/>
      <c r="X530" s="48"/>
      <c r="Y530" s="48"/>
      <c r="Z530" s="48"/>
      <c r="AA530" s="48"/>
      <c r="AB530" s="49"/>
      <c r="AC530" s="1460" t="s">
        <v>591</v>
      </c>
      <c r="AD530" s="1461"/>
      <c r="AE530" s="1461"/>
      <c r="AF530" s="1461"/>
      <c r="AG530" s="38" t="s">
        <v>403</v>
      </c>
      <c r="AH530" s="1377"/>
      <c r="AI530" s="1377"/>
      <c r="AJ530" s="1377"/>
      <c r="AK530" s="1378"/>
      <c r="AZ530" s="3"/>
      <c r="BA530" s="3"/>
      <c r="BB530" s="3"/>
      <c r="BC530" s="3"/>
      <c r="BD530" s="3"/>
      <c r="BE530" s="3"/>
      <c r="BF530" s="3"/>
      <c r="BG530" s="3"/>
      <c r="BH530" s="3"/>
      <c r="BI530" s="3"/>
      <c r="BJ530" s="3"/>
      <c r="BK530" s="3"/>
      <c r="BL530" s="3"/>
      <c r="BM530" s="3"/>
      <c r="BN530" s="3" t="s">
        <v>2070</v>
      </c>
    </row>
    <row r="531" spans="2:66" ht="13" customHeight="1">
      <c r="B531" s="1699"/>
      <c r="C531" s="1482"/>
      <c r="D531" s="1482"/>
      <c r="E531" s="1482"/>
      <c r="F531" s="1482"/>
      <c r="G531" s="1482"/>
      <c r="H531" s="1483"/>
      <c r="I531" s="42" t="s">
        <v>423</v>
      </c>
      <c r="J531" s="42"/>
      <c r="K531" s="42"/>
      <c r="L531" s="42"/>
      <c r="M531" s="42"/>
      <c r="N531" s="42"/>
      <c r="O531" s="1757" t="s">
        <v>334</v>
      </c>
      <c r="P531" s="1758"/>
      <c r="Q531" s="1758"/>
      <c r="R531" s="1758"/>
      <c r="S531" s="1758"/>
      <c r="T531" s="1758"/>
      <c r="U531" s="1758"/>
      <c r="V531" s="1758"/>
      <c r="W531" s="1758"/>
      <c r="X531" s="1758"/>
      <c r="Y531" s="1758"/>
      <c r="Z531" s="1758"/>
      <c r="AA531" s="1758"/>
      <c r="AC531" s="1460" t="s">
        <v>591</v>
      </c>
      <c r="AD531" s="1461"/>
      <c r="AE531" s="1461"/>
      <c r="AF531" s="1461"/>
      <c r="AG531" s="13" t="s">
        <v>403</v>
      </c>
      <c r="AH531" s="1377"/>
      <c r="AI531" s="1377"/>
      <c r="AJ531" s="1377"/>
      <c r="AK531" s="1378"/>
      <c r="AZ531" s="3"/>
      <c r="BA531" s="3"/>
      <c r="BB531" s="3"/>
      <c r="BC531" s="3"/>
      <c r="BD531" s="3"/>
      <c r="BE531" s="3"/>
      <c r="BF531" s="3"/>
      <c r="BG531" s="3"/>
      <c r="BH531" s="3"/>
      <c r="BI531" s="3"/>
      <c r="BJ531" s="3"/>
      <c r="BK531" s="3"/>
      <c r="BL531" s="3"/>
      <c r="BM531" s="3"/>
      <c r="BN531" s="3" t="s">
        <v>2071</v>
      </c>
    </row>
    <row r="532" spans="2:66" ht="13" customHeight="1">
      <c r="B532" s="1699"/>
      <c r="C532" s="1482"/>
      <c r="D532" s="1482"/>
      <c r="E532" s="1482"/>
      <c r="F532" s="1482"/>
      <c r="G532" s="1482"/>
      <c r="H532" s="1483"/>
      <c r="I532" t="s">
        <v>421</v>
      </c>
      <c r="AC532" s="1460" t="s">
        <v>591</v>
      </c>
      <c r="AD532" s="1461"/>
      <c r="AE532" s="1461"/>
      <c r="AF532" s="1461"/>
      <c r="AG532" s="13" t="s">
        <v>403</v>
      </c>
      <c r="AH532" s="1377"/>
      <c r="AI532" s="1377"/>
      <c r="AJ532" s="1377"/>
      <c r="AK532" s="1378"/>
      <c r="AZ532" s="3"/>
      <c r="BA532" s="3"/>
      <c r="BB532" s="3"/>
      <c r="BC532" s="3"/>
      <c r="BD532" s="3"/>
      <c r="BE532" s="3"/>
      <c r="BF532" s="3"/>
      <c r="BG532" s="3"/>
      <c r="BH532" s="3"/>
      <c r="BI532" s="3"/>
      <c r="BJ532" s="3"/>
      <c r="BK532" s="3"/>
      <c r="BL532" s="3"/>
      <c r="BM532" s="3"/>
      <c r="BN532" s="3" t="s">
        <v>2072</v>
      </c>
    </row>
    <row r="533" spans="2:66" ht="13" customHeight="1">
      <c r="B533" s="1699"/>
      <c r="C533" s="1482"/>
      <c r="D533" s="1482"/>
      <c r="E533" s="1482"/>
      <c r="F533" s="1482"/>
      <c r="G533" s="1482"/>
      <c r="H533" s="1483"/>
      <c r="I533" s="48" t="s">
        <v>422</v>
      </c>
      <c r="J533" s="48"/>
      <c r="K533" s="48"/>
      <c r="L533" s="48"/>
      <c r="M533" s="48"/>
      <c r="N533" s="48"/>
      <c r="O533" s="48"/>
      <c r="P533" s="48"/>
      <c r="Q533" s="48"/>
      <c r="R533" s="48"/>
      <c r="S533" s="48"/>
      <c r="T533" s="48"/>
      <c r="U533" s="48"/>
      <c r="V533" s="48"/>
      <c r="W533" s="48"/>
      <c r="X533" s="48"/>
      <c r="Y533" s="48"/>
      <c r="Z533" s="48"/>
      <c r="AA533" s="48"/>
      <c r="AB533" s="48"/>
      <c r="AC533" s="1460" t="s">
        <v>591</v>
      </c>
      <c r="AD533" s="1461"/>
      <c r="AE533" s="1461"/>
      <c r="AF533" s="1461"/>
      <c r="AG533" s="38" t="s">
        <v>403</v>
      </c>
      <c r="AH533" s="1377"/>
      <c r="AI533" s="1377"/>
      <c r="AJ533" s="1377"/>
      <c r="AK533" s="1378"/>
      <c r="AZ533" s="3"/>
      <c r="BA533" s="3"/>
      <c r="BB533" s="3"/>
      <c r="BC533" s="3"/>
      <c r="BD533" s="3"/>
      <c r="BE533" s="3"/>
      <c r="BF533" s="3"/>
      <c r="BG533" s="3"/>
      <c r="BH533" s="3"/>
      <c r="BI533" s="3"/>
      <c r="BJ533" s="3"/>
      <c r="BK533" s="3"/>
      <c r="BL533" s="3"/>
      <c r="BM533" s="3"/>
      <c r="BN533" s="3" t="s">
        <v>2073</v>
      </c>
    </row>
    <row r="534" spans="2:66" ht="13" customHeight="1">
      <c r="B534" s="1699"/>
      <c r="C534" s="1482"/>
      <c r="D534" s="1482"/>
      <c r="E534" s="1482"/>
      <c r="F534" s="1482"/>
      <c r="G534" s="1482"/>
      <c r="H534" s="1483"/>
      <c r="I534" s="42" t="s">
        <v>423</v>
      </c>
      <c r="J534" s="42"/>
      <c r="K534" s="42"/>
      <c r="L534" s="42"/>
      <c r="M534" s="42"/>
      <c r="N534" s="42"/>
      <c r="O534" s="1757" t="s">
        <v>334</v>
      </c>
      <c r="P534" s="1758"/>
      <c r="Q534" s="1758"/>
      <c r="R534" s="1758"/>
      <c r="S534" s="1758"/>
      <c r="T534" s="1758"/>
      <c r="U534" s="1758"/>
      <c r="V534" s="1758"/>
      <c r="W534" s="1758"/>
      <c r="X534" s="1758"/>
      <c r="Y534" s="1758"/>
      <c r="Z534" s="1758"/>
      <c r="AA534" s="1758"/>
      <c r="AC534" s="1460" t="s">
        <v>591</v>
      </c>
      <c r="AD534" s="1461"/>
      <c r="AE534" s="1461"/>
      <c r="AF534" s="1461"/>
      <c r="AG534" s="13" t="s">
        <v>403</v>
      </c>
      <c r="AH534" s="1377"/>
      <c r="AI534" s="1377"/>
      <c r="AJ534" s="1377"/>
      <c r="AK534" s="1378"/>
      <c r="AZ534" s="3"/>
      <c r="BA534" s="3"/>
      <c r="BB534" s="3"/>
      <c r="BC534" s="3"/>
      <c r="BD534" s="3"/>
      <c r="BE534" s="3"/>
      <c r="BF534" s="3"/>
      <c r="BG534" s="3"/>
      <c r="BH534" s="3"/>
      <c r="BI534" s="3"/>
      <c r="BJ534" s="3"/>
      <c r="BK534" s="3"/>
      <c r="BL534" s="3"/>
      <c r="BM534" s="3"/>
      <c r="BN534" s="3" t="s">
        <v>2074</v>
      </c>
    </row>
    <row r="535" spans="2:66" ht="13" customHeight="1">
      <c r="B535" s="1699"/>
      <c r="C535" s="1482"/>
      <c r="D535" s="1482"/>
      <c r="E535" s="1482"/>
      <c r="F535" s="1482"/>
      <c r="G535" s="1482"/>
      <c r="H535" s="1483"/>
      <c r="I535" t="s">
        <v>421</v>
      </c>
      <c r="AC535" s="1460" t="s">
        <v>591</v>
      </c>
      <c r="AD535" s="1461"/>
      <c r="AE535" s="1461"/>
      <c r="AF535" s="1461"/>
      <c r="AG535" s="13" t="s">
        <v>403</v>
      </c>
      <c r="AH535" s="1377"/>
      <c r="AI535" s="1377"/>
      <c r="AJ535" s="1377"/>
      <c r="AK535" s="1378"/>
      <c r="AZ535" s="3"/>
      <c r="BA535" s="3"/>
      <c r="BB535" s="3"/>
      <c r="BC535" s="3"/>
      <c r="BD535" s="3"/>
      <c r="BE535" s="3"/>
      <c r="BF535" s="3"/>
      <c r="BG535" s="3"/>
      <c r="BH535" s="3"/>
      <c r="BI535" s="3"/>
      <c r="BJ535" s="3"/>
      <c r="BK535" s="3"/>
      <c r="BL535" s="3"/>
      <c r="BM535" s="3"/>
      <c r="BN535" s="3" t="s">
        <v>2075</v>
      </c>
    </row>
    <row r="536" spans="2:66" ht="13" customHeight="1">
      <c r="B536" s="1699"/>
      <c r="C536" s="1482"/>
      <c r="D536" s="1482"/>
      <c r="E536" s="1482"/>
      <c r="F536" s="1482"/>
      <c r="G536" s="1482"/>
      <c r="H536" s="1483"/>
      <c r="I536" s="48" t="s">
        <v>422</v>
      </c>
      <c r="J536" s="48"/>
      <c r="K536" s="48"/>
      <c r="L536" s="48"/>
      <c r="M536" s="48"/>
      <c r="N536" s="48"/>
      <c r="O536" s="48"/>
      <c r="P536" s="48"/>
      <c r="Q536" s="48"/>
      <c r="R536" s="48"/>
      <c r="S536" s="48"/>
      <c r="T536" s="48"/>
      <c r="U536" s="48"/>
      <c r="V536" s="48"/>
      <c r="W536" s="48"/>
      <c r="X536" s="48"/>
      <c r="Y536" s="48"/>
      <c r="Z536" s="48"/>
      <c r="AA536" s="48"/>
      <c r="AB536" s="48"/>
      <c r="AC536" s="1460" t="s">
        <v>591</v>
      </c>
      <c r="AD536" s="1461"/>
      <c r="AE536" s="1461"/>
      <c r="AF536" s="1461"/>
      <c r="AG536" s="38" t="s">
        <v>403</v>
      </c>
      <c r="AH536" s="1377"/>
      <c r="AI536" s="1377"/>
      <c r="AJ536" s="1377"/>
      <c r="AK536" s="1378"/>
      <c r="AZ536" s="3"/>
      <c r="BA536" s="3"/>
      <c r="BB536" s="3"/>
      <c r="BC536" s="3"/>
      <c r="BD536" s="3"/>
      <c r="BE536" s="3"/>
      <c r="BF536" s="3"/>
      <c r="BG536" s="3"/>
      <c r="BH536" s="3"/>
      <c r="BI536" s="3"/>
      <c r="BJ536" s="3"/>
      <c r="BK536" s="3"/>
      <c r="BL536" s="3"/>
      <c r="BM536" s="3"/>
      <c r="BN536" s="3" t="s">
        <v>2076</v>
      </c>
    </row>
    <row r="537" spans="2:66" ht="13" customHeight="1">
      <c r="B537" s="1699"/>
      <c r="C537" s="1482"/>
      <c r="D537" s="1482"/>
      <c r="E537" s="1482"/>
      <c r="F537" s="1482"/>
      <c r="G537" s="1482"/>
      <c r="H537" s="1483"/>
      <c r="I537" s="42" t="s">
        <v>423</v>
      </c>
      <c r="J537" s="42"/>
      <c r="K537" s="42"/>
      <c r="L537" s="42"/>
      <c r="M537" s="42"/>
      <c r="N537" s="42"/>
      <c r="O537" s="1757" t="s">
        <v>334</v>
      </c>
      <c r="P537" s="1758"/>
      <c r="Q537" s="1758"/>
      <c r="R537" s="1758"/>
      <c r="S537" s="1758"/>
      <c r="T537" s="1758"/>
      <c r="U537" s="1758"/>
      <c r="V537" s="1758"/>
      <c r="W537" s="1758"/>
      <c r="X537" s="1758"/>
      <c r="Y537" s="1758"/>
      <c r="Z537" s="1758"/>
      <c r="AA537" s="1758"/>
      <c r="AC537" s="1460" t="s">
        <v>591</v>
      </c>
      <c r="AD537" s="1461"/>
      <c r="AE537" s="1461"/>
      <c r="AF537" s="1461"/>
      <c r="AG537" s="13" t="s">
        <v>403</v>
      </c>
      <c r="AH537" s="1377"/>
      <c r="AI537" s="1377"/>
      <c r="AJ537" s="1377"/>
      <c r="AK537" s="1378"/>
      <c r="AZ537" s="3"/>
      <c r="BA537" s="3"/>
      <c r="BB537" s="3"/>
      <c r="BC537" s="3"/>
      <c r="BD537" s="3"/>
      <c r="BE537" s="3"/>
      <c r="BF537" s="3"/>
      <c r="BG537" s="3"/>
      <c r="BH537" s="3"/>
      <c r="BI537" s="3"/>
      <c r="BJ537" s="3"/>
      <c r="BK537" s="3"/>
      <c r="BL537" s="3"/>
      <c r="BM537" s="3"/>
      <c r="BN537" s="3" t="s">
        <v>2077</v>
      </c>
    </row>
    <row r="538" spans="2:66" ht="13" customHeight="1">
      <c r="B538" s="1699"/>
      <c r="C538" s="1482"/>
      <c r="D538" s="1482"/>
      <c r="E538" s="1482"/>
      <c r="F538" s="1482"/>
      <c r="G538" s="1482"/>
      <c r="H538" s="1483"/>
      <c r="I538" t="s">
        <v>421</v>
      </c>
      <c r="AC538" s="1460" t="s">
        <v>591</v>
      </c>
      <c r="AD538" s="1461"/>
      <c r="AE538" s="1461"/>
      <c r="AF538" s="1461"/>
      <c r="AG538" s="13" t="s">
        <v>403</v>
      </c>
      <c r="AH538" s="1377"/>
      <c r="AI538" s="1377"/>
      <c r="AJ538" s="1377"/>
      <c r="AK538" s="1378"/>
      <c r="AZ538" s="3"/>
      <c r="BA538" s="3"/>
      <c r="BB538" s="3"/>
      <c r="BC538" s="3"/>
      <c r="BD538" s="3"/>
      <c r="BE538" s="3"/>
      <c r="BF538" s="3"/>
      <c r="BG538" s="3"/>
      <c r="BH538" s="3"/>
      <c r="BI538" s="3"/>
      <c r="BJ538" s="3"/>
      <c r="BK538" s="3"/>
      <c r="BL538" s="3"/>
      <c r="BM538" s="3"/>
      <c r="BN538" s="3" t="s">
        <v>2078</v>
      </c>
    </row>
    <row r="539" spans="2:66" ht="13" customHeight="1">
      <c r="B539" s="1699"/>
      <c r="C539" s="1482"/>
      <c r="D539" s="1482"/>
      <c r="E539" s="1482"/>
      <c r="F539" s="1482"/>
      <c r="G539" s="1482"/>
      <c r="H539" s="1483"/>
      <c r="I539" s="48" t="s">
        <v>422</v>
      </c>
      <c r="J539" s="48"/>
      <c r="K539" s="48"/>
      <c r="L539" s="48"/>
      <c r="M539" s="48"/>
      <c r="N539" s="48"/>
      <c r="O539" s="48"/>
      <c r="P539" s="48"/>
      <c r="Q539" s="48"/>
      <c r="R539" s="48"/>
      <c r="S539" s="48"/>
      <c r="T539" s="48"/>
      <c r="U539" s="48"/>
      <c r="V539" s="48"/>
      <c r="W539" s="48"/>
      <c r="X539" s="48"/>
      <c r="Y539" s="48"/>
      <c r="Z539" s="48"/>
      <c r="AA539" s="48"/>
      <c r="AB539" s="48"/>
      <c r="AC539" s="1460" t="s">
        <v>591</v>
      </c>
      <c r="AD539" s="1461"/>
      <c r="AE539" s="1461"/>
      <c r="AF539" s="1461"/>
      <c r="AG539" s="38" t="s">
        <v>403</v>
      </c>
      <c r="AH539" s="1377"/>
      <c r="AI539" s="1377"/>
      <c r="AJ539" s="1377"/>
      <c r="AK539" s="1378"/>
      <c r="AZ539" s="3"/>
      <c r="BA539" s="3"/>
      <c r="BB539" s="3"/>
      <c r="BC539" s="3"/>
      <c r="BD539" s="3"/>
      <c r="BE539" s="3"/>
      <c r="BF539" s="3"/>
      <c r="BG539" s="3"/>
      <c r="BH539" s="3"/>
      <c r="BI539" s="3"/>
      <c r="BJ539" s="3"/>
      <c r="BK539" s="3"/>
      <c r="BL539" s="3"/>
      <c r="BM539" s="3"/>
      <c r="BN539" s="3" t="s">
        <v>2079</v>
      </c>
    </row>
    <row r="540" spans="2:66" ht="13" customHeight="1">
      <c r="B540" s="1699"/>
      <c r="C540" s="1482"/>
      <c r="D540" s="1482"/>
      <c r="E540" s="1482"/>
      <c r="F540" s="1482"/>
      <c r="G540" s="1482"/>
      <c r="H540" s="1483"/>
      <c r="I540" s="42" t="s">
        <v>423</v>
      </c>
      <c r="J540" s="42"/>
      <c r="K540" s="42"/>
      <c r="L540" s="42"/>
      <c r="M540" s="42"/>
      <c r="N540" s="42"/>
      <c r="O540" s="1757" t="s">
        <v>334</v>
      </c>
      <c r="P540" s="1758"/>
      <c r="Q540" s="1758"/>
      <c r="R540" s="1758"/>
      <c r="S540" s="1758"/>
      <c r="T540" s="1758"/>
      <c r="U540" s="1758"/>
      <c r="V540" s="1758"/>
      <c r="W540" s="1758"/>
      <c r="X540" s="1758"/>
      <c r="Y540" s="1758"/>
      <c r="Z540" s="1758"/>
      <c r="AA540" s="1758"/>
      <c r="AC540" s="1460" t="s">
        <v>591</v>
      </c>
      <c r="AD540" s="1461"/>
      <c r="AE540" s="1461"/>
      <c r="AF540" s="1461"/>
      <c r="AG540" s="13" t="s">
        <v>403</v>
      </c>
      <c r="AH540" s="1377"/>
      <c r="AI540" s="1377"/>
      <c r="AJ540" s="1377"/>
      <c r="AK540" s="1378"/>
      <c r="AZ540" s="3"/>
      <c r="BA540" s="3"/>
      <c r="BB540" s="3"/>
      <c r="BC540" s="3"/>
      <c r="BD540" s="3"/>
      <c r="BE540" s="3"/>
      <c r="BF540" s="3"/>
      <c r="BG540" s="3"/>
      <c r="BH540" s="3"/>
      <c r="BI540" s="3"/>
      <c r="BJ540" s="3"/>
      <c r="BK540" s="3"/>
      <c r="BL540" s="3"/>
      <c r="BM540" s="3"/>
      <c r="BN540" s="3" t="s">
        <v>2080</v>
      </c>
    </row>
    <row r="541" spans="2:66" ht="13" customHeight="1">
      <c r="B541" s="1699"/>
      <c r="C541" s="1482"/>
      <c r="D541" s="1482"/>
      <c r="E541" s="1482"/>
      <c r="F541" s="1482"/>
      <c r="G541" s="1482"/>
      <c r="H541" s="1483"/>
      <c r="I541" t="s">
        <v>421</v>
      </c>
      <c r="AC541" s="1460" t="s">
        <v>591</v>
      </c>
      <c r="AD541" s="1461"/>
      <c r="AE541" s="1461"/>
      <c r="AF541" s="1461"/>
      <c r="AG541" s="38" t="s">
        <v>403</v>
      </c>
      <c r="AH541" s="1377"/>
      <c r="AI541" s="1377"/>
      <c r="AJ541" s="1377"/>
      <c r="AK541" s="1378"/>
      <c r="AZ541" s="3"/>
      <c r="BA541" s="3"/>
      <c r="BB541" s="3"/>
      <c r="BC541" s="3"/>
      <c r="BD541" s="3"/>
      <c r="BE541" s="3"/>
      <c r="BF541" s="3"/>
      <c r="BG541" s="3"/>
      <c r="BH541" s="3"/>
      <c r="BI541" s="3"/>
      <c r="BJ541" s="3"/>
      <c r="BK541" s="3"/>
      <c r="BL541" s="3"/>
      <c r="BM541" s="3"/>
      <c r="BN541" s="3" t="s">
        <v>2081</v>
      </c>
    </row>
    <row r="542" spans="2:66" ht="13" customHeight="1">
      <c r="B542" s="1699"/>
      <c r="C542" s="1482"/>
      <c r="D542" s="1482"/>
      <c r="E542" s="1482"/>
      <c r="F542" s="1482"/>
      <c r="G542" s="1482"/>
      <c r="H542" s="1483"/>
      <c r="I542" s="48" t="s">
        <v>422</v>
      </c>
      <c r="J542" s="48"/>
      <c r="K542" s="48"/>
      <c r="L542" s="48"/>
      <c r="M542" s="48"/>
      <c r="N542" s="48"/>
      <c r="O542" s="48"/>
      <c r="P542" s="48"/>
      <c r="Q542" s="48"/>
      <c r="R542" s="48"/>
      <c r="S542" s="48"/>
      <c r="T542" s="48"/>
      <c r="U542" s="48"/>
      <c r="V542" s="48"/>
      <c r="W542" s="48"/>
      <c r="X542" s="48"/>
      <c r="Y542" s="48"/>
      <c r="Z542" s="48"/>
      <c r="AA542" s="48"/>
      <c r="AB542" s="48"/>
      <c r="AC542" s="1460" t="s">
        <v>591</v>
      </c>
      <c r="AD542" s="1461"/>
      <c r="AE542" s="1461"/>
      <c r="AF542" s="1461"/>
      <c r="AG542" s="13" t="s">
        <v>403</v>
      </c>
      <c r="AH542" s="1377"/>
      <c r="AI542" s="1377"/>
      <c r="AJ542" s="1377"/>
      <c r="AK542" s="1378"/>
      <c r="AZ542" s="3"/>
      <c r="BA542" s="3"/>
      <c r="BB542" s="3"/>
      <c r="BC542" s="3"/>
      <c r="BD542" s="3"/>
      <c r="BE542" s="3"/>
      <c r="BF542" s="3"/>
      <c r="BG542" s="3"/>
      <c r="BH542" s="3"/>
      <c r="BI542" s="3"/>
      <c r="BJ542" s="3"/>
      <c r="BK542" s="3"/>
      <c r="BL542" s="3"/>
      <c r="BM542" s="3"/>
      <c r="BN542" s="3" t="s">
        <v>2082</v>
      </c>
    </row>
    <row r="543" spans="2:66" ht="13" customHeight="1">
      <c r="B543" s="1699"/>
      <c r="C543" s="1482"/>
      <c r="D543" s="1482"/>
      <c r="E543" s="1482"/>
      <c r="F543" s="1482"/>
      <c r="G543" s="1482"/>
      <c r="H543" s="1483"/>
      <c r="I543" s="42" t="s">
        <v>423</v>
      </c>
      <c r="J543" s="42"/>
      <c r="K543" s="42"/>
      <c r="L543" s="42"/>
      <c r="M543" s="42"/>
      <c r="N543" s="42"/>
      <c r="O543" s="1757" t="s">
        <v>334</v>
      </c>
      <c r="P543" s="1758"/>
      <c r="Q543" s="1758"/>
      <c r="R543" s="1758"/>
      <c r="S543" s="1758"/>
      <c r="T543" s="1758"/>
      <c r="U543" s="1758"/>
      <c r="V543" s="1758"/>
      <c r="W543" s="1758"/>
      <c r="X543" s="1758"/>
      <c r="Y543" s="1758"/>
      <c r="Z543" s="1758"/>
      <c r="AA543" s="1758"/>
      <c r="AC543" s="1460" t="s">
        <v>591</v>
      </c>
      <c r="AD543" s="1461"/>
      <c r="AE543" s="1461"/>
      <c r="AF543" s="1461"/>
      <c r="AG543" s="38" t="s">
        <v>403</v>
      </c>
      <c r="AH543" s="1377"/>
      <c r="AI543" s="1377"/>
      <c r="AJ543" s="1377"/>
      <c r="AK543" s="1378"/>
      <c r="AZ543" s="3"/>
      <c r="BA543" s="3"/>
      <c r="BB543" s="3"/>
      <c r="BC543" s="3"/>
      <c r="BD543" s="3"/>
      <c r="BE543" s="3"/>
      <c r="BF543" s="3"/>
      <c r="BG543" s="3"/>
      <c r="BH543" s="3"/>
      <c r="BI543" s="3"/>
      <c r="BJ543" s="3"/>
      <c r="BK543" s="3"/>
      <c r="BL543" s="3"/>
      <c r="BM543" s="3"/>
      <c r="BN543" s="3" t="s">
        <v>2083</v>
      </c>
    </row>
    <row r="544" spans="2:66" ht="13" customHeight="1">
      <c r="B544" s="1699"/>
      <c r="C544" s="1482"/>
      <c r="D544" s="1482"/>
      <c r="E544" s="1482"/>
      <c r="F544" s="1482"/>
      <c r="G544" s="1482"/>
      <c r="H544" s="1483"/>
      <c r="I544" t="s">
        <v>421</v>
      </c>
      <c r="AC544" s="1460" t="s">
        <v>591</v>
      </c>
      <c r="AD544" s="1461"/>
      <c r="AE544" s="1461"/>
      <c r="AF544" s="1461"/>
      <c r="AG544" s="13" t="s">
        <v>403</v>
      </c>
      <c r="AH544" s="1377"/>
      <c r="AI544" s="1377"/>
      <c r="AJ544" s="1377"/>
      <c r="AK544" s="1378"/>
      <c r="AZ544" s="3"/>
      <c r="BA544" s="3"/>
      <c r="BB544" s="3"/>
      <c r="BC544" s="3"/>
      <c r="BD544" s="3"/>
      <c r="BE544" s="3"/>
      <c r="BF544" s="3"/>
      <c r="BG544" s="3"/>
      <c r="BH544" s="3"/>
      <c r="BI544" s="3"/>
      <c r="BJ544" s="3"/>
      <c r="BK544" s="3"/>
      <c r="BL544" s="3"/>
      <c r="BM544" s="3"/>
      <c r="BN544" s="3" t="s">
        <v>2084</v>
      </c>
    </row>
    <row r="545" spans="1:66" ht="13" customHeight="1">
      <c r="B545" s="1699"/>
      <c r="C545" s="1482"/>
      <c r="D545" s="1482"/>
      <c r="E545" s="1482"/>
      <c r="F545" s="1482"/>
      <c r="G545" s="1482"/>
      <c r="H545" s="1483"/>
      <c r="I545" s="48" t="s">
        <v>422</v>
      </c>
      <c r="J545" s="48"/>
      <c r="K545" s="48"/>
      <c r="L545" s="48"/>
      <c r="M545" s="48"/>
      <c r="N545" s="48"/>
      <c r="O545" s="48"/>
      <c r="P545" s="48"/>
      <c r="Q545" s="48"/>
      <c r="R545" s="48"/>
      <c r="S545" s="48"/>
      <c r="T545" s="48"/>
      <c r="U545" s="48"/>
      <c r="V545" s="48"/>
      <c r="W545" s="48"/>
      <c r="X545" s="48"/>
      <c r="Y545" s="48"/>
      <c r="Z545" s="48"/>
      <c r="AA545" s="48"/>
      <c r="AB545" s="48"/>
      <c r="AC545" s="1460" t="s">
        <v>591</v>
      </c>
      <c r="AD545" s="1461"/>
      <c r="AE545" s="1461"/>
      <c r="AF545" s="1461"/>
      <c r="AG545" s="38" t="s">
        <v>403</v>
      </c>
      <c r="AH545" s="1377"/>
      <c r="AI545" s="1377"/>
      <c r="AJ545" s="1377"/>
      <c r="AK545" s="1378"/>
      <c r="AZ545" s="3"/>
      <c r="BA545" s="3"/>
      <c r="BB545" s="3"/>
      <c r="BC545" s="3"/>
      <c r="BD545" s="3"/>
      <c r="BE545" s="3"/>
      <c r="BF545" s="3"/>
      <c r="BG545" s="3"/>
      <c r="BH545" s="3"/>
      <c r="BI545" s="3"/>
      <c r="BJ545" s="3"/>
      <c r="BK545" s="3"/>
      <c r="BL545" s="3"/>
      <c r="BM545" s="3"/>
      <c r="BN545" s="3" t="s">
        <v>2085</v>
      </c>
    </row>
    <row r="546" spans="1:66" ht="13" customHeight="1">
      <c r="B546" s="1699"/>
      <c r="C546" s="1482"/>
      <c r="D546" s="1482"/>
      <c r="E546" s="1482"/>
      <c r="F546" s="1482"/>
      <c r="G546" s="1482"/>
      <c r="H546" s="1483"/>
      <c r="I546" s="42" t="s">
        <v>562</v>
      </c>
      <c r="J546" s="42"/>
      <c r="K546" s="42"/>
      <c r="L546" s="42"/>
      <c r="M546" s="42"/>
      <c r="N546" s="42"/>
      <c r="O546" s="42"/>
      <c r="P546" s="42"/>
      <c r="Q546" s="42"/>
      <c r="R546" s="42"/>
      <c r="S546" s="42"/>
      <c r="T546" s="42"/>
      <c r="U546" s="42"/>
      <c r="V546" s="42"/>
      <c r="W546" s="42"/>
      <c r="AC546" s="1460">
        <v>1</v>
      </c>
      <c r="AD546" s="1461"/>
      <c r="AE546" s="1461"/>
      <c r="AF546" s="1461"/>
      <c r="AG546" s="38" t="s">
        <v>403</v>
      </c>
      <c r="AH546" s="1377">
        <v>2027</v>
      </c>
      <c r="AI546" s="1377"/>
      <c r="AJ546" s="1377"/>
      <c r="AK546" s="1378"/>
      <c r="AZ546" s="3"/>
      <c r="BA546" s="3"/>
      <c r="BB546" s="3"/>
      <c r="BC546" s="3"/>
      <c r="BD546" s="3"/>
      <c r="BE546" s="3"/>
      <c r="BF546" s="3"/>
      <c r="BG546" s="3"/>
      <c r="BH546" s="3"/>
      <c r="BI546" s="3"/>
      <c r="BJ546" s="3"/>
      <c r="BK546" s="3"/>
      <c r="BL546" s="3"/>
      <c r="BM546" s="3"/>
      <c r="BN546" s="3"/>
    </row>
    <row r="547" spans="1:66" ht="13" customHeight="1">
      <c r="B547" s="1699"/>
      <c r="C547" s="1482"/>
      <c r="D547" s="1482"/>
      <c r="E547" s="1482"/>
      <c r="F547" s="1482"/>
      <c r="G547" s="1482"/>
      <c r="H547" s="1483"/>
      <c r="I547" t="s">
        <v>563</v>
      </c>
      <c r="AC547" s="1460">
        <v>11</v>
      </c>
      <c r="AD547" s="1461"/>
      <c r="AE547" s="1461"/>
      <c r="AF547" s="1461"/>
      <c r="AG547" s="13" t="s">
        <v>403</v>
      </c>
      <c r="AH547" s="1377">
        <v>2026</v>
      </c>
      <c r="AI547" s="1377"/>
      <c r="AJ547" s="1377"/>
      <c r="AK547" s="1378"/>
      <c r="AZ547" s="3"/>
      <c r="BA547" s="3"/>
      <c r="BB547" s="3"/>
      <c r="BC547" s="3"/>
      <c r="BD547" s="3"/>
      <c r="BE547" s="3"/>
      <c r="BF547" s="3"/>
      <c r="BG547" s="3"/>
      <c r="BH547" s="3"/>
      <c r="BI547" s="3"/>
      <c r="BJ547" s="3"/>
      <c r="BK547" s="3"/>
      <c r="BL547" s="3"/>
      <c r="BM547" s="3"/>
      <c r="BN547" s="3"/>
    </row>
    <row r="548" spans="1:66" ht="13" customHeight="1">
      <c r="B548" s="1699"/>
      <c r="C548" s="1482"/>
      <c r="D548" s="1482"/>
      <c r="E548" s="1482"/>
      <c r="F548" s="1482"/>
      <c r="G548" s="1482"/>
      <c r="H548" s="1483"/>
      <c r="I548" t="s">
        <v>564</v>
      </c>
      <c r="AC548" s="1460">
        <v>9</v>
      </c>
      <c r="AD548" s="1461"/>
      <c r="AE548" s="1461"/>
      <c r="AF548" s="1461"/>
      <c r="AG548" s="38" t="s">
        <v>403</v>
      </c>
      <c r="AH548" s="1377">
        <v>2028</v>
      </c>
      <c r="AI548" s="1377"/>
      <c r="AJ548" s="1377"/>
      <c r="AK548" s="1378"/>
      <c r="AZ548" s="3"/>
      <c r="BA548" s="3"/>
      <c r="BB548" s="3"/>
      <c r="BC548" s="3"/>
      <c r="BD548" s="3"/>
      <c r="BE548" s="3"/>
      <c r="BF548" s="3"/>
      <c r="BG548" s="3"/>
      <c r="BH548" s="3"/>
      <c r="BI548" s="3"/>
      <c r="BJ548" s="3"/>
      <c r="BK548" s="3"/>
      <c r="BL548" s="3"/>
      <c r="BM548" s="3"/>
      <c r="BN548" s="3"/>
    </row>
    <row r="549" spans="1:66" ht="13" customHeight="1">
      <c r="B549" s="1699"/>
      <c r="C549" s="1482"/>
      <c r="D549" s="1482"/>
      <c r="E549" s="1482"/>
      <c r="F549" s="1482"/>
      <c r="G549" s="1482"/>
      <c r="H549" s="1483"/>
      <c r="I549" t="s">
        <v>565</v>
      </c>
      <c r="AC549" s="1460">
        <v>3</v>
      </c>
      <c r="AD549" s="1461"/>
      <c r="AE549" s="1461"/>
      <c r="AF549" s="1461"/>
      <c r="AG549" s="38" t="s">
        <v>403</v>
      </c>
      <c r="AH549" s="1377">
        <v>2029</v>
      </c>
      <c r="AI549" s="1377"/>
      <c r="AJ549" s="1377"/>
      <c r="AK549" s="1378"/>
      <c r="AZ549" s="3"/>
      <c r="BA549" s="3"/>
      <c r="BB549" s="3"/>
      <c r="BC549" s="3"/>
      <c r="BD549" s="3"/>
      <c r="BE549" s="3"/>
      <c r="BF549" s="3"/>
      <c r="BG549" s="3"/>
      <c r="BH549" s="3"/>
      <c r="BI549" s="3"/>
      <c r="BJ549" s="3"/>
      <c r="BK549" s="3"/>
      <c r="BL549" s="3"/>
      <c r="BM549" s="3"/>
      <c r="BN549" s="3"/>
    </row>
    <row r="550" spans="1:66" ht="13" customHeight="1">
      <c r="B550" s="1700"/>
      <c r="C550" s="1484"/>
      <c r="D550" s="1484"/>
      <c r="E550" s="1484"/>
      <c r="F550" s="1484"/>
      <c r="G550" s="1484"/>
      <c r="H550" s="1485"/>
      <c r="I550" s="48" t="s">
        <v>451</v>
      </c>
      <c r="J550" s="48"/>
      <c r="K550" s="48"/>
      <c r="L550" s="48"/>
      <c r="M550" s="48"/>
      <c r="N550" s="48"/>
      <c r="O550" s="48"/>
      <c r="P550" s="48"/>
      <c r="Q550" s="48"/>
      <c r="R550" s="48"/>
      <c r="S550" s="48"/>
      <c r="T550" s="48"/>
      <c r="U550" s="48"/>
      <c r="V550" s="48"/>
      <c r="W550" s="48"/>
      <c r="X550" s="48"/>
      <c r="Y550" s="48"/>
      <c r="Z550" s="48"/>
      <c r="AA550" s="48"/>
      <c r="AB550" s="48"/>
      <c r="AC550" s="1460">
        <v>1</v>
      </c>
      <c r="AD550" s="1461"/>
      <c r="AE550" s="1461"/>
      <c r="AF550" s="1461"/>
      <c r="AG550" s="38" t="s">
        <v>403</v>
      </c>
      <c r="AH550" s="1377">
        <f>AH549</f>
        <v>2029</v>
      </c>
      <c r="AI550" s="1377"/>
      <c r="AJ550" s="1377"/>
      <c r="AK550" s="1378"/>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2057</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98" t="s">
        <v>2059</v>
      </c>
      <c r="C559" s="1480"/>
      <c r="D559" s="1480"/>
      <c r="E559" s="1480"/>
      <c r="F559" s="1480"/>
      <c r="G559" s="1480"/>
      <c r="H559" s="1480"/>
      <c r="I559" s="1480"/>
      <c r="J559" s="1480"/>
      <c r="K559" s="1480"/>
      <c r="L559" s="1481"/>
      <c r="M559" s="1698" t="s">
        <v>2060</v>
      </c>
      <c r="N559" s="1480"/>
      <c r="O559" s="1480"/>
      <c r="P559" s="1481"/>
      <c r="Q559" s="1698" t="s">
        <v>2086</v>
      </c>
      <c r="R559" s="1480"/>
      <c r="S559" s="1481"/>
      <c r="T559" s="1698" t="s">
        <v>2087</v>
      </c>
      <c r="U559" s="1480"/>
      <c r="V559" s="1481"/>
      <c r="W559" s="1698" t="s">
        <v>453</v>
      </c>
      <c r="X559" s="1480"/>
      <c r="Y559" s="1481"/>
      <c r="Z559" s="1698" t="s">
        <v>1828</v>
      </c>
      <c r="AA559" s="1480"/>
      <c r="AB559" s="1480"/>
      <c r="AC559" s="1480"/>
      <c r="AD559" s="1481"/>
      <c r="AE559" s="1698" t="s">
        <v>1665</v>
      </c>
      <c r="AF559" s="1480"/>
      <c r="AG559" s="1480"/>
      <c r="AH559" s="1481"/>
      <c r="AI559" s="1698" t="s">
        <v>1666</v>
      </c>
      <c r="AJ559" s="1480"/>
      <c r="AK559" s="1480"/>
      <c r="AL559" s="1481"/>
      <c r="AM559" s="1698" t="s">
        <v>454</v>
      </c>
      <c r="AN559" s="1480"/>
      <c r="AO559" s="1480"/>
      <c r="AP559" s="1480"/>
      <c r="AQ559" s="1480"/>
      <c r="AR559" s="1480"/>
      <c r="AS559" s="1481"/>
      <c r="BB559" s="3"/>
      <c r="BC559" s="3"/>
      <c r="BD559" s="3"/>
      <c r="BE559" s="3"/>
      <c r="BF559" s="3"/>
      <c r="BG559" s="3"/>
      <c r="BH559" s="3" t="s">
        <v>581</v>
      </c>
      <c r="BI559" s="3" t="str">
        <f>AG665</f>
        <v>Yes</v>
      </c>
    </row>
    <row r="560" spans="1:66" ht="13" customHeight="1">
      <c r="B560" s="1699"/>
      <c r="C560" s="1482"/>
      <c r="D560" s="1482"/>
      <c r="E560" s="1482"/>
      <c r="F560" s="1482"/>
      <c r="G560" s="1482"/>
      <c r="H560" s="1482"/>
      <c r="I560" s="1482"/>
      <c r="J560" s="1482"/>
      <c r="K560" s="1482"/>
      <c r="L560" s="1483"/>
      <c r="M560" s="1699"/>
      <c r="N560" s="1482"/>
      <c r="O560" s="1482"/>
      <c r="P560" s="1483"/>
      <c r="Q560" s="1699"/>
      <c r="R560" s="1482"/>
      <c r="S560" s="1483"/>
      <c r="T560" s="1699"/>
      <c r="U560" s="1482"/>
      <c r="V560" s="1483"/>
      <c r="W560" s="1699"/>
      <c r="X560" s="1482"/>
      <c r="Y560" s="1483"/>
      <c r="Z560" s="1699"/>
      <c r="AA560" s="1482"/>
      <c r="AB560" s="1482"/>
      <c r="AC560" s="1482"/>
      <c r="AD560" s="1483"/>
      <c r="AE560" s="1699"/>
      <c r="AF560" s="1482"/>
      <c r="AG560" s="1482"/>
      <c r="AH560" s="1483"/>
      <c r="AI560" s="1699"/>
      <c r="AJ560" s="1482"/>
      <c r="AK560" s="1482"/>
      <c r="AL560" s="1483"/>
      <c r="AM560" s="1699"/>
      <c r="AN560" s="1482"/>
      <c r="AO560" s="1482"/>
      <c r="AP560" s="1482"/>
      <c r="AQ560" s="1482"/>
      <c r="AR560" s="1482"/>
      <c r="AS560" s="1483"/>
      <c r="AU560" s="1141"/>
      <c r="BB560" s="3"/>
      <c r="BC560" s="3"/>
      <c r="BD560" s="3"/>
      <c r="BE560" s="3"/>
      <c r="BF560" s="3"/>
      <c r="BG560" s="3"/>
      <c r="BH560" s="3"/>
      <c r="BI560" s="3"/>
    </row>
    <row r="561" spans="1:61" ht="13" customHeight="1">
      <c r="B561" s="1700"/>
      <c r="C561" s="1484"/>
      <c r="D561" s="1484"/>
      <c r="E561" s="1484"/>
      <c r="F561" s="1484"/>
      <c r="G561" s="1484"/>
      <c r="H561" s="1484"/>
      <c r="I561" s="1484"/>
      <c r="J561" s="1484"/>
      <c r="K561" s="1484"/>
      <c r="L561" s="1485"/>
      <c r="M561" s="1700"/>
      <c r="N561" s="1484"/>
      <c r="O561" s="1484"/>
      <c r="P561" s="1485"/>
      <c r="Q561" s="1700"/>
      <c r="R561" s="1484"/>
      <c r="S561" s="1485"/>
      <c r="T561" s="1700"/>
      <c r="U561" s="1484"/>
      <c r="V561" s="1485"/>
      <c r="W561" s="1700"/>
      <c r="X561" s="1484"/>
      <c r="Y561" s="1485"/>
      <c r="Z561" s="1700"/>
      <c r="AA561" s="1484"/>
      <c r="AB561" s="1484"/>
      <c r="AC561" s="1484"/>
      <c r="AD561" s="1485"/>
      <c r="AE561" s="1700"/>
      <c r="AF561" s="1484"/>
      <c r="AG561" s="1484"/>
      <c r="AH561" s="1485"/>
      <c r="AI561" s="1700"/>
      <c r="AJ561" s="1484"/>
      <c r="AK561" s="1484"/>
      <c r="AL561" s="1485"/>
      <c r="AM561" s="1700"/>
      <c r="AN561" s="1484"/>
      <c r="AO561" s="1484"/>
      <c r="AP561" s="1484"/>
      <c r="AQ561" s="1484"/>
      <c r="AR561" s="1484"/>
      <c r="AS561" s="1485"/>
      <c r="AU561" s="1141"/>
      <c r="BB561" s="3"/>
      <c r="BC561" s="3"/>
      <c r="BD561" s="3"/>
      <c r="BE561" s="3"/>
      <c r="BF561" s="3"/>
      <c r="BG561" s="3"/>
      <c r="BH561" s="3"/>
      <c r="BI561" s="3"/>
    </row>
    <row r="562" spans="1:61" ht="13" customHeight="1">
      <c r="B562" s="51" t="s">
        <v>112</v>
      </c>
      <c r="C562" s="1714" t="s">
        <v>2762</v>
      </c>
      <c r="D562" s="1714"/>
      <c r="E562" s="1714"/>
      <c r="F562" s="1714"/>
      <c r="G562" s="1714"/>
      <c r="H562" s="1714"/>
      <c r="I562" s="1714"/>
      <c r="J562" s="1714"/>
      <c r="K562" s="1714"/>
      <c r="L562" s="1714"/>
      <c r="M562" s="1714" t="s">
        <v>2076</v>
      </c>
      <c r="N562" s="1714"/>
      <c r="O562" s="1714"/>
      <c r="P562" s="1714"/>
      <c r="Q562" s="1509">
        <v>36</v>
      </c>
      <c r="R562" s="1509"/>
      <c r="S562" s="1510"/>
      <c r="T562" s="1508">
        <v>36</v>
      </c>
      <c r="U562" s="1509"/>
      <c r="V562" s="1510"/>
      <c r="W562" s="1511">
        <v>7.2499999999999995E-2</v>
      </c>
      <c r="X562" s="1512"/>
      <c r="Y562" s="1513"/>
      <c r="Z562" s="1713" t="s">
        <v>2720</v>
      </c>
      <c r="AA562" s="1713"/>
      <c r="AB562" s="1713"/>
      <c r="AC562" s="1713"/>
      <c r="AD562" s="1713"/>
      <c r="AE562" s="1447">
        <v>1</v>
      </c>
      <c r="AF562" s="1448"/>
      <c r="AG562" s="1448"/>
      <c r="AH562" s="1449"/>
      <c r="AI562" s="1457"/>
      <c r="AJ562" s="1458"/>
      <c r="AK562" s="1458"/>
      <c r="AL562" s="1459"/>
      <c r="AM562" s="1444">
        <v>23767000</v>
      </c>
      <c r="AN562" s="1445"/>
      <c r="AO562" s="1445"/>
      <c r="AP562" s="1445"/>
      <c r="AQ562" s="1445"/>
      <c r="AR562" s="1445"/>
      <c r="AS562" s="1446"/>
      <c r="AT562" s="1142"/>
      <c r="AU562" s="1141"/>
      <c r="BB562" s="3"/>
      <c r="BC562" s="3"/>
      <c r="BD562" s="3"/>
      <c r="BE562" s="3"/>
      <c r="BF562" s="3"/>
      <c r="BG562" s="3"/>
      <c r="BH562" s="3"/>
      <c r="BI562" s="3"/>
    </row>
    <row r="563" spans="1:61" ht="13" customHeight="1">
      <c r="B563" s="52" t="s">
        <v>113</v>
      </c>
      <c r="C563" s="1703" t="s">
        <v>2719</v>
      </c>
      <c r="D563" s="1703"/>
      <c r="E563" s="1703"/>
      <c r="F563" s="1703"/>
      <c r="G563" s="1703"/>
      <c r="H563" s="1703"/>
      <c r="I563" s="1703"/>
      <c r="J563" s="1703"/>
      <c r="K563" s="1703"/>
      <c r="L563" s="1703"/>
      <c r="M563" s="1714" t="s">
        <v>2075</v>
      </c>
      <c r="N563" s="1714"/>
      <c r="O563" s="1714"/>
      <c r="P563" s="1714"/>
      <c r="Q563" s="1508">
        <v>36</v>
      </c>
      <c r="R563" s="1509"/>
      <c r="S563" s="1510"/>
      <c r="T563" s="1508">
        <v>36</v>
      </c>
      <c r="U563" s="1509"/>
      <c r="V563" s="1510"/>
      <c r="W563" s="1511">
        <v>7.2499999999999995E-2</v>
      </c>
      <c r="X563" s="1512"/>
      <c r="Y563" s="1513"/>
      <c r="Z563" s="1713" t="s">
        <v>2720</v>
      </c>
      <c r="AA563" s="1713"/>
      <c r="AB563" s="1713"/>
      <c r="AC563" s="1713"/>
      <c r="AD563" s="1713"/>
      <c r="AE563" s="1447">
        <v>2</v>
      </c>
      <c r="AF563" s="1448"/>
      <c r="AG563" s="1448"/>
      <c r="AH563" s="1449"/>
      <c r="AI563" s="1457"/>
      <c r="AJ563" s="1458"/>
      <c r="AK563" s="1458"/>
      <c r="AL563" s="1459"/>
      <c r="AM563" s="1444">
        <f>ROUND(0.36*AO649,0)+150</f>
        <v>31299022</v>
      </c>
      <c r="AN563" s="1445"/>
      <c r="AO563" s="1445"/>
      <c r="AP563" s="1445"/>
      <c r="AQ563" s="1445"/>
      <c r="AR563" s="1445"/>
      <c r="AS563" s="1446"/>
      <c r="AT563" s="1142" t="str">
        <f>IF(AND(NOT(C562=""),C563="",NOT(C564="")),"!","")</f>
        <v/>
      </c>
      <c r="AU563" s="1141"/>
      <c r="BB563" s="3"/>
      <c r="BC563" s="3"/>
      <c r="BD563" s="3"/>
      <c r="BE563" s="3"/>
      <c r="BF563" s="3"/>
      <c r="BG563" s="3"/>
      <c r="BH563" s="3"/>
      <c r="BI563" s="3"/>
    </row>
    <row r="564" spans="1:61" ht="13" customHeight="1">
      <c r="B564" s="52" t="s">
        <v>119</v>
      </c>
      <c r="C564" s="1703" t="s">
        <v>2763</v>
      </c>
      <c r="D564" s="1703"/>
      <c r="E564" s="1703"/>
      <c r="F564" s="1703"/>
      <c r="G564" s="1703"/>
      <c r="H564" s="1703"/>
      <c r="I564" s="1703"/>
      <c r="J564" s="1703"/>
      <c r="K564" s="1703"/>
      <c r="L564" s="1703"/>
      <c r="M564" s="1714" t="s">
        <v>2079</v>
      </c>
      <c r="N564" s="1714"/>
      <c r="O564" s="1714"/>
      <c r="P564" s="1714"/>
      <c r="Q564" s="1508">
        <f>18*12</f>
        <v>216</v>
      </c>
      <c r="R564" s="1509"/>
      <c r="S564" s="1510"/>
      <c r="T564" s="1508">
        <f>18*12</f>
        <v>216</v>
      </c>
      <c r="U564" s="1509"/>
      <c r="V564" s="1510"/>
      <c r="W564" s="1511">
        <v>0.02</v>
      </c>
      <c r="X564" s="1512"/>
      <c r="Y564" s="1513"/>
      <c r="Z564" s="1713" t="s">
        <v>2720</v>
      </c>
      <c r="AA564" s="1713"/>
      <c r="AB564" s="1713"/>
      <c r="AC564" s="1713"/>
      <c r="AD564" s="1713"/>
      <c r="AE564" s="1447">
        <v>3</v>
      </c>
      <c r="AF564" s="1448"/>
      <c r="AG564" s="1448"/>
      <c r="AH564" s="1449"/>
      <c r="AI564" s="1457"/>
      <c r="AJ564" s="1458"/>
      <c r="AK564" s="1458"/>
      <c r="AL564" s="1459"/>
      <c r="AM564" s="1444">
        <v>5000000</v>
      </c>
      <c r="AN564" s="1445"/>
      <c r="AO564" s="1445"/>
      <c r="AP564" s="1445"/>
      <c r="AQ564" s="1445"/>
      <c r="AR564" s="1445"/>
      <c r="AS564" s="1446"/>
      <c r="AT564" s="1142" t="str">
        <f>IF(AND(NOT(C563=""),C564="",NOT(C565="")),"!","")</f>
        <v/>
      </c>
      <c r="AU564" s="1141"/>
      <c r="BB564" s="3"/>
      <c r="BC564" s="3"/>
      <c r="BD564" s="3"/>
      <c r="BE564" s="3"/>
      <c r="BF564" s="3"/>
      <c r="BG564" s="3"/>
      <c r="BH564" s="3"/>
      <c r="BI564" s="3"/>
    </row>
    <row r="565" spans="1:61" ht="13" customHeight="1">
      <c r="B565" s="52" t="s">
        <v>581</v>
      </c>
      <c r="C565" s="1703" t="s">
        <v>2717</v>
      </c>
      <c r="D565" s="1703"/>
      <c r="E565" s="1703"/>
      <c r="F565" s="1703"/>
      <c r="G565" s="1703"/>
      <c r="H565" s="1703"/>
      <c r="I565" s="1703"/>
      <c r="J565" s="1703"/>
      <c r="K565" s="1703"/>
      <c r="L565" s="1703"/>
      <c r="M565" s="1714" t="s">
        <v>2067</v>
      </c>
      <c r="N565" s="1714"/>
      <c r="O565" s="1714"/>
      <c r="P565" s="1714"/>
      <c r="Q565" s="1508"/>
      <c r="R565" s="1509"/>
      <c r="S565" s="1510"/>
      <c r="T565" s="1508"/>
      <c r="U565" s="1509"/>
      <c r="V565" s="1510"/>
      <c r="W565" s="1511"/>
      <c r="X565" s="1512"/>
      <c r="Y565" s="1513"/>
      <c r="Z565" s="1713" t="s">
        <v>1184</v>
      </c>
      <c r="AA565" s="1713"/>
      <c r="AB565" s="1713"/>
      <c r="AC565" s="1713"/>
      <c r="AD565" s="1713"/>
      <c r="AE565" s="1447"/>
      <c r="AF565" s="1448"/>
      <c r="AG565" s="1448"/>
      <c r="AH565" s="1449"/>
      <c r="AI565" s="1457"/>
      <c r="AJ565" s="1458"/>
      <c r="AK565" s="1458"/>
      <c r="AL565" s="1459"/>
      <c r="AM565" s="1444">
        <f>ROUND(0.2*AO648,0)</f>
        <v>8372702</v>
      </c>
      <c r="AN565" s="1445"/>
      <c r="AO565" s="1445"/>
      <c r="AP565" s="1445"/>
      <c r="AQ565" s="1445"/>
      <c r="AR565" s="1445"/>
      <c r="AS565" s="1446"/>
      <c r="AT565" s="1142" t="str">
        <f>IF(AND(NOT(C564=""),C565="",NOT(C566="")),"!","")</f>
        <v/>
      </c>
      <c r="AU565" s="1141"/>
      <c r="BB565" s="3"/>
      <c r="BC565" s="3"/>
      <c r="BD565" s="3"/>
      <c r="BE565" s="3"/>
      <c r="BF565" s="3"/>
      <c r="BG565" s="3"/>
      <c r="BH565" s="3"/>
      <c r="BI565" s="3"/>
    </row>
    <row r="566" spans="1:61" ht="13" customHeight="1">
      <c r="B566" s="52" t="s">
        <v>763</v>
      </c>
      <c r="C566" s="1703" t="s">
        <v>2264</v>
      </c>
      <c r="D566" s="1703"/>
      <c r="E566" s="1703"/>
      <c r="F566" s="1703"/>
      <c r="G566" s="1703"/>
      <c r="H566" s="1703"/>
      <c r="I566" s="1703"/>
      <c r="J566" s="1703"/>
      <c r="K566" s="1703"/>
      <c r="L566" s="1703"/>
      <c r="M566" s="1714" t="s">
        <v>2063</v>
      </c>
      <c r="N566" s="1714"/>
      <c r="O566" s="1714"/>
      <c r="P566" s="1714"/>
      <c r="Q566" s="1508"/>
      <c r="R566" s="1509"/>
      <c r="S566" s="1510"/>
      <c r="T566" s="1508"/>
      <c r="U566" s="1509"/>
      <c r="V566" s="1510"/>
      <c r="W566" s="1511"/>
      <c r="X566" s="1512"/>
      <c r="Y566" s="1513"/>
      <c r="Z566" s="1713" t="s">
        <v>1184</v>
      </c>
      <c r="AA566" s="1713"/>
      <c r="AB566" s="1713"/>
      <c r="AC566" s="1713"/>
      <c r="AD566" s="1713"/>
      <c r="AE566" s="1447"/>
      <c r="AF566" s="1448"/>
      <c r="AG566" s="1448"/>
      <c r="AH566" s="1449"/>
      <c r="AI566" s="1457"/>
      <c r="AJ566" s="1458"/>
      <c r="AK566" s="1458"/>
      <c r="AL566" s="1459"/>
      <c r="AM566" s="1444">
        <f>'Sources and Uses Budget'!C99-3010751</f>
        <v>10480529</v>
      </c>
      <c r="AN566" s="1445"/>
      <c r="AO566" s="1445"/>
      <c r="AP566" s="1445"/>
      <c r="AQ566" s="1445"/>
      <c r="AR566" s="1445"/>
      <c r="AS566" s="1446"/>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703" t="s">
        <v>2718</v>
      </c>
      <c r="D567" s="1703"/>
      <c r="E567" s="1703"/>
      <c r="F567" s="1703"/>
      <c r="G567" s="1703"/>
      <c r="H567" s="1703"/>
      <c r="I567" s="1703"/>
      <c r="J567" s="1703"/>
      <c r="K567" s="1703"/>
      <c r="L567" s="1703"/>
      <c r="M567" s="1714" t="s">
        <v>2062</v>
      </c>
      <c r="N567" s="1714"/>
      <c r="O567" s="1714"/>
      <c r="P567" s="1714"/>
      <c r="Q567" s="1508"/>
      <c r="R567" s="1509"/>
      <c r="S567" s="1510"/>
      <c r="T567" s="1508"/>
      <c r="U567" s="1509"/>
      <c r="V567" s="1510"/>
      <c r="W567" s="1511"/>
      <c r="X567" s="1512"/>
      <c r="Y567" s="1513"/>
      <c r="Z567" s="1713" t="s">
        <v>1184</v>
      </c>
      <c r="AA567" s="1713"/>
      <c r="AB567" s="1713"/>
      <c r="AC567" s="1713"/>
      <c r="AD567" s="1713"/>
      <c r="AE567" s="1447"/>
      <c r="AF567" s="1448"/>
      <c r="AG567" s="1448"/>
      <c r="AH567" s="1449"/>
      <c r="AI567" s="1457"/>
      <c r="AJ567" s="1458"/>
      <c r="AK567" s="1458"/>
      <c r="AL567" s="1459"/>
      <c r="AM567" s="1444">
        <f>AO649-SUM(AM562:AS566)-AM568-AM569</f>
        <v>8021957</v>
      </c>
      <c r="AN567" s="1445"/>
      <c r="AO567" s="1445"/>
      <c r="AP567" s="1445"/>
      <c r="AQ567" s="1445"/>
      <c r="AR567" s="1445"/>
      <c r="AS567" s="1446"/>
      <c r="AT567" s="1142" t="str">
        <f t="shared" si="2"/>
        <v/>
      </c>
      <c r="AU567" s="1141"/>
      <c r="BB567" s="3"/>
      <c r="BC567" s="3"/>
      <c r="BD567" s="3"/>
      <c r="BE567" s="3"/>
      <c r="BF567" s="3"/>
      <c r="BG567" s="3"/>
      <c r="BH567" s="3" t="s">
        <v>584</v>
      </c>
      <c r="BI567" s="3" t="str">
        <f>AG673</f>
        <v>Yes</v>
      </c>
    </row>
    <row r="568" spans="1:61" ht="13" customHeight="1">
      <c r="B568" s="52" t="s">
        <v>455</v>
      </c>
      <c r="C568" s="1703" t="str">
        <f>C642</f>
        <v>GP Equity</v>
      </c>
      <c r="D568" s="1703"/>
      <c r="E568" s="1703"/>
      <c r="F568" s="1703"/>
      <c r="G568" s="1703"/>
      <c r="H568" s="1703"/>
      <c r="I568" s="1703"/>
      <c r="J568" s="1703"/>
      <c r="K568" s="1703"/>
      <c r="L568" s="1703"/>
      <c r="M568" s="1714" t="s">
        <v>2066</v>
      </c>
      <c r="N568" s="1714"/>
      <c r="O568" s="1714"/>
      <c r="P568" s="1714"/>
      <c r="Q568" s="1508"/>
      <c r="R568" s="1509"/>
      <c r="S568" s="1510"/>
      <c r="T568" s="1508"/>
      <c r="U568" s="1509"/>
      <c r="V568" s="1510"/>
      <c r="W568" s="1511"/>
      <c r="X568" s="1512"/>
      <c r="Y568" s="1513"/>
      <c r="Z568" s="1713" t="s">
        <v>591</v>
      </c>
      <c r="AA568" s="1713"/>
      <c r="AB568" s="1713"/>
      <c r="AC568" s="1713"/>
      <c r="AD568" s="1713"/>
      <c r="AE568" s="1447"/>
      <c r="AF568" s="1448"/>
      <c r="AG568" s="1448"/>
      <c r="AH568" s="1449"/>
      <c r="AI568" s="1457"/>
      <c r="AJ568" s="1458"/>
      <c r="AK568" s="1458"/>
      <c r="AL568" s="1459"/>
      <c r="AM568" s="1444">
        <v>100</v>
      </c>
      <c r="AN568" s="1445"/>
      <c r="AO568" s="1445"/>
      <c r="AP568" s="1445"/>
      <c r="AQ568" s="1445"/>
      <c r="AR568" s="1445"/>
      <c r="AS568" s="1446"/>
      <c r="AT568" s="1142" t="str">
        <f t="shared" si="2"/>
        <v/>
      </c>
      <c r="AU568" s="1141"/>
      <c r="BB568" s="3"/>
      <c r="BC568" s="3"/>
      <c r="BD568" s="3"/>
      <c r="BE568" s="3"/>
      <c r="BF568" s="3"/>
      <c r="BG568" s="3"/>
      <c r="BH568" s="3"/>
      <c r="BI568" s="3"/>
    </row>
    <row r="569" spans="1:61" ht="13" customHeight="1">
      <c r="B569" s="52" t="s">
        <v>456</v>
      </c>
      <c r="C569" s="1703"/>
      <c r="D569" s="1703"/>
      <c r="E569" s="1703"/>
      <c r="F569" s="1703"/>
      <c r="G569" s="1703"/>
      <c r="H569" s="1703"/>
      <c r="I569" s="1703"/>
      <c r="J569" s="1703"/>
      <c r="K569" s="1703"/>
      <c r="L569" s="1703"/>
      <c r="M569" s="1714" t="s">
        <v>1184</v>
      </c>
      <c r="N569" s="1714"/>
      <c r="O569" s="1714"/>
      <c r="P569" s="1714"/>
      <c r="Q569" s="1508"/>
      <c r="R569" s="1509"/>
      <c r="S569" s="1510"/>
      <c r="T569" s="1508"/>
      <c r="U569" s="1509"/>
      <c r="V569" s="1510"/>
      <c r="W569" s="1511"/>
      <c r="X569" s="1512"/>
      <c r="Y569" s="1513"/>
      <c r="Z569" s="1713" t="s">
        <v>1184</v>
      </c>
      <c r="AA569" s="1713"/>
      <c r="AB569" s="1713"/>
      <c r="AC569" s="1713"/>
      <c r="AD569" s="1713"/>
      <c r="AE569" s="1447"/>
      <c r="AF569" s="1448"/>
      <c r="AG569" s="1448"/>
      <c r="AH569" s="1449"/>
      <c r="AI569" s="1457"/>
      <c r="AJ569" s="1458"/>
      <c r="AK569" s="1458"/>
      <c r="AL569" s="1459"/>
      <c r="AM569" s="1444"/>
      <c r="AN569" s="1445"/>
      <c r="AO569" s="1445"/>
      <c r="AP569" s="1445"/>
      <c r="AQ569" s="1445"/>
      <c r="AR569" s="1445"/>
      <c r="AS569" s="1446"/>
      <c r="AT569" s="1142" t="str">
        <f t="shared" si="2"/>
        <v/>
      </c>
      <c r="AU569" s="1141"/>
      <c r="BB569" s="3"/>
      <c r="BC569" s="3"/>
      <c r="BD569" s="3"/>
      <c r="BE569" s="3"/>
      <c r="BF569" s="3"/>
      <c r="BG569" s="3"/>
      <c r="BH569" s="3"/>
      <c r="BI569" s="3"/>
    </row>
    <row r="570" spans="1:61" ht="13" customHeight="1">
      <c r="B570" s="52" t="s">
        <v>461</v>
      </c>
      <c r="C570" s="1703"/>
      <c r="D570" s="1703"/>
      <c r="E570" s="1703"/>
      <c r="F570" s="1703"/>
      <c r="G570" s="1703"/>
      <c r="H570" s="1703"/>
      <c r="I570" s="1703"/>
      <c r="J570" s="1703"/>
      <c r="K570" s="1703"/>
      <c r="L570" s="1703"/>
      <c r="M570" s="1714" t="s">
        <v>1184</v>
      </c>
      <c r="N570" s="1714"/>
      <c r="O570" s="1714"/>
      <c r="P570" s="1714"/>
      <c r="Q570" s="1508"/>
      <c r="R570" s="1509"/>
      <c r="S570" s="1510"/>
      <c r="T570" s="1508"/>
      <c r="U570" s="1509"/>
      <c r="V570" s="1510"/>
      <c r="W570" s="1511"/>
      <c r="X570" s="1512"/>
      <c r="Y570" s="1513"/>
      <c r="Z570" s="1713" t="s">
        <v>1184</v>
      </c>
      <c r="AA570" s="1713"/>
      <c r="AB570" s="1713"/>
      <c r="AC570" s="1713"/>
      <c r="AD570" s="1713"/>
      <c r="AE570" s="1447"/>
      <c r="AF570" s="1448"/>
      <c r="AG570" s="1448"/>
      <c r="AH570" s="1449"/>
      <c r="AI570" s="1457"/>
      <c r="AJ570" s="1458"/>
      <c r="AK570" s="1458"/>
      <c r="AL570" s="1459"/>
      <c r="AM570" s="1444"/>
      <c r="AN570" s="1445"/>
      <c r="AO570" s="1445"/>
      <c r="AP570" s="1445"/>
      <c r="AQ570" s="1445"/>
      <c r="AR570" s="1445"/>
      <c r="AS570" s="1446"/>
      <c r="AT570" s="1142" t="str">
        <f t="shared" si="2"/>
        <v/>
      </c>
      <c r="AU570" s="1141"/>
      <c r="BB570" s="3"/>
      <c r="BC570" s="3"/>
      <c r="BD570" s="3"/>
      <c r="BE570" s="3"/>
      <c r="BF570" s="3"/>
      <c r="BG570" s="3"/>
      <c r="BH570" s="3"/>
      <c r="BI570" s="3"/>
    </row>
    <row r="571" spans="1:61" ht="13" customHeight="1">
      <c r="B571" s="52" t="s">
        <v>646</v>
      </c>
      <c r="C571" s="1703"/>
      <c r="D571" s="1703"/>
      <c r="E571" s="1703"/>
      <c r="F571" s="1703"/>
      <c r="G571" s="1703"/>
      <c r="H571" s="1703"/>
      <c r="I571" s="1703"/>
      <c r="J571" s="1703"/>
      <c r="K571" s="1703"/>
      <c r="L571" s="1703"/>
      <c r="M571" s="1714" t="s">
        <v>1184</v>
      </c>
      <c r="N571" s="1714"/>
      <c r="O571" s="1714"/>
      <c r="P571" s="1714"/>
      <c r="Q571" s="1508"/>
      <c r="R571" s="1509"/>
      <c r="S571" s="1510"/>
      <c r="T571" s="1508"/>
      <c r="U571" s="1509"/>
      <c r="V571" s="1510"/>
      <c r="W571" s="1511"/>
      <c r="X571" s="1512"/>
      <c r="Y571" s="1513"/>
      <c r="Z571" s="1713" t="s">
        <v>1184</v>
      </c>
      <c r="AA571" s="1713"/>
      <c r="AB571" s="1713"/>
      <c r="AC571" s="1713"/>
      <c r="AD571" s="1713"/>
      <c r="AE571" s="1447"/>
      <c r="AF571" s="1448"/>
      <c r="AG571" s="1448"/>
      <c r="AH571" s="1449"/>
      <c r="AI571" s="1457"/>
      <c r="AJ571" s="1458"/>
      <c r="AK571" s="1458"/>
      <c r="AL571" s="1459"/>
      <c r="AM571" s="1444"/>
      <c r="AN571" s="1445"/>
      <c r="AO571" s="1445"/>
      <c r="AP571" s="1445"/>
      <c r="AQ571" s="1445"/>
      <c r="AR571" s="1445"/>
      <c r="AS571" s="1446"/>
      <c r="AT571" s="1142" t="str">
        <f t="shared" si="2"/>
        <v/>
      </c>
      <c r="BB571" s="3"/>
      <c r="BC571" s="3"/>
      <c r="BD571" s="3"/>
      <c r="BE571" s="3"/>
      <c r="BF571" s="3"/>
      <c r="BG571" s="3"/>
      <c r="BH571" s="3"/>
      <c r="BI571" s="3"/>
    </row>
    <row r="572" spans="1:61" ht="13" customHeight="1">
      <c r="B572" s="52" t="s">
        <v>362</v>
      </c>
      <c r="C572" s="1703"/>
      <c r="D572" s="1703"/>
      <c r="E572" s="1703"/>
      <c r="F572" s="1703"/>
      <c r="G572" s="1703"/>
      <c r="H572" s="1703"/>
      <c r="I572" s="1703"/>
      <c r="J572" s="1703"/>
      <c r="K572" s="1703"/>
      <c r="L572" s="1703"/>
      <c r="M572" s="1714" t="s">
        <v>1184</v>
      </c>
      <c r="N572" s="1714"/>
      <c r="O572" s="1714"/>
      <c r="P572" s="1714"/>
      <c r="Q572" s="1508"/>
      <c r="R572" s="1509"/>
      <c r="S572" s="1510"/>
      <c r="T572" s="1508"/>
      <c r="U572" s="1509"/>
      <c r="V572" s="1510"/>
      <c r="W572" s="1511"/>
      <c r="X572" s="1512"/>
      <c r="Y572" s="1513"/>
      <c r="Z572" s="1713" t="s">
        <v>1184</v>
      </c>
      <c r="AA572" s="1713"/>
      <c r="AB572" s="1713"/>
      <c r="AC572" s="1713"/>
      <c r="AD572" s="1713"/>
      <c r="AE572" s="1447"/>
      <c r="AF572" s="1448"/>
      <c r="AG572" s="1448"/>
      <c r="AH572" s="1449"/>
      <c r="AI572" s="1457"/>
      <c r="AJ572" s="1458"/>
      <c r="AK572" s="1458"/>
      <c r="AL572" s="1459"/>
      <c r="AM572" s="1444"/>
      <c r="AN572" s="1445"/>
      <c r="AO572" s="1445"/>
      <c r="AP572" s="1445"/>
      <c r="AQ572" s="1445"/>
      <c r="AR572" s="1445"/>
      <c r="AS572" s="1446"/>
      <c r="AT572" s="1142" t="str">
        <f t="shared" si="2"/>
        <v/>
      </c>
      <c r="BB572" s="3"/>
      <c r="BC572" s="3"/>
      <c r="BD572" s="3"/>
      <c r="BE572" s="3"/>
      <c r="BF572" s="3"/>
      <c r="BG572" s="3"/>
      <c r="BH572" s="3"/>
      <c r="BI572" s="3"/>
    </row>
    <row r="573" spans="1:61" ht="13" customHeight="1">
      <c r="B573" s="52" t="s">
        <v>363</v>
      </c>
      <c r="C573" s="1703"/>
      <c r="D573" s="1703"/>
      <c r="E573" s="1703"/>
      <c r="F573" s="1703"/>
      <c r="G573" s="1703"/>
      <c r="H573" s="1703"/>
      <c r="I573" s="1703"/>
      <c r="J573" s="1703"/>
      <c r="K573" s="1703"/>
      <c r="L573" s="1703"/>
      <c r="M573" s="1714" t="s">
        <v>1184</v>
      </c>
      <c r="N573" s="1714"/>
      <c r="O573" s="1714"/>
      <c r="P573" s="1714"/>
      <c r="Q573" s="1508"/>
      <c r="R573" s="1509"/>
      <c r="S573" s="1510"/>
      <c r="T573" s="1508"/>
      <c r="U573" s="1509"/>
      <c r="V573" s="1510"/>
      <c r="W573" s="1511"/>
      <c r="X573" s="1512"/>
      <c r="Y573" s="1513"/>
      <c r="Z573" s="1713" t="s">
        <v>1184</v>
      </c>
      <c r="AA573" s="1713"/>
      <c r="AB573" s="1713"/>
      <c r="AC573" s="1713"/>
      <c r="AD573" s="1713"/>
      <c r="AE573" s="1447"/>
      <c r="AF573" s="1448"/>
      <c r="AG573" s="1448"/>
      <c r="AH573" s="1449"/>
      <c r="AI573" s="1457"/>
      <c r="AJ573" s="1458"/>
      <c r="AK573" s="1458"/>
      <c r="AL573" s="1459"/>
      <c r="AM573" s="1444"/>
      <c r="AN573" s="1445"/>
      <c r="AO573" s="1445"/>
      <c r="AP573" s="1445"/>
      <c r="AQ573" s="1445"/>
      <c r="AR573" s="1445"/>
      <c r="AS573" s="1446"/>
      <c r="AT573" s="1142" t="str">
        <f t="shared" si="2"/>
        <v/>
      </c>
      <c r="BB573" s="3"/>
      <c r="BC573" s="3"/>
      <c r="BD573" s="3"/>
      <c r="BE573" s="3"/>
      <c r="BF573" s="3"/>
      <c r="BG573" s="3"/>
      <c r="BH573" s="3"/>
      <c r="BI573" s="3"/>
    </row>
    <row r="574" spans="1:61" ht="13" customHeight="1">
      <c r="B574" s="1505" t="s">
        <v>127</v>
      </c>
      <c r="C574" s="1506"/>
      <c r="D574" s="1506"/>
      <c r="E574" s="1506"/>
      <c r="F574" s="1506"/>
      <c r="G574" s="1506"/>
      <c r="H574" s="1506"/>
      <c r="I574" s="1506"/>
      <c r="J574" s="1506"/>
      <c r="K574" s="1506"/>
      <c r="L574" s="1506"/>
      <c r="M574" s="1506"/>
      <c r="N574" s="1506"/>
      <c r="O574" s="1506"/>
      <c r="P574" s="1506"/>
      <c r="Q574" s="1506"/>
      <c r="R574" s="1506"/>
      <c r="S574" s="1506"/>
      <c r="T574" s="1506"/>
      <c r="U574" s="1490"/>
      <c r="V574" s="1506"/>
      <c r="W574" s="1506"/>
      <c r="X574" s="1506"/>
      <c r="Y574" s="1506"/>
      <c r="Z574" s="1506"/>
      <c r="AA574" s="1506"/>
      <c r="AB574" s="1506"/>
      <c r="AC574" s="1506"/>
      <c r="AD574" s="1506"/>
      <c r="AE574" s="1506"/>
      <c r="AF574" s="1506"/>
      <c r="AG574" s="1506"/>
      <c r="AH574" s="1506"/>
      <c r="AI574" s="1506"/>
      <c r="AJ574" s="1506"/>
      <c r="AK574" s="1506"/>
      <c r="AL574" s="1507"/>
      <c r="AM574" s="1537">
        <f>SUM(AM562:AS573)</f>
        <v>86941310</v>
      </c>
      <c r="AN574" s="1538"/>
      <c r="AO574" s="1538"/>
      <c r="AP574" s="1538"/>
      <c r="AQ574" s="1538"/>
      <c r="AR574" s="1538"/>
      <c r="AS574" s="1539"/>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3" customHeight="1">
      <c r="A576" s="55" t="s">
        <v>112</v>
      </c>
      <c r="B576" t="s">
        <v>463</v>
      </c>
      <c r="G576" s="1437" t="str">
        <f>C562</f>
        <v>GreyStone[GHI] - Tax Exempt</v>
      </c>
      <c r="H576" s="1437"/>
      <c r="I576" s="1437"/>
      <c r="J576" s="1437"/>
      <c r="K576" s="1437"/>
      <c r="L576" s="1437"/>
      <c r="M576" s="1437"/>
      <c r="N576" s="1437"/>
      <c r="O576" s="1437"/>
      <c r="P576" s="1437"/>
      <c r="Q576" s="1437"/>
      <c r="R576" s="1437"/>
      <c r="S576" s="8"/>
      <c r="T576" s="55" t="s">
        <v>113</v>
      </c>
      <c r="U576" t="s">
        <v>463</v>
      </c>
      <c r="Z576" s="1437" t="str">
        <f>C563</f>
        <v>GreyStone[GHII] - Taxable Bond</v>
      </c>
      <c r="AA576" s="1437"/>
      <c r="AB576" s="1437"/>
      <c r="AC576" s="1437"/>
      <c r="AD576" s="1437"/>
      <c r="AE576" s="1437"/>
      <c r="AF576" s="1437"/>
      <c r="AG576" s="1437"/>
      <c r="AH576" s="1437"/>
      <c r="AI576" s="1437"/>
      <c r="AJ576" s="1437"/>
      <c r="AK576" s="1437"/>
      <c r="BB576" s="3"/>
      <c r="BC576" s="3"/>
      <c r="BD576" s="3"/>
      <c r="BE576" s="3"/>
      <c r="BF576" s="3"/>
      <c r="BG576" s="3"/>
      <c r="BH576" s="3"/>
      <c r="BI576" s="3"/>
    </row>
    <row r="577" spans="1:61" ht="13" customHeight="1">
      <c r="A577" s="22"/>
      <c r="B577" t="s">
        <v>85</v>
      </c>
      <c r="G577" s="1432" t="s">
        <v>2721</v>
      </c>
      <c r="H577" s="1432"/>
      <c r="I577" s="1432"/>
      <c r="J577" s="1432"/>
      <c r="K577" s="1432"/>
      <c r="L577" s="1432"/>
      <c r="M577" s="1432"/>
      <c r="N577" s="1432"/>
      <c r="O577" s="1432"/>
      <c r="P577" s="1432"/>
      <c r="Q577" s="1432"/>
      <c r="R577" s="1432"/>
      <c r="S577" s="8"/>
      <c r="T577" s="22"/>
      <c r="U577" t="s">
        <v>85</v>
      </c>
      <c r="Z577" s="1432" t="s">
        <v>2721</v>
      </c>
      <c r="AA577" s="1432"/>
      <c r="AB577" s="1432"/>
      <c r="AC577" s="1432"/>
      <c r="AD577" s="1432"/>
      <c r="AE577" s="1432"/>
      <c r="AF577" s="1432"/>
      <c r="AG577" s="1432"/>
      <c r="AH577" s="1432"/>
      <c r="AI577" s="1432"/>
      <c r="AJ577" s="1432"/>
      <c r="AK577" s="1432"/>
      <c r="BB577" s="3"/>
      <c r="BC577" s="3"/>
      <c r="BD577" s="3"/>
      <c r="BE577" s="3"/>
      <c r="BF577" s="3"/>
      <c r="BG577" s="3"/>
      <c r="BH577" s="3"/>
      <c r="BI577" s="3"/>
    </row>
    <row r="578" spans="1:61" ht="13" customHeight="1">
      <c r="A578" s="22"/>
      <c r="B578" t="s">
        <v>580</v>
      </c>
      <c r="G578" s="1432" t="s">
        <v>2722</v>
      </c>
      <c r="H578" s="1432"/>
      <c r="I578" s="1432"/>
      <c r="J578" s="1432"/>
      <c r="K578" s="1432"/>
      <c r="L578" s="1432"/>
      <c r="M578" s="1432"/>
      <c r="N578" s="1432"/>
      <c r="O578" s="1432"/>
      <c r="P578" s="1432"/>
      <c r="Q578" s="1432"/>
      <c r="R578" s="1432"/>
      <c r="T578" s="22"/>
      <c r="U578" t="s">
        <v>580</v>
      </c>
      <c r="Z578" s="1464" t="s">
        <v>2722</v>
      </c>
      <c r="AA578" s="1464"/>
      <c r="AB578" s="1464"/>
      <c r="AC578" s="1464"/>
      <c r="AD578" s="1464"/>
      <c r="AE578" s="1464"/>
      <c r="AF578" s="1464"/>
      <c r="AG578" s="1464"/>
      <c r="AH578" s="1464"/>
      <c r="AI578" s="1464"/>
      <c r="AJ578" s="1464"/>
      <c r="AK578" s="1464"/>
      <c r="BB578" s="3"/>
      <c r="BC578" s="3"/>
      <c r="BD578" s="3"/>
      <c r="BE578" s="3"/>
      <c r="BF578" s="3"/>
      <c r="BG578" s="3"/>
      <c r="BH578" s="3"/>
      <c r="BI578" s="3"/>
    </row>
    <row r="579" spans="1:61" ht="13" customHeight="1">
      <c r="A579" s="22"/>
      <c r="B579" t="s">
        <v>17</v>
      </c>
      <c r="G579" s="1432" t="s">
        <v>2723</v>
      </c>
      <c r="H579" s="1432"/>
      <c r="I579" s="1432"/>
      <c r="J579" s="1432"/>
      <c r="K579" s="1432"/>
      <c r="L579" s="1432"/>
      <c r="M579" s="1432"/>
      <c r="N579" s="1432"/>
      <c r="O579" s="1432"/>
      <c r="P579" s="1432"/>
      <c r="Q579" s="1432"/>
      <c r="R579" s="1432"/>
      <c r="S579" s="8"/>
      <c r="T579" s="22"/>
      <c r="U579" t="s">
        <v>17</v>
      </c>
      <c r="Z579" s="1464" t="s">
        <v>2723</v>
      </c>
      <c r="AA579" s="1464"/>
      <c r="AB579" s="1464"/>
      <c r="AC579" s="1464"/>
      <c r="AD579" s="1464"/>
      <c r="AE579" s="1464"/>
      <c r="AF579" s="1464"/>
      <c r="AG579" s="1464"/>
      <c r="AH579" s="1464"/>
      <c r="AI579" s="1464"/>
      <c r="AJ579" s="1464"/>
      <c r="AK579" s="1464"/>
      <c r="BB579" s="3"/>
      <c r="BC579" s="3"/>
      <c r="BD579" s="3"/>
      <c r="BE579" s="3"/>
      <c r="BF579" s="3"/>
      <c r="BG579" s="3"/>
      <c r="BH579" s="3"/>
      <c r="BI579" s="3"/>
    </row>
    <row r="580" spans="1:61" ht="13" customHeight="1">
      <c r="A580" s="22"/>
      <c r="B580" t="s">
        <v>316</v>
      </c>
      <c r="G580" s="1431" t="s">
        <v>2724</v>
      </c>
      <c r="H580" s="1431"/>
      <c r="I580" s="1431"/>
      <c r="J580" s="1431"/>
      <c r="K580" s="1431"/>
      <c r="L580" s="1431"/>
      <c r="O580" s="33" t="s">
        <v>206</v>
      </c>
      <c r="P580" s="1453"/>
      <c r="Q580" s="1453"/>
      <c r="R580" s="1453"/>
      <c r="S580" s="10"/>
      <c r="T580" s="22"/>
      <c r="U580" t="s">
        <v>316</v>
      </c>
      <c r="Z580" s="1431" t="s">
        <v>2724</v>
      </c>
      <c r="AA580" s="1431"/>
      <c r="AB580" s="1431"/>
      <c r="AC580" s="1431"/>
      <c r="AD580" s="1431"/>
      <c r="AE580" s="1431"/>
      <c r="AH580" s="33" t="s">
        <v>206</v>
      </c>
      <c r="AI580" s="1453"/>
      <c r="AJ580" s="1453"/>
      <c r="AK580" s="1453"/>
      <c r="BB580" s="3"/>
      <c r="BC580" s="3"/>
      <c r="BD580" s="3"/>
      <c r="BE580" s="3"/>
      <c r="BF580" s="3"/>
      <c r="BG580" s="3"/>
      <c r="BH580" s="3"/>
      <c r="BI580" s="3"/>
    </row>
    <row r="581" spans="1:61" ht="13" customHeight="1">
      <c r="A581" s="22"/>
      <c r="B581" t="s">
        <v>18</v>
      </c>
      <c r="H581" s="1432" t="str">
        <f>M562</f>
        <v>Loan, Tax-Exempt</v>
      </c>
      <c r="I581" s="1432"/>
      <c r="J581" s="1432"/>
      <c r="K581" s="1432"/>
      <c r="L581" s="1432"/>
      <c r="M581" s="1432"/>
      <c r="N581" s="1432"/>
      <c r="O581" s="1432"/>
      <c r="P581" s="1432"/>
      <c r="Q581" s="1432"/>
      <c r="R581" s="1432"/>
      <c r="S581" s="8"/>
      <c r="T581" s="22"/>
      <c r="U581" t="s">
        <v>18</v>
      </c>
      <c r="AA581" s="1432"/>
      <c r="AB581" s="1432"/>
      <c r="AC581" s="1432"/>
      <c r="AD581" s="1432"/>
      <c r="AE581" s="1432"/>
      <c r="AF581" s="1432"/>
      <c r="AG581" s="1432"/>
      <c r="AH581" s="1432"/>
      <c r="AI581" s="1432"/>
      <c r="AJ581" s="1432"/>
      <c r="AK581" s="1432"/>
      <c r="BB581" s="3"/>
      <c r="BC581" s="3"/>
      <c r="BD581" s="3"/>
      <c r="BE581" s="3"/>
      <c r="BF581" s="3"/>
      <c r="BG581" s="3"/>
      <c r="BH581" s="3"/>
      <c r="BI581" s="3"/>
    </row>
    <row r="582" spans="1:61" ht="13" customHeight="1">
      <c r="A582" s="22"/>
      <c r="B582" s="320" t="s">
        <v>1185</v>
      </c>
      <c r="H582" s="8"/>
      <c r="I582" s="8"/>
      <c r="J582" s="8"/>
      <c r="K582" s="8"/>
      <c r="L582" s="8"/>
      <c r="M582" s="1716"/>
      <c r="N582" s="1716"/>
      <c r="O582" s="1716"/>
      <c r="P582" s="1716"/>
      <c r="Q582" s="1716"/>
      <c r="R582" s="1716"/>
      <c r="S582" s="8"/>
      <c r="T582" s="22"/>
      <c r="U582" s="320" t="s">
        <v>1185</v>
      </c>
      <c r="AA582" s="8"/>
      <c r="AB582" s="8"/>
      <c r="AC582" s="8"/>
      <c r="AD582" s="8"/>
      <c r="AE582" s="8"/>
      <c r="AF582" s="1716"/>
      <c r="AG582" s="1716"/>
      <c r="AH582" s="1716"/>
      <c r="AI582" s="1716"/>
      <c r="AJ582" s="1716"/>
      <c r="AK582" s="1716"/>
      <c r="BB582" s="3"/>
      <c r="BC582" s="3"/>
      <c r="BD582" s="3"/>
      <c r="BE582" s="3"/>
      <c r="BF582" s="3"/>
      <c r="BG582" s="3"/>
      <c r="BH582" s="3"/>
      <c r="BI582" s="3"/>
    </row>
    <row r="583" spans="1:61" ht="13" customHeight="1">
      <c r="A583" s="22"/>
      <c r="B583" t="s">
        <v>20</v>
      </c>
      <c r="N583" s="1340" t="s">
        <v>545</v>
      </c>
      <c r="O583" s="1340"/>
      <c r="T583" s="22"/>
      <c r="U583" t="s">
        <v>20</v>
      </c>
      <c r="AG583" s="1340" t="s">
        <v>545</v>
      </c>
      <c r="AH583" s="134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37" t="str">
        <f>C564</f>
        <v>Bay Area Affordable Housing Loan</v>
      </c>
      <c r="H585" s="1437"/>
      <c r="I585" s="1437"/>
      <c r="J585" s="1437"/>
      <c r="K585" s="1437"/>
      <c r="L585" s="1437"/>
      <c r="M585" s="1437"/>
      <c r="N585" s="1437"/>
      <c r="O585" s="1437"/>
      <c r="P585" s="1437"/>
      <c r="Q585" s="1437"/>
      <c r="R585" s="1437"/>
      <c r="T585" s="55" t="s">
        <v>581</v>
      </c>
      <c r="U585" t="s">
        <v>463</v>
      </c>
      <c r="Z585" s="1437" t="str">
        <f>C565</f>
        <v>Investor Equity</v>
      </c>
      <c r="AA585" s="1437"/>
      <c r="AB585" s="1437"/>
      <c r="AC585" s="1437"/>
      <c r="AD585" s="1437"/>
      <c r="AE585" s="1437"/>
      <c r="AF585" s="1437"/>
      <c r="AG585" s="1437"/>
      <c r="AH585" s="1437"/>
      <c r="AI585" s="1437"/>
      <c r="AJ585" s="1437"/>
      <c r="AK585" s="1437"/>
      <c r="BB585" s="3"/>
      <c r="BC585" s="3"/>
    </row>
    <row r="586" spans="1:61" ht="13" customHeight="1">
      <c r="A586" s="22"/>
      <c r="B586" t="s">
        <v>85</v>
      </c>
      <c r="G586" s="1432" t="s">
        <v>2658</v>
      </c>
      <c r="H586" s="1432"/>
      <c r="I586" s="1432"/>
      <c r="J586" s="1432"/>
      <c r="K586" s="1432"/>
      <c r="L586" s="1432"/>
      <c r="M586" s="1432"/>
      <c r="N586" s="1432"/>
      <c r="O586" s="1432"/>
      <c r="P586" s="1432"/>
      <c r="Q586" s="1432"/>
      <c r="R586" s="1432"/>
      <c r="T586" s="22"/>
      <c r="U586" t="s">
        <v>85</v>
      </c>
      <c r="Z586" s="1426" t="s">
        <v>2750</v>
      </c>
      <c r="AA586" s="1432"/>
      <c r="AB586" s="1432"/>
      <c r="AC586" s="1432"/>
      <c r="AD586" s="1432"/>
      <c r="AE586" s="1432"/>
      <c r="AF586" s="1432"/>
      <c r="AG586" s="1432"/>
      <c r="AH586" s="1432"/>
      <c r="AI586" s="1432"/>
      <c r="AJ586" s="1432"/>
      <c r="AK586" s="1432"/>
      <c r="BB586" s="3"/>
      <c r="BC586" s="3"/>
    </row>
    <row r="587" spans="1:61" ht="13" customHeight="1">
      <c r="A587" s="22"/>
      <c r="B587" t="s">
        <v>580</v>
      </c>
      <c r="G587" s="1464" t="s">
        <v>2649</v>
      </c>
      <c r="H587" s="1464"/>
      <c r="I587" s="1464"/>
      <c r="J587" s="1464"/>
      <c r="K587" s="1464"/>
      <c r="L587" s="1464"/>
      <c r="M587" s="1464"/>
      <c r="N587" s="1464"/>
      <c r="O587" s="1464"/>
      <c r="P587" s="1464"/>
      <c r="Q587" s="1464"/>
      <c r="R587" s="1464"/>
      <c r="T587" s="22"/>
      <c r="U587" t="s">
        <v>580</v>
      </c>
      <c r="Z587" s="1383" t="s">
        <v>2751</v>
      </c>
      <c r="AA587" s="1464"/>
      <c r="AB587" s="1464"/>
      <c r="AC587" s="1464"/>
      <c r="AD587" s="1464"/>
      <c r="AE587" s="1464"/>
      <c r="AF587" s="1464"/>
      <c r="AG587" s="1464"/>
      <c r="AH587" s="1464"/>
      <c r="AI587" s="1464"/>
      <c r="AJ587" s="1464"/>
      <c r="AK587" s="1464"/>
      <c r="BB587" s="3"/>
      <c r="BC587" s="3"/>
    </row>
    <row r="588" spans="1:61" ht="13" customHeight="1">
      <c r="A588" s="22"/>
      <c r="B588" t="s">
        <v>17</v>
      </c>
      <c r="G588" s="1464" t="s">
        <v>2725</v>
      </c>
      <c r="H588" s="1464"/>
      <c r="I588" s="1464"/>
      <c r="J588" s="1464"/>
      <c r="K588" s="1464"/>
      <c r="L588" s="1464"/>
      <c r="M588" s="1464"/>
      <c r="N588" s="1464"/>
      <c r="O588" s="1464"/>
      <c r="P588" s="1464"/>
      <c r="Q588" s="1464"/>
      <c r="R588" s="1464"/>
      <c r="T588" s="22"/>
      <c r="U588" t="s">
        <v>17</v>
      </c>
      <c r="Z588" s="1383" t="s">
        <v>2752</v>
      </c>
      <c r="AA588" s="1464"/>
      <c r="AB588" s="1464"/>
      <c r="AC588" s="1464"/>
      <c r="AD588" s="1464"/>
      <c r="AE588" s="1464"/>
      <c r="AF588" s="1464"/>
      <c r="AG588" s="1464"/>
      <c r="AH588" s="1464"/>
      <c r="AI588" s="1464"/>
      <c r="AJ588" s="1464"/>
      <c r="AK588" s="1464"/>
      <c r="BB588" s="3"/>
      <c r="BC588" s="3"/>
    </row>
    <row r="589" spans="1:61" ht="13" customHeight="1">
      <c r="A589" s="22"/>
      <c r="B589" t="s">
        <v>316</v>
      </c>
      <c r="G589" s="1431" t="s">
        <v>2660</v>
      </c>
      <c r="H589" s="1431"/>
      <c r="I589" s="1431"/>
      <c r="J589" s="1431"/>
      <c r="K589" s="1431"/>
      <c r="L589" s="1431"/>
      <c r="O589" s="33" t="s">
        <v>206</v>
      </c>
      <c r="P589" s="1453"/>
      <c r="Q589" s="1453"/>
      <c r="R589" s="1453"/>
      <c r="T589" s="22"/>
      <c r="U589" t="s">
        <v>316</v>
      </c>
      <c r="Z589" s="1702" t="s">
        <v>2753</v>
      </c>
      <c r="AA589" s="1431"/>
      <c r="AB589" s="1431"/>
      <c r="AC589" s="1431"/>
      <c r="AD589" s="1431"/>
      <c r="AE589" s="1431"/>
      <c r="AH589" s="33" t="s">
        <v>206</v>
      </c>
      <c r="AI589" s="1453"/>
      <c r="AJ589" s="1453"/>
      <c r="AK589" s="1453"/>
      <c r="BB589" s="3"/>
      <c r="BC589" s="3"/>
    </row>
    <row r="590" spans="1:61" ht="13" customHeight="1">
      <c r="A590" s="22"/>
      <c r="B590" t="s">
        <v>18</v>
      </c>
      <c r="H590" s="1432"/>
      <c r="I590" s="1432"/>
      <c r="J590" s="1432"/>
      <c r="K590" s="1432"/>
      <c r="L590" s="1432"/>
      <c r="M590" s="1432"/>
      <c r="N590" s="1432"/>
      <c r="O590" s="1432"/>
      <c r="P590" s="1432"/>
      <c r="Q590" s="1432"/>
      <c r="R590" s="1432"/>
      <c r="T590" s="22"/>
      <c r="U590" t="s">
        <v>18</v>
      </c>
      <c r="AA590" s="1432" t="str">
        <f>M565</f>
        <v>Equity, LIHTC Investor</v>
      </c>
      <c r="AB590" s="1432"/>
      <c r="AC590" s="1432"/>
      <c r="AD590" s="1432"/>
      <c r="AE590" s="1432"/>
      <c r="AF590" s="1432"/>
      <c r="AG590" s="1432"/>
      <c r="AH590" s="1432"/>
      <c r="AI590" s="1432"/>
      <c r="AJ590" s="1432"/>
      <c r="AK590" s="1432"/>
      <c r="BB590" s="3"/>
      <c r="BC590" s="3"/>
    </row>
    <row r="591" spans="1:61" ht="13" customHeight="1">
      <c r="A591" s="22"/>
      <c r="B591" t="s">
        <v>20</v>
      </c>
      <c r="N591" s="1340" t="s">
        <v>545</v>
      </c>
      <c r="O591" s="1340"/>
      <c r="T591" s="22"/>
      <c r="U591" t="s">
        <v>20</v>
      </c>
      <c r="AG591" s="1340" t="s">
        <v>545</v>
      </c>
      <c r="AH591" s="1340"/>
      <c r="BB591" s="3"/>
      <c r="BC591" s="3"/>
    </row>
    <row r="592" spans="1:61" ht="13" customHeight="1">
      <c r="A592" s="22"/>
      <c r="T592" s="22"/>
      <c r="BB592" s="3"/>
      <c r="BC592" s="3"/>
    </row>
    <row r="593" spans="1:55" ht="13" customHeight="1">
      <c r="A593" s="55" t="s">
        <v>763</v>
      </c>
      <c r="B593" t="s">
        <v>463</v>
      </c>
      <c r="G593" s="1437" t="str">
        <f>C566</f>
        <v>Deferred Developer Fee</v>
      </c>
      <c r="H593" s="1437"/>
      <c r="I593" s="1437"/>
      <c r="J593" s="1437"/>
      <c r="K593" s="1437"/>
      <c r="L593" s="1437"/>
      <c r="M593" s="1437"/>
      <c r="N593" s="1437"/>
      <c r="O593" s="1437"/>
      <c r="P593" s="1437"/>
      <c r="Q593" s="1437"/>
      <c r="R593" s="1437"/>
      <c r="T593" s="55" t="s">
        <v>584</v>
      </c>
      <c r="U593" t="s">
        <v>463</v>
      </c>
      <c r="Z593" s="1437" t="str">
        <f>C567</f>
        <v>Deferred to Permanent Conversion</v>
      </c>
      <c r="AA593" s="1437"/>
      <c r="AB593" s="1437"/>
      <c r="AC593" s="1437"/>
      <c r="AD593" s="1437"/>
      <c r="AE593" s="1437"/>
      <c r="AF593" s="1437"/>
      <c r="AG593" s="1437"/>
      <c r="AH593" s="1437"/>
      <c r="AI593" s="1437"/>
      <c r="AJ593" s="1437"/>
      <c r="AK593" s="1437"/>
      <c r="BB593" s="3"/>
      <c r="BC593" s="3"/>
    </row>
    <row r="594" spans="1:55" ht="13" customHeight="1">
      <c r="A594" s="22"/>
      <c r="B594" t="s">
        <v>85</v>
      </c>
      <c r="G594" s="1432" t="s">
        <v>2658</v>
      </c>
      <c r="H594" s="1432"/>
      <c r="I594" s="1432"/>
      <c r="J594" s="1432"/>
      <c r="K594" s="1432"/>
      <c r="L594" s="1432"/>
      <c r="M594" s="1432"/>
      <c r="N594" s="1432"/>
      <c r="O594" s="1432"/>
      <c r="P594" s="1432"/>
      <c r="Q594" s="1432"/>
      <c r="R594" s="1432"/>
      <c r="T594" s="22"/>
      <c r="U594" t="s">
        <v>85</v>
      </c>
      <c r="Z594" s="1432" t="s">
        <v>2658</v>
      </c>
      <c r="AA594" s="1432"/>
      <c r="AB594" s="1432"/>
      <c r="AC594" s="1432"/>
      <c r="AD594" s="1432"/>
      <c r="AE594" s="1432"/>
      <c r="AF594" s="1432"/>
      <c r="AG594" s="1432"/>
      <c r="AH594" s="1432"/>
      <c r="AI594" s="1432"/>
      <c r="AJ594" s="1432"/>
      <c r="AK594" s="1432"/>
      <c r="BB594" s="3"/>
      <c r="BC594" s="3"/>
    </row>
    <row r="595" spans="1:55" ht="13" customHeight="1">
      <c r="A595" s="22"/>
      <c r="B595" t="s">
        <v>580</v>
      </c>
      <c r="G595" s="1432" t="s">
        <v>2649</v>
      </c>
      <c r="H595" s="1432"/>
      <c r="I595" s="1432"/>
      <c r="J595" s="1432"/>
      <c r="K595" s="1432"/>
      <c r="L595" s="1432"/>
      <c r="M595" s="1432"/>
      <c r="N595" s="1432"/>
      <c r="O595" s="1432"/>
      <c r="P595" s="1432"/>
      <c r="Q595" s="1432"/>
      <c r="R595" s="1432"/>
      <c r="T595" s="22"/>
      <c r="U595" t="s">
        <v>580</v>
      </c>
      <c r="Z595" s="1464" t="s">
        <v>2649</v>
      </c>
      <c r="AA595" s="1464"/>
      <c r="AB595" s="1464"/>
      <c r="AC595" s="1464"/>
      <c r="AD595" s="1464"/>
      <c r="AE595" s="1464"/>
      <c r="AF595" s="1464"/>
      <c r="AG595" s="1464"/>
      <c r="AH595" s="1464"/>
      <c r="AI595" s="1464"/>
      <c r="AJ595" s="1464"/>
      <c r="AK595" s="1464"/>
      <c r="BB595" s="3"/>
      <c r="BC595" s="3"/>
    </row>
    <row r="596" spans="1:55" ht="13" customHeight="1">
      <c r="A596" s="22"/>
      <c r="B596" t="s">
        <v>17</v>
      </c>
      <c r="G596" s="1432" t="s">
        <v>2646</v>
      </c>
      <c r="H596" s="1432"/>
      <c r="I596" s="1432"/>
      <c r="J596" s="1432"/>
      <c r="K596" s="1432"/>
      <c r="L596" s="1432"/>
      <c r="M596" s="1432"/>
      <c r="N596" s="1432"/>
      <c r="O596" s="1432"/>
      <c r="P596" s="1432"/>
      <c r="Q596" s="1432"/>
      <c r="R596" s="1432"/>
      <c r="T596" s="22"/>
      <c r="U596" t="s">
        <v>17</v>
      </c>
      <c r="Z596" s="1464" t="s">
        <v>2646</v>
      </c>
      <c r="AA596" s="1464"/>
      <c r="AB596" s="1464"/>
      <c r="AC596" s="1464"/>
      <c r="AD596" s="1464"/>
      <c r="AE596" s="1464"/>
      <c r="AF596" s="1464"/>
      <c r="AG596" s="1464"/>
      <c r="AH596" s="1464"/>
      <c r="AI596" s="1464"/>
      <c r="AJ596" s="1464"/>
      <c r="AK596" s="1464"/>
    </row>
    <row r="597" spans="1:55" ht="13" customHeight="1">
      <c r="A597" s="22"/>
      <c r="B597" t="s">
        <v>316</v>
      </c>
      <c r="G597" s="1431" t="s">
        <v>2660</v>
      </c>
      <c r="H597" s="1431"/>
      <c r="I597" s="1431"/>
      <c r="J597" s="1431"/>
      <c r="K597" s="1431"/>
      <c r="L597" s="1431"/>
      <c r="O597" s="33" t="s">
        <v>206</v>
      </c>
      <c r="P597" s="1453"/>
      <c r="Q597" s="1453"/>
      <c r="R597" s="1453"/>
      <c r="T597" s="22"/>
      <c r="U597" t="s">
        <v>316</v>
      </c>
      <c r="Z597" s="1431" t="s">
        <v>2660</v>
      </c>
      <c r="AA597" s="1431"/>
      <c r="AB597" s="1431"/>
      <c r="AC597" s="1431"/>
      <c r="AD597" s="1431"/>
      <c r="AE597" s="1431"/>
      <c r="AH597" s="33" t="s">
        <v>206</v>
      </c>
      <c r="AI597" s="1453"/>
      <c r="AJ597" s="1453"/>
      <c r="AK597" s="1453"/>
      <c r="AZ597" s="3"/>
      <c r="BA597" s="3"/>
      <c r="BB597" s="3"/>
      <c r="BC597" s="3"/>
    </row>
    <row r="598" spans="1:55" ht="13" customHeight="1">
      <c r="A598" s="22"/>
      <c r="B598" t="s">
        <v>18</v>
      </c>
      <c r="H598" s="1432"/>
      <c r="I598" s="1432"/>
      <c r="J598" s="1432"/>
      <c r="K598" s="1432"/>
      <c r="L598" s="1432"/>
      <c r="M598" s="1432"/>
      <c r="N598" s="1432"/>
      <c r="O598" s="1432"/>
      <c r="P598" s="1432"/>
      <c r="Q598" s="1432"/>
      <c r="R598" s="1432"/>
      <c r="T598" s="22"/>
      <c r="U598" t="s">
        <v>18</v>
      </c>
      <c r="AA598" s="1432"/>
      <c r="AB598" s="1432"/>
      <c r="AC598" s="1432"/>
      <c r="AD598" s="1432"/>
      <c r="AE598" s="1432"/>
      <c r="AF598" s="1432"/>
      <c r="AG598" s="1432"/>
      <c r="AH598" s="1432"/>
      <c r="AI598" s="1432"/>
      <c r="AJ598" s="1432"/>
      <c r="AK598" s="1432"/>
      <c r="AZ598" s="3"/>
      <c r="BA598" s="3"/>
      <c r="BB598" s="3"/>
      <c r="BC598" s="3"/>
    </row>
    <row r="599" spans="1:55" ht="13" customHeight="1">
      <c r="A599" s="22"/>
      <c r="B599" t="s">
        <v>20</v>
      </c>
      <c r="N599" s="1340" t="s">
        <v>545</v>
      </c>
      <c r="O599" s="1340"/>
      <c r="T599" s="22"/>
      <c r="U599" t="s">
        <v>20</v>
      </c>
      <c r="AG599" s="1340" t="s">
        <v>545</v>
      </c>
      <c r="AH599" s="1340"/>
      <c r="AZ599" s="3"/>
      <c r="BA599" s="3"/>
      <c r="BB599" s="3"/>
      <c r="BC599" s="3"/>
    </row>
    <row r="600" spans="1:55" ht="13" customHeight="1">
      <c r="A600" s="22"/>
      <c r="T600" s="22"/>
      <c r="AZ600" s="3"/>
      <c r="BA600" s="3"/>
      <c r="BB600" s="3"/>
      <c r="BC600" s="3"/>
    </row>
    <row r="601" spans="1:55" ht="13" customHeight="1">
      <c r="A601" s="55" t="s">
        <v>455</v>
      </c>
      <c r="B601" t="s">
        <v>463</v>
      </c>
      <c r="G601" s="1437" t="str">
        <f>C568</f>
        <v>GP Equity</v>
      </c>
      <c r="H601" s="1437"/>
      <c r="I601" s="1437"/>
      <c r="J601" s="1437"/>
      <c r="K601" s="1437"/>
      <c r="L601" s="1437"/>
      <c r="M601" s="1437"/>
      <c r="N601" s="1437"/>
      <c r="O601" s="1437"/>
      <c r="P601" s="1437"/>
      <c r="Q601" s="1437"/>
      <c r="R601" s="1437"/>
      <c r="T601" s="55" t="s">
        <v>456</v>
      </c>
      <c r="U601" t="s">
        <v>463</v>
      </c>
      <c r="Z601" s="1437">
        <f>C569</f>
        <v>0</v>
      </c>
      <c r="AA601" s="1437"/>
      <c r="AB601" s="1437"/>
      <c r="AC601" s="1437"/>
      <c r="AD601" s="1437"/>
      <c r="AE601" s="1437"/>
      <c r="AF601" s="1437"/>
      <c r="AG601" s="1437"/>
      <c r="AH601" s="1437"/>
      <c r="AI601" s="1437"/>
      <c r="AJ601" s="1437"/>
      <c r="AK601" s="1437"/>
      <c r="AZ601" s="3"/>
      <c r="BA601" s="3"/>
      <c r="BB601" s="3"/>
      <c r="BC601" s="3"/>
    </row>
    <row r="602" spans="1:55" s="4" customFormat="1" ht="13" customHeight="1">
      <c r="A602" s="22"/>
      <c r="B602" t="s">
        <v>85</v>
      </c>
      <c r="C602"/>
      <c r="D602"/>
      <c r="E602"/>
      <c r="F602"/>
      <c r="G602" s="1432" t="s">
        <v>2658</v>
      </c>
      <c r="H602" s="1432"/>
      <c r="I602" s="1432"/>
      <c r="J602" s="1432"/>
      <c r="K602" s="1432"/>
      <c r="L602" s="1432"/>
      <c r="M602" s="1432"/>
      <c r="N602" s="1432"/>
      <c r="O602" s="1432"/>
      <c r="P602" s="1432"/>
      <c r="Q602" s="1432"/>
      <c r="R602" s="1432"/>
      <c r="S602"/>
      <c r="T602" s="22"/>
      <c r="U602" t="s">
        <v>85</v>
      </c>
      <c r="V602"/>
      <c r="W602"/>
      <c r="X602"/>
      <c r="Y602"/>
      <c r="Z602" s="1432"/>
      <c r="AA602" s="1432"/>
      <c r="AB602" s="1432"/>
      <c r="AC602" s="1432"/>
      <c r="AD602" s="1432"/>
      <c r="AE602" s="1432"/>
      <c r="AF602" s="1432"/>
      <c r="AG602" s="1432"/>
      <c r="AH602" s="1432"/>
      <c r="AI602" s="1432"/>
      <c r="AJ602" s="1432"/>
      <c r="AK602" s="1432"/>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32" t="s">
        <v>2649</v>
      </c>
      <c r="H603" s="1432"/>
      <c r="I603" s="1432"/>
      <c r="J603" s="1432"/>
      <c r="K603" s="1432"/>
      <c r="L603" s="1432"/>
      <c r="M603" s="1432"/>
      <c r="N603" s="1432"/>
      <c r="O603" s="1432"/>
      <c r="P603" s="1432"/>
      <c r="Q603" s="1432"/>
      <c r="R603" s="1432"/>
      <c r="S603"/>
      <c r="T603" s="22"/>
      <c r="U603" t="s">
        <v>580</v>
      </c>
      <c r="V603"/>
      <c r="W603"/>
      <c r="X603"/>
      <c r="Y603"/>
      <c r="Z603" s="1464"/>
      <c r="AA603" s="1464"/>
      <c r="AB603" s="1464"/>
      <c r="AC603" s="1464"/>
      <c r="AD603" s="1464"/>
      <c r="AE603" s="1464"/>
      <c r="AF603" s="1464"/>
      <c r="AG603" s="1464"/>
      <c r="AH603" s="1464"/>
      <c r="AI603" s="1464"/>
      <c r="AJ603" s="1464"/>
      <c r="AK603" s="1464"/>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2" t="s">
        <v>2646</v>
      </c>
      <c r="H604" s="1432"/>
      <c r="I604" s="1432"/>
      <c r="J604" s="1432"/>
      <c r="K604" s="1432"/>
      <c r="L604" s="1432"/>
      <c r="M604" s="1432"/>
      <c r="N604" s="1432"/>
      <c r="O604" s="1432"/>
      <c r="P604" s="1432"/>
      <c r="Q604" s="1432"/>
      <c r="R604" s="1432"/>
      <c r="S604"/>
      <c r="T604" s="22"/>
      <c r="U604" t="s">
        <v>17</v>
      </c>
      <c r="V604"/>
      <c r="W604"/>
      <c r="X604"/>
      <c r="Y604"/>
      <c r="Z604" s="1464"/>
      <c r="AA604" s="1464"/>
      <c r="AB604" s="1464"/>
      <c r="AC604" s="1464"/>
      <c r="AD604" s="1464"/>
      <c r="AE604" s="1464"/>
      <c r="AF604" s="1464"/>
      <c r="AG604" s="1464"/>
      <c r="AH604" s="1464"/>
      <c r="AI604" s="1464"/>
      <c r="AJ604" s="1464"/>
      <c r="AK604" s="1464"/>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31" t="s">
        <v>2660</v>
      </c>
      <c r="H605" s="1431"/>
      <c r="I605" s="1431"/>
      <c r="J605" s="1431"/>
      <c r="K605" s="1431"/>
      <c r="L605" s="1431"/>
      <c r="M605"/>
      <c r="N605"/>
      <c r="O605" s="33" t="s">
        <v>206</v>
      </c>
      <c r="P605" s="1453"/>
      <c r="Q605" s="1453"/>
      <c r="R605" s="1453"/>
      <c r="S605"/>
      <c r="T605" s="22"/>
      <c r="U605" t="s">
        <v>316</v>
      </c>
      <c r="V605"/>
      <c r="W605"/>
      <c r="X605"/>
      <c r="Y605"/>
      <c r="Z605" s="1431"/>
      <c r="AA605" s="1431"/>
      <c r="AB605" s="1431"/>
      <c r="AC605" s="1431"/>
      <c r="AD605" s="1431"/>
      <c r="AE605" s="1431"/>
      <c r="AF605"/>
      <c r="AG605"/>
      <c r="AH605" s="33" t="s">
        <v>206</v>
      </c>
      <c r="AI605" s="1453"/>
      <c r="AJ605" s="1453"/>
      <c r="AK605" s="145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BB606" s="3"/>
      <c r="BC606" s="3"/>
    </row>
    <row r="607" spans="1:55" ht="13" customHeight="1">
      <c r="A607" s="22"/>
      <c r="B607" t="s">
        <v>20</v>
      </c>
      <c r="N607" s="1340" t="s">
        <v>545</v>
      </c>
      <c r="O607" s="1340"/>
      <c r="T607" s="22"/>
      <c r="U607" t="s">
        <v>20</v>
      </c>
      <c r="AG607" s="1340" t="s">
        <v>669</v>
      </c>
      <c r="AH607" s="1340"/>
      <c r="BB607" s="3"/>
      <c r="BC607" s="3"/>
    </row>
    <row r="608" spans="1:55" ht="13" customHeight="1">
      <c r="A608" s="22"/>
      <c r="T608" s="22"/>
      <c r="BB608" s="3"/>
      <c r="BC608" s="3"/>
    </row>
    <row r="609" spans="1:55" ht="13" customHeight="1">
      <c r="A609" s="55" t="s">
        <v>461</v>
      </c>
      <c r="B609" t="s">
        <v>463</v>
      </c>
      <c r="G609" s="1437">
        <f>C570</f>
        <v>0</v>
      </c>
      <c r="H609" s="1437"/>
      <c r="I609" s="1437"/>
      <c r="J609" s="1437"/>
      <c r="K609" s="1437"/>
      <c r="L609" s="1437"/>
      <c r="M609" s="1437"/>
      <c r="N609" s="1437"/>
      <c r="O609" s="1437"/>
      <c r="P609" s="1437"/>
      <c r="Q609" s="1437"/>
      <c r="R609" s="1437"/>
      <c r="T609" s="55" t="s">
        <v>646</v>
      </c>
      <c r="U609" t="s">
        <v>463</v>
      </c>
      <c r="Z609" s="1437">
        <f>C571</f>
        <v>0</v>
      </c>
      <c r="AA609" s="1437"/>
      <c r="AB609" s="1437"/>
      <c r="AC609" s="1437"/>
      <c r="AD609" s="1437"/>
      <c r="AE609" s="1437"/>
      <c r="AF609" s="1437"/>
      <c r="AG609" s="1437"/>
      <c r="AH609" s="1437"/>
      <c r="AI609" s="1437"/>
      <c r="AJ609" s="1437"/>
      <c r="AK609" s="1437"/>
      <c r="BB609" s="3"/>
      <c r="BC609" s="3"/>
    </row>
    <row r="610" spans="1:55" ht="13" customHeight="1">
      <c r="A610" s="22"/>
      <c r="B610" t="s">
        <v>85</v>
      </c>
      <c r="G610" s="1432"/>
      <c r="H610" s="1432"/>
      <c r="I610" s="1432"/>
      <c r="J610" s="1432"/>
      <c r="K610" s="1432"/>
      <c r="L610" s="1432"/>
      <c r="M610" s="1432"/>
      <c r="N610" s="1432"/>
      <c r="O610" s="1432"/>
      <c r="P610" s="1432"/>
      <c r="Q610" s="1432"/>
      <c r="R610" s="1432"/>
      <c r="T610" s="22"/>
      <c r="U610" t="s">
        <v>85</v>
      </c>
      <c r="Z610" s="1432"/>
      <c r="AA610" s="1432"/>
      <c r="AB610" s="1432"/>
      <c r="AC610" s="1432"/>
      <c r="AD610" s="1432"/>
      <c r="AE610" s="1432"/>
      <c r="AF610" s="1432"/>
      <c r="AG610" s="1432"/>
      <c r="AH610" s="1432"/>
      <c r="AI610" s="1432"/>
      <c r="AJ610" s="1432"/>
      <c r="AK610" s="1432"/>
      <c r="AZ610" s="3"/>
      <c r="BA610" s="3"/>
      <c r="BB610" s="3"/>
      <c r="BC610" s="3"/>
    </row>
    <row r="611" spans="1:55" ht="13" customHeight="1">
      <c r="A611" s="22"/>
      <c r="B611" t="s">
        <v>580</v>
      </c>
      <c r="G611" s="1432"/>
      <c r="H611" s="1432"/>
      <c r="I611" s="1432"/>
      <c r="J611" s="1432"/>
      <c r="K611" s="1432"/>
      <c r="L611" s="1432"/>
      <c r="M611" s="1432"/>
      <c r="N611" s="1432"/>
      <c r="O611" s="1432"/>
      <c r="P611" s="1432"/>
      <c r="Q611" s="1432"/>
      <c r="R611" s="1432"/>
      <c r="T611" s="22"/>
      <c r="U611" t="s">
        <v>580</v>
      </c>
      <c r="Z611" s="1464"/>
      <c r="AA611" s="1464"/>
      <c r="AB611" s="1464"/>
      <c r="AC611" s="1464"/>
      <c r="AD611" s="1464"/>
      <c r="AE611" s="1464"/>
      <c r="AF611" s="1464"/>
      <c r="AG611" s="1464"/>
      <c r="AH611" s="1464"/>
      <c r="AI611" s="1464"/>
      <c r="AJ611" s="1464"/>
      <c r="AK611" s="1464"/>
      <c r="AZ611" s="3"/>
      <c r="BA611" s="3"/>
      <c r="BB611" s="3"/>
      <c r="BC611" s="3"/>
    </row>
    <row r="612" spans="1:55" ht="13" customHeight="1">
      <c r="A612" s="22"/>
      <c r="B612" t="s">
        <v>17</v>
      </c>
      <c r="G612" s="1432"/>
      <c r="H612" s="1432"/>
      <c r="I612" s="1432"/>
      <c r="J612" s="1432"/>
      <c r="K612" s="1432"/>
      <c r="L612" s="1432"/>
      <c r="M612" s="1432"/>
      <c r="N612" s="1432"/>
      <c r="O612" s="1432"/>
      <c r="P612" s="1432"/>
      <c r="Q612" s="1432"/>
      <c r="R612" s="1432"/>
      <c r="T612" s="22"/>
      <c r="U612" t="s">
        <v>17</v>
      </c>
      <c r="Z612" s="1464"/>
      <c r="AA612" s="1464"/>
      <c r="AB612" s="1464"/>
      <c r="AC612" s="1464"/>
      <c r="AD612" s="1464"/>
      <c r="AE612" s="1464"/>
      <c r="AF612" s="1464"/>
      <c r="AG612" s="1464"/>
      <c r="AH612" s="1464"/>
      <c r="AI612" s="1464"/>
      <c r="AJ612" s="1464"/>
      <c r="AK612" s="1464"/>
      <c r="AZ612" s="3"/>
      <c r="BA612" s="3"/>
      <c r="BB612" s="3"/>
      <c r="BC612" s="3"/>
    </row>
    <row r="613" spans="1:55" s="4" customFormat="1" ht="13" customHeight="1">
      <c r="A613" s="22"/>
      <c r="B613" t="s">
        <v>316</v>
      </c>
      <c r="C613"/>
      <c r="D613"/>
      <c r="E613"/>
      <c r="F613"/>
      <c r="G613" s="1431"/>
      <c r="H613" s="1431"/>
      <c r="I613" s="1431"/>
      <c r="J613" s="1431"/>
      <c r="K613" s="1431"/>
      <c r="L613" s="1431"/>
      <c r="M613"/>
      <c r="N613"/>
      <c r="O613" s="33" t="s">
        <v>206</v>
      </c>
      <c r="P613" s="1453"/>
      <c r="Q613" s="1453"/>
      <c r="R613" s="1453"/>
      <c r="S613"/>
      <c r="T613" s="22"/>
      <c r="U613" t="s">
        <v>316</v>
      </c>
      <c r="V613"/>
      <c r="W613"/>
      <c r="X613"/>
      <c r="Y613"/>
      <c r="Z613" s="1431"/>
      <c r="AA613" s="1431"/>
      <c r="AB613" s="1431"/>
      <c r="AC613" s="1431"/>
      <c r="AD613" s="1431"/>
      <c r="AE613" s="1431"/>
      <c r="AF613"/>
      <c r="AG613"/>
      <c r="AH613" s="33" t="s">
        <v>206</v>
      </c>
      <c r="AI613" s="1453"/>
      <c r="AJ613" s="1453"/>
      <c r="AK613" s="145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2"/>
      <c r="I614" s="1432"/>
      <c r="J614" s="1432"/>
      <c r="K614" s="1432"/>
      <c r="L614" s="1432"/>
      <c r="M614" s="1432"/>
      <c r="N614" s="1432"/>
      <c r="O614" s="1432"/>
      <c r="P614" s="1432"/>
      <c r="Q614" s="1432"/>
      <c r="R614" s="1432"/>
      <c r="S614"/>
      <c r="T614" s="22"/>
      <c r="U614" t="s">
        <v>18</v>
      </c>
      <c r="V614"/>
      <c r="W614"/>
      <c r="X614"/>
      <c r="Y614"/>
      <c r="Z614"/>
      <c r="AA614" s="1432"/>
      <c r="AB614" s="1432"/>
      <c r="AC614" s="1432"/>
      <c r="AD614" s="1432"/>
      <c r="AE614" s="1432"/>
      <c r="AF614" s="1432"/>
      <c r="AG614" s="1432"/>
      <c r="AH614" s="1432"/>
      <c r="AI614" s="1432"/>
      <c r="AJ614" s="1432"/>
      <c r="AK614" s="143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37">
        <f>C572</f>
        <v>0</v>
      </c>
      <c r="H617" s="1437"/>
      <c r="I617" s="1437"/>
      <c r="J617" s="1437"/>
      <c r="K617" s="1437"/>
      <c r="L617" s="1437"/>
      <c r="M617" s="1437"/>
      <c r="N617" s="1437"/>
      <c r="O617" s="1437"/>
      <c r="P617" s="1437"/>
      <c r="Q617" s="1437"/>
      <c r="R617" s="1437"/>
      <c r="T617" s="55" t="s">
        <v>363</v>
      </c>
      <c r="U617" t="s">
        <v>463</v>
      </c>
      <c r="Z617" s="1437">
        <f>C573</f>
        <v>0</v>
      </c>
      <c r="AA617" s="1437"/>
      <c r="AB617" s="1437"/>
      <c r="AC617" s="1437"/>
      <c r="AD617" s="1437"/>
      <c r="AE617" s="1437"/>
      <c r="AF617" s="1437"/>
      <c r="AG617" s="1437"/>
      <c r="AH617" s="1437"/>
      <c r="AI617" s="1437"/>
      <c r="AJ617" s="1437"/>
      <c r="AK617" s="1437"/>
      <c r="AZ617" s="3"/>
      <c r="BA617" s="3"/>
      <c r="BB617" s="3"/>
      <c r="BC617" s="3"/>
    </row>
    <row r="618" spans="1:55" ht="13" customHeight="1">
      <c r="B618" t="s">
        <v>85</v>
      </c>
      <c r="G618" s="1432"/>
      <c r="H618" s="1432"/>
      <c r="I618" s="1432"/>
      <c r="J618" s="1432"/>
      <c r="K618" s="1432"/>
      <c r="L618" s="1432"/>
      <c r="M618" s="1432"/>
      <c r="N618" s="1432"/>
      <c r="O618" s="1432"/>
      <c r="P618" s="1432"/>
      <c r="Q618" s="1432"/>
      <c r="R618" s="1432"/>
      <c r="U618" t="s">
        <v>85</v>
      </c>
      <c r="Z618" s="1432"/>
      <c r="AA618" s="1432"/>
      <c r="AB618" s="1432"/>
      <c r="AC618" s="1432"/>
      <c r="AD618" s="1432"/>
      <c r="AE618" s="1432"/>
      <c r="AF618" s="1432"/>
      <c r="AG618" s="1432"/>
      <c r="AH618" s="1432"/>
      <c r="AI618" s="1432"/>
      <c r="AJ618" s="1432"/>
      <c r="AK618" s="1432"/>
      <c r="AZ618" s="3"/>
      <c r="BA618" s="3"/>
      <c r="BB618" s="3"/>
      <c r="BC618" s="3"/>
    </row>
    <row r="619" spans="1:55" ht="13" customHeight="1">
      <c r="B619" t="s">
        <v>580</v>
      </c>
      <c r="G619" s="1432"/>
      <c r="H619" s="1432"/>
      <c r="I619" s="1432"/>
      <c r="J619" s="1432"/>
      <c r="K619" s="1432"/>
      <c r="L619" s="1432"/>
      <c r="M619" s="1432"/>
      <c r="N619" s="1432"/>
      <c r="O619" s="1432"/>
      <c r="P619" s="1432"/>
      <c r="Q619" s="1432"/>
      <c r="R619" s="1432"/>
      <c r="U619" t="s">
        <v>580</v>
      </c>
      <c r="Z619" s="1464"/>
      <c r="AA619" s="1464"/>
      <c r="AB619" s="1464"/>
      <c r="AC619" s="1464"/>
      <c r="AD619" s="1464"/>
      <c r="AE619" s="1464"/>
      <c r="AF619" s="1464"/>
      <c r="AG619" s="1464"/>
      <c r="AH619" s="1464"/>
      <c r="AI619" s="1464"/>
      <c r="AJ619" s="1464"/>
      <c r="AK619" s="1464"/>
      <c r="AZ619" s="3"/>
      <c r="BA619" s="3"/>
      <c r="BB619" s="3"/>
      <c r="BC619" s="3"/>
    </row>
    <row r="620" spans="1:55" ht="13" customHeight="1">
      <c r="B620" t="s">
        <v>17</v>
      </c>
      <c r="G620" s="1432"/>
      <c r="H620" s="1432"/>
      <c r="I620" s="1432"/>
      <c r="J620" s="1432"/>
      <c r="K620" s="1432"/>
      <c r="L620" s="1432"/>
      <c r="M620" s="1432"/>
      <c r="N620" s="1432"/>
      <c r="O620" s="1432"/>
      <c r="P620" s="1432"/>
      <c r="Q620" s="1432"/>
      <c r="R620" s="1432"/>
      <c r="U620" t="s">
        <v>17</v>
      </c>
      <c r="Z620" s="1464"/>
      <c r="AA620" s="1464"/>
      <c r="AB620" s="1464"/>
      <c r="AC620" s="1464"/>
      <c r="AD620" s="1464"/>
      <c r="AE620" s="1464"/>
      <c r="AF620" s="1464"/>
      <c r="AG620" s="1464"/>
      <c r="AH620" s="1464"/>
      <c r="AI620" s="1464"/>
      <c r="AJ620" s="1464"/>
      <c r="AK620" s="1464"/>
      <c r="AZ620" s="3"/>
      <c r="BA620" s="3"/>
      <c r="BB620" s="3"/>
      <c r="BC620" s="3"/>
    </row>
    <row r="621" spans="1:55" ht="13" customHeight="1">
      <c r="B621" t="s">
        <v>316</v>
      </c>
      <c r="G621" s="1431"/>
      <c r="H621" s="1431"/>
      <c r="I621" s="1431"/>
      <c r="J621" s="1431"/>
      <c r="K621" s="1431"/>
      <c r="L621" s="1431"/>
      <c r="O621" s="33" t="s">
        <v>206</v>
      </c>
      <c r="P621" s="1453"/>
      <c r="Q621" s="1453"/>
      <c r="R621" s="1453"/>
      <c r="U621" t="s">
        <v>316</v>
      </c>
      <c r="Z621" s="1431"/>
      <c r="AA621" s="1431"/>
      <c r="AB621" s="1431"/>
      <c r="AC621" s="1431"/>
      <c r="AD621" s="1431"/>
      <c r="AE621" s="1431"/>
      <c r="AH621" s="33" t="s">
        <v>206</v>
      </c>
      <c r="AI621" s="1453"/>
      <c r="AJ621" s="1453"/>
      <c r="AK621" s="1453"/>
      <c r="AZ621" s="3"/>
      <c r="BA621" s="3"/>
      <c r="BB621" s="3"/>
      <c r="BC621" s="3"/>
    </row>
    <row r="622" spans="1:55" ht="13" customHeight="1">
      <c r="B622" t="s">
        <v>18</v>
      </c>
      <c r="H622" s="1432"/>
      <c r="I622" s="1432"/>
      <c r="J622" s="1432"/>
      <c r="K622" s="1432"/>
      <c r="L622" s="1432"/>
      <c r="M622" s="1432"/>
      <c r="N622" s="1432"/>
      <c r="O622" s="1432"/>
      <c r="P622" s="1432"/>
      <c r="Q622" s="1432"/>
      <c r="R622" s="1432"/>
      <c r="U622" t="s">
        <v>18</v>
      </c>
      <c r="AA622" s="1432"/>
      <c r="AB622" s="1432"/>
      <c r="AC622" s="1432"/>
      <c r="AD622" s="1432"/>
      <c r="AE622" s="1432"/>
      <c r="AF622" s="1432"/>
      <c r="AG622" s="1432"/>
      <c r="AH622" s="1432"/>
      <c r="AI622" s="1432"/>
      <c r="AJ622" s="1432"/>
      <c r="AK622" s="1432"/>
      <c r="AU622" s="895"/>
      <c r="AV622" s="895"/>
      <c r="AW622" s="895"/>
      <c r="AX622" s="895"/>
      <c r="AY622" s="895"/>
      <c r="AZ622" s="3"/>
      <c r="BA622" s="3"/>
      <c r="BB622" s="3"/>
      <c r="BC622" s="3"/>
    </row>
    <row r="623" spans="1:55" ht="13" customHeight="1">
      <c r="B623" t="s">
        <v>20</v>
      </c>
      <c r="N623" s="1340" t="s">
        <v>669</v>
      </c>
      <c r="O623" s="1340"/>
      <c r="U623" t="s">
        <v>20</v>
      </c>
      <c r="AG623" s="1340" t="s">
        <v>669</v>
      </c>
      <c r="AH623" s="1340"/>
      <c r="AU623" s="895"/>
      <c r="AV623" s="895"/>
      <c r="AW623" s="895"/>
      <c r="AX623" s="895"/>
      <c r="AY623" s="895"/>
      <c r="AZ623" s="3"/>
      <c r="BA623" s="3"/>
      <c r="BB623" s="3"/>
      <c r="BC623" s="3"/>
    </row>
    <row r="624" spans="1:55" ht="13" customHeight="1">
      <c r="AZ624" s="3"/>
      <c r="BA624" s="3"/>
      <c r="BB624" s="3"/>
      <c r="BC624" s="3"/>
    </row>
    <row r="625" spans="1:56" ht="13"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3"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2057</v>
      </c>
      <c r="AZ630" s="3"/>
      <c r="BA630" s="3"/>
      <c r="BB630" s="3"/>
      <c r="BC630" s="3"/>
    </row>
    <row r="631" spans="1:56" ht="13" customHeight="1">
      <c r="B631" s="512"/>
      <c r="C631" s="2"/>
      <c r="AU631" s="3"/>
      <c r="AZ631" s="3"/>
      <c r="BA631" s="3"/>
      <c r="BB631" s="3"/>
      <c r="BC631" s="3"/>
    </row>
    <row r="632" spans="1:56" ht="13" customHeight="1">
      <c r="B632" s="1701" t="s">
        <v>2059</v>
      </c>
      <c r="C632" s="1701"/>
      <c r="D632" s="1701"/>
      <c r="E632" s="1701"/>
      <c r="F632" s="1701"/>
      <c r="G632" s="1701"/>
      <c r="H632" s="1701"/>
      <c r="I632" s="1701"/>
      <c r="J632" s="1701"/>
      <c r="K632" s="1701"/>
      <c r="L632" s="1701"/>
      <c r="M632" s="1433" t="s">
        <v>2060</v>
      </c>
      <c r="N632" s="1433"/>
      <c r="O632" s="1433"/>
      <c r="P632" s="1433"/>
      <c r="Q632" s="1433" t="s">
        <v>1829</v>
      </c>
      <c r="R632" s="1433"/>
      <c r="S632" s="1433"/>
      <c r="T632" s="1433" t="s">
        <v>1827</v>
      </c>
      <c r="U632" s="1433"/>
      <c r="V632" s="1433"/>
      <c r="W632" s="1717" t="s">
        <v>453</v>
      </c>
      <c r="X632" s="1717"/>
      <c r="Y632" s="1717"/>
      <c r="Z632" s="1480" t="s">
        <v>2089</v>
      </c>
      <c r="AA632" s="1480"/>
      <c r="AB632" s="1481"/>
      <c r="AC632" s="1704" t="s">
        <v>1665</v>
      </c>
      <c r="AD632" s="1705"/>
      <c r="AE632" s="1706"/>
      <c r="AF632" s="1698" t="s">
        <v>1904</v>
      </c>
      <c r="AG632" s="1480"/>
      <c r="AH632" s="1480"/>
      <c r="AI632" s="1480"/>
      <c r="AJ632" s="1481"/>
      <c r="AK632" s="1718" t="s">
        <v>1905</v>
      </c>
      <c r="AL632" s="1719"/>
      <c r="AM632" s="1719"/>
      <c r="AN632" s="1720"/>
      <c r="AO632" s="1433" t="s">
        <v>454</v>
      </c>
      <c r="AP632" s="1433"/>
      <c r="AQ632" s="1433"/>
      <c r="AR632" s="1433"/>
      <c r="AS632" s="1433"/>
      <c r="AU632" s="3"/>
      <c r="AZ632" s="3"/>
      <c r="BA632" s="3"/>
      <c r="BB632" s="3"/>
      <c r="BC632" s="3"/>
    </row>
    <row r="633" spans="1:56" ht="13" customHeight="1">
      <c r="B633" s="1701"/>
      <c r="C633" s="1701"/>
      <c r="D633" s="1701"/>
      <c r="E633" s="1701"/>
      <c r="F633" s="1701"/>
      <c r="G633" s="1701"/>
      <c r="H633" s="1701"/>
      <c r="I633" s="1701"/>
      <c r="J633" s="1701"/>
      <c r="K633" s="1701"/>
      <c r="L633" s="1701"/>
      <c r="M633" s="1433"/>
      <c r="N633" s="1433"/>
      <c r="O633" s="1433"/>
      <c r="P633" s="1433"/>
      <c r="Q633" s="1433"/>
      <c r="R633" s="1433"/>
      <c r="S633" s="1433"/>
      <c r="T633" s="1433"/>
      <c r="U633" s="1433"/>
      <c r="V633" s="1433"/>
      <c r="W633" s="1717"/>
      <c r="X633" s="1717"/>
      <c r="Y633" s="1717"/>
      <c r="Z633" s="1482"/>
      <c r="AA633" s="1482"/>
      <c r="AB633" s="1483"/>
      <c r="AC633" s="1707"/>
      <c r="AD633" s="1708"/>
      <c r="AE633" s="1709"/>
      <c r="AF633" s="1699"/>
      <c r="AG633" s="1482"/>
      <c r="AH633" s="1482"/>
      <c r="AI633" s="1482"/>
      <c r="AJ633" s="1483"/>
      <c r="AK633" s="1721"/>
      <c r="AL633" s="1722"/>
      <c r="AM633" s="1722"/>
      <c r="AN633" s="1723"/>
      <c r="AO633" s="1433"/>
      <c r="AP633" s="1433"/>
      <c r="AQ633" s="1433"/>
      <c r="AR633" s="1433"/>
      <c r="AS633" s="1433"/>
      <c r="AU633" s="3"/>
      <c r="AZ633" s="3"/>
      <c r="BA633" s="3"/>
      <c r="BB633" s="3"/>
      <c r="BC633" s="3"/>
      <c r="BD633" s="3"/>
    </row>
    <row r="634" spans="1:56" ht="13" customHeight="1">
      <c r="B634" s="1701"/>
      <c r="C634" s="1701"/>
      <c r="D634" s="1701"/>
      <c r="E634" s="1701"/>
      <c r="F634" s="1701"/>
      <c r="G634" s="1701"/>
      <c r="H634" s="1701"/>
      <c r="I634" s="1701"/>
      <c r="J634" s="1701"/>
      <c r="K634" s="1701"/>
      <c r="L634" s="1701"/>
      <c r="M634" s="1433"/>
      <c r="N634" s="1433"/>
      <c r="O634" s="1433"/>
      <c r="P634" s="1433"/>
      <c r="Q634" s="1433"/>
      <c r="R634" s="1433"/>
      <c r="S634" s="1433"/>
      <c r="T634" s="1433"/>
      <c r="U634" s="1433"/>
      <c r="V634" s="1433"/>
      <c r="W634" s="1717"/>
      <c r="X634" s="1717"/>
      <c r="Y634" s="1717"/>
      <c r="Z634" s="1484"/>
      <c r="AA634" s="1484"/>
      <c r="AB634" s="1485"/>
      <c r="AC634" s="1710"/>
      <c r="AD634" s="1711"/>
      <c r="AE634" s="1712"/>
      <c r="AF634" s="1700"/>
      <c r="AG634" s="1484"/>
      <c r="AH634" s="1484"/>
      <c r="AI634" s="1484"/>
      <c r="AJ634" s="1485"/>
      <c r="AK634" s="1724"/>
      <c r="AL634" s="1725"/>
      <c r="AM634" s="1725"/>
      <c r="AN634" s="1726"/>
      <c r="AO634" s="1433"/>
      <c r="AP634" s="1433"/>
      <c r="AQ634" s="1433"/>
      <c r="AR634" s="1433"/>
      <c r="AS634" s="1433"/>
      <c r="AT634" s="3"/>
      <c r="AU634" s="3"/>
      <c r="AZ634" s="3"/>
      <c r="BA634" s="3"/>
      <c r="BB634" s="3"/>
      <c r="BC634" s="3"/>
      <c r="BD634" s="3"/>
    </row>
    <row r="635" spans="1:56" ht="13" customHeight="1">
      <c r="B635" s="51" t="s">
        <v>112</v>
      </c>
      <c r="C635" s="1690" t="str">
        <f>C562</f>
        <v>GreyStone[GHI] - Tax Exempt</v>
      </c>
      <c r="D635" s="1690"/>
      <c r="E635" s="1690"/>
      <c r="F635" s="1690"/>
      <c r="G635" s="1690"/>
      <c r="H635" s="1690"/>
      <c r="I635" s="1690"/>
      <c r="J635" s="1690"/>
      <c r="K635" s="1690"/>
      <c r="L635" s="1690"/>
      <c r="M635" s="1492" t="s">
        <v>2076</v>
      </c>
      <c r="N635" s="1492"/>
      <c r="O635" s="1492"/>
      <c r="P635" s="1492"/>
      <c r="Q635" s="1494">
        <f>15*12</f>
        <v>180</v>
      </c>
      <c r="R635" s="1494"/>
      <c r="S635" s="1495"/>
      <c r="T635" s="1493">
        <v>480</v>
      </c>
      <c r="U635" s="1494"/>
      <c r="V635" s="1495"/>
      <c r="W635" s="1450">
        <v>0.06</v>
      </c>
      <c r="X635" s="1451"/>
      <c r="Y635" s="1452"/>
      <c r="Z635" s="1498" t="s">
        <v>1184</v>
      </c>
      <c r="AA635" s="1499"/>
      <c r="AB635" s="1500"/>
      <c r="AC635" s="1454">
        <v>1</v>
      </c>
      <c r="AD635" s="1455"/>
      <c r="AE635" s="1456"/>
      <c r="AF635" s="1501">
        <v>876160.20129788993</v>
      </c>
      <c r="AG635" s="1502"/>
      <c r="AH635" s="1502"/>
      <c r="AI635" s="1502"/>
      <c r="AJ635" s="1503"/>
      <c r="AK635" s="1441"/>
      <c r="AL635" s="1442"/>
      <c r="AM635" s="1442"/>
      <c r="AN635" s="1443"/>
      <c r="AO635" s="1532">
        <v>13270000</v>
      </c>
      <c r="AP635" s="1532"/>
      <c r="AQ635" s="1532"/>
      <c r="AR635" s="1532"/>
      <c r="AS635" s="1532"/>
      <c r="AT635" s="3"/>
      <c r="AU635" s="3"/>
      <c r="AZ635" s="3"/>
      <c r="BA635" s="3"/>
      <c r="BB635" s="3"/>
      <c r="BC635" s="3"/>
      <c r="BD635" s="3"/>
    </row>
    <row r="636" spans="1:56" ht="13" customHeight="1">
      <c r="B636" s="52" t="s">
        <v>113</v>
      </c>
      <c r="C636" s="1690" t="s">
        <v>2726</v>
      </c>
      <c r="D636" s="1690"/>
      <c r="E636" s="1690"/>
      <c r="F636" s="1690"/>
      <c r="G636" s="1690"/>
      <c r="H636" s="1690"/>
      <c r="I636" s="1690"/>
      <c r="J636" s="1690"/>
      <c r="K636" s="1690"/>
      <c r="L636" s="1690"/>
      <c r="M636" s="1492" t="s">
        <v>2072</v>
      </c>
      <c r="N636" s="1492"/>
      <c r="O636" s="1492"/>
      <c r="P636" s="1492"/>
      <c r="Q636" s="1493">
        <f>15*12</f>
        <v>180</v>
      </c>
      <c r="R636" s="1494"/>
      <c r="S636" s="1495"/>
      <c r="T636" s="1493">
        <v>480</v>
      </c>
      <c r="U636" s="1494"/>
      <c r="V636" s="1495"/>
      <c r="W636" s="1450">
        <v>0.12</v>
      </c>
      <c r="X636" s="1451"/>
      <c r="Y636" s="1452"/>
      <c r="Z636" s="1498" t="s">
        <v>1184</v>
      </c>
      <c r="AA636" s="1499"/>
      <c r="AB636" s="1500"/>
      <c r="AC636" s="1454">
        <v>2</v>
      </c>
      <c r="AD636" s="1455"/>
      <c r="AE636" s="1456"/>
      <c r="AF636" s="1501"/>
      <c r="AG636" s="1502"/>
      <c r="AH636" s="1502"/>
      <c r="AI636" s="1502"/>
      <c r="AJ636" s="1503"/>
      <c r="AK636" s="1441"/>
      <c r="AL636" s="1442"/>
      <c r="AM636" s="1442"/>
      <c r="AN636" s="1443"/>
      <c r="AO636" s="1434">
        <v>8998672</v>
      </c>
      <c r="AP636" s="1435"/>
      <c r="AQ636" s="1435"/>
      <c r="AR636" s="1435"/>
      <c r="AS636" s="1436"/>
      <c r="AT636" s="1142" t="str">
        <f>IF(AND(NOT(C635=""),C636="",NOT(C637="")),"!","")</f>
        <v/>
      </c>
      <c r="AU636" s="3"/>
      <c r="AZ636" s="3"/>
      <c r="BA636" s="3"/>
      <c r="BB636" s="3"/>
      <c r="BC636" s="3"/>
      <c r="BD636" s="3"/>
    </row>
    <row r="637" spans="1:56" ht="13" customHeight="1">
      <c r="B637" s="52" t="s">
        <v>119</v>
      </c>
      <c r="C637" s="1690" t="s">
        <v>2727</v>
      </c>
      <c r="D637" s="1690"/>
      <c r="E637" s="1690"/>
      <c r="F637" s="1690"/>
      <c r="G637" s="1690"/>
      <c r="H637" s="1690"/>
      <c r="I637" s="1690"/>
      <c r="J637" s="1690"/>
      <c r="K637" s="1690"/>
      <c r="L637" s="1690"/>
      <c r="M637" s="1492" t="s">
        <v>2078</v>
      </c>
      <c r="N637" s="1492"/>
      <c r="O637" s="1492"/>
      <c r="P637" s="1492"/>
      <c r="Q637" s="1493"/>
      <c r="R637" s="1494"/>
      <c r="S637" s="1495"/>
      <c r="T637" s="1493"/>
      <c r="U637" s="1494"/>
      <c r="V637" s="1495"/>
      <c r="W637" s="1450"/>
      <c r="X637" s="1451"/>
      <c r="Y637" s="1452"/>
      <c r="Z637" s="1498" t="s">
        <v>1184</v>
      </c>
      <c r="AA637" s="1499"/>
      <c r="AB637" s="1500"/>
      <c r="AC637" s="1454"/>
      <c r="AD637" s="1455"/>
      <c r="AE637" s="1456"/>
      <c r="AF637" s="1501"/>
      <c r="AG637" s="1502"/>
      <c r="AH637" s="1502"/>
      <c r="AI637" s="1502"/>
      <c r="AJ637" s="1503"/>
      <c r="AK637" s="1441"/>
      <c r="AL637" s="1442"/>
      <c r="AM637" s="1442"/>
      <c r="AN637" s="1443"/>
      <c r="AO637" s="1434">
        <f>ROUND('15 Year Pro Forma'!E4/4-2,0)+123794+9</f>
        <v>577233</v>
      </c>
      <c r="AP637" s="1435"/>
      <c r="AQ637" s="1435"/>
      <c r="AR637" s="1435"/>
      <c r="AS637" s="1436"/>
      <c r="AT637" s="1142" t="str">
        <f t="shared" ref="AT637:AT646" si="3">IF(AND(NOT(C636=""),C637="",NOT(C638="")),"!","")</f>
        <v/>
      </c>
      <c r="AU637" s="3"/>
      <c r="AZ637" s="3"/>
      <c r="BA637" s="3"/>
      <c r="BB637" s="3"/>
      <c r="BC637" s="3"/>
      <c r="BD637" s="3"/>
    </row>
    <row r="638" spans="1:56" ht="13" customHeight="1">
      <c r="B638" s="52" t="s">
        <v>581</v>
      </c>
      <c r="C638" s="1496" t="s">
        <v>2264</v>
      </c>
      <c r="D638" s="1496"/>
      <c r="E638" s="1496"/>
      <c r="F638" s="1496"/>
      <c r="G638" s="1496"/>
      <c r="H638" s="1496"/>
      <c r="I638" s="1496"/>
      <c r="J638" s="1496"/>
      <c r="K638" s="1496"/>
      <c r="L638" s="1496"/>
      <c r="M638" s="1492" t="s">
        <v>2063</v>
      </c>
      <c r="N638" s="1492"/>
      <c r="O638" s="1492"/>
      <c r="P638" s="1492"/>
      <c r="Q638" s="1493">
        <v>240</v>
      </c>
      <c r="R638" s="1494"/>
      <c r="S638" s="1495"/>
      <c r="T638" s="1493"/>
      <c r="U638" s="1494"/>
      <c r="V638" s="1495"/>
      <c r="W638" s="1450">
        <v>0</v>
      </c>
      <c r="X638" s="1451"/>
      <c r="Y638" s="1452"/>
      <c r="Z638" s="1498" t="s">
        <v>1184</v>
      </c>
      <c r="AA638" s="1499"/>
      <c r="AB638" s="1500"/>
      <c r="AC638" s="1454"/>
      <c r="AD638" s="1455"/>
      <c r="AE638" s="1456"/>
      <c r="AF638" s="1501"/>
      <c r="AG638" s="1502"/>
      <c r="AH638" s="1502"/>
      <c r="AI638" s="1502"/>
      <c r="AJ638" s="1503"/>
      <c r="AK638" s="1441"/>
      <c r="AL638" s="1442"/>
      <c r="AM638" s="1442"/>
      <c r="AN638" s="1443"/>
      <c r="AO638" s="1434">
        <v>5900000</v>
      </c>
      <c r="AP638" s="1435"/>
      <c r="AQ638" s="1435"/>
      <c r="AR638" s="1435"/>
      <c r="AS638" s="1436"/>
      <c r="AT638" s="1142" t="str">
        <f t="shared" si="3"/>
        <v/>
      </c>
      <c r="AU638" s="3"/>
      <c r="AZ638" s="3"/>
      <c r="BA638" s="3"/>
      <c r="BB638" s="3"/>
      <c r="BC638" s="3"/>
      <c r="BD638" s="3"/>
    </row>
    <row r="639" spans="1:56" ht="13" customHeight="1">
      <c r="B639" s="52" t="s">
        <v>763</v>
      </c>
      <c r="C639" s="1496" t="s">
        <v>2764</v>
      </c>
      <c r="D639" s="1496"/>
      <c r="E639" s="1496"/>
      <c r="F639" s="1496"/>
      <c r="G639" s="1496"/>
      <c r="H639" s="1496"/>
      <c r="I639" s="1496"/>
      <c r="J639" s="1496"/>
      <c r="K639" s="1496"/>
      <c r="L639" s="1496"/>
      <c r="M639" s="1492" t="s">
        <v>2066</v>
      </c>
      <c r="N639" s="1492"/>
      <c r="O639" s="1492"/>
      <c r="P639" s="1492"/>
      <c r="Q639" s="1493"/>
      <c r="R639" s="1494"/>
      <c r="S639" s="1495"/>
      <c r="T639" s="1493"/>
      <c r="U639" s="1494"/>
      <c r="V639" s="1495"/>
      <c r="W639" s="1450"/>
      <c r="X639" s="1451"/>
      <c r="Y639" s="1452"/>
      <c r="Z639" s="1498" t="s">
        <v>1184</v>
      </c>
      <c r="AA639" s="1499"/>
      <c r="AB639" s="1500"/>
      <c r="AC639" s="1454"/>
      <c r="AD639" s="1455"/>
      <c r="AE639" s="1456"/>
      <c r="AF639" s="1501"/>
      <c r="AG639" s="1502"/>
      <c r="AH639" s="1502"/>
      <c r="AI639" s="1502"/>
      <c r="AJ639" s="1503"/>
      <c r="AK639" s="1441"/>
      <c r="AL639" s="1442"/>
      <c r="AM639" s="1442"/>
      <c r="AN639" s="1443"/>
      <c r="AO639" s="1434">
        <v>3551794</v>
      </c>
      <c r="AP639" s="1435"/>
      <c r="AQ639" s="1435"/>
      <c r="AR639" s="1435"/>
      <c r="AS639" s="1436"/>
      <c r="AT639" s="1142" t="str">
        <f t="shared" si="3"/>
        <v/>
      </c>
      <c r="AU639" s="3"/>
      <c r="AZ639" s="3"/>
      <c r="BA639" s="3"/>
      <c r="BB639" s="3"/>
      <c r="BC639" s="3"/>
      <c r="BD639" s="3"/>
    </row>
    <row r="640" spans="1:56" ht="13" customHeight="1">
      <c r="B640" s="52" t="s">
        <v>584</v>
      </c>
      <c r="C640" s="1496" t="s">
        <v>2765</v>
      </c>
      <c r="D640" s="1496"/>
      <c r="E640" s="1496"/>
      <c r="F640" s="1496"/>
      <c r="G640" s="1496"/>
      <c r="H640" s="1496"/>
      <c r="I640" s="1496"/>
      <c r="J640" s="1496"/>
      <c r="K640" s="1496"/>
      <c r="L640" s="1496"/>
      <c r="M640" s="1492" t="s">
        <v>2079</v>
      </c>
      <c r="N640" s="1492"/>
      <c r="O640" s="1492"/>
      <c r="P640" s="1492"/>
      <c r="Q640" s="1493">
        <f>18*12</f>
        <v>216</v>
      </c>
      <c r="R640" s="1494"/>
      <c r="S640" s="1495"/>
      <c r="T640" s="1493"/>
      <c r="U640" s="1494"/>
      <c r="V640" s="1495"/>
      <c r="W640" s="1450">
        <v>0.03</v>
      </c>
      <c r="X640" s="1451"/>
      <c r="Y640" s="1452"/>
      <c r="Z640" s="1498" t="s">
        <v>1184</v>
      </c>
      <c r="AA640" s="1499"/>
      <c r="AB640" s="1500"/>
      <c r="AC640" s="1454">
        <v>3</v>
      </c>
      <c r="AD640" s="1455"/>
      <c r="AE640" s="1456"/>
      <c r="AF640" s="1501"/>
      <c r="AG640" s="1502"/>
      <c r="AH640" s="1502"/>
      <c r="AI640" s="1502"/>
      <c r="AJ640" s="1503"/>
      <c r="AK640" s="1441"/>
      <c r="AL640" s="1442"/>
      <c r="AM640" s="1442"/>
      <c r="AN640" s="1443"/>
      <c r="AO640" s="1434">
        <v>7780000</v>
      </c>
      <c r="AP640" s="1435"/>
      <c r="AQ640" s="1435"/>
      <c r="AR640" s="1435"/>
      <c r="AS640" s="1436"/>
      <c r="AT640" s="1142" t="str">
        <f t="shared" si="3"/>
        <v/>
      </c>
      <c r="AU640" s="3"/>
      <c r="AZ640" s="3"/>
      <c r="BA640" s="3"/>
      <c r="BB640" s="3"/>
      <c r="BC640" s="3"/>
      <c r="BD640" s="3"/>
    </row>
    <row r="641" spans="1:157" ht="13" customHeight="1">
      <c r="B641" s="52" t="s">
        <v>455</v>
      </c>
      <c r="C641" s="1496" t="str">
        <f>C564</f>
        <v>Bay Area Affordable Housing Loan</v>
      </c>
      <c r="D641" s="1496"/>
      <c r="E641" s="1496"/>
      <c r="F641" s="1496"/>
      <c r="G641" s="1496"/>
      <c r="H641" s="1496"/>
      <c r="I641" s="1496"/>
      <c r="J641" s="1496"/>
      <c r="K641" s="1496"/>
      <c r="L641" s="1496"/>
      <c r="M641" s="1492" t="s">
        <v>2079</v>
      </c>
      <c r="N641" s="1492"/>
      <c r="O641" s="1492"/>
      <c r="P641" s="1492"/>
      <c r="Q641" s="1493">
        <f>55*12</f>
        <v>660</v>
      </c>
      <c r="R641" s="1494"/>
      <c r="S641" s="1495"/>
      <c r="T641" s="1493"/>
      <c r="U641" s="1494"/>
      <c r="V641" s="1495"/>
      <c r="W641" s="1450">
        <v>0.02</v>
      </c>
      <c r="X641" s="1451"/>
      <c r="Y641" s="1452"/>
      <c r="Z641" s="1498" t="s">
        <v>1184</v>
      </c>
      <c r="AA641" s="1499"/>
      <c r="AB641" s="1500"/>
      <c r="AC641" s="1454">
        <v>4</v>
      </c>
      <c r="AD641" s="1455"/>
      <c r="AE641" s="1456"/>
      <c r="AF641" s="1501"/>
      <c r="AG641" s="1502"/>
      <c r="AH641" s="1502"/>
      <c r="AI641" s="1502"/>
      <c r="AJ641" s="1503"/>
      <c r="AK641" s="1441"/>
      <c r="AL641" s="1442"/>
      <c r="AM641" s="1442"/>
      <c r="AN641" s="1443"/>
      <c r="AO641" s="1434">
        <f>AM564</f>
        <v>5000000</v>
      </c>
      <c r="AP641" s="1435"/>
      <c r="AQ641" s="1435"/>
      <c r="AR641" s="1435"/>
      <c r="AS641" s="1436"/>
      <c r="AT641" s="1142" t="str">
        <f t="shared" si="3"/>
        <v/>
      </c>
      <c r="AU641" s="3"/>
      <c r="AV641" s="3"/>
      <c r="AW641" s="3"/>
      <c r="AX641" s="3"/>
      <c r="AY641" s="3"/>
      <c r="AZ641" s="3"/>
      <c r="BA641" s="3"/>
      <c r="BB641" s="3"/>
      <c r="BC641" s="3"/>
      <c r="BD641" s="3"/>
    </row>
    <row r="642" spans="1:157" ht="13" customHeight="1">
      <c r="B642" s="52" t="s">
        <v>456</v>
      </c>
      <c r="C642" s="1496" t="s">
        <v>2728</v>
      </c>
      <c r="D642" s="1496"/>
      <c r="E642" s="1496"/>
      <c r="F642" s="1496"/>
      <c r="G642" s="1496"/>
      <c r="H642" s="1496"/>
      <c r="I642" s="1496"/>
      <c r="J642" s="1496"/>
      <c r="K642" s="1496"/>
      <c r="L642" s="1496"/>
      <c r="M642" s="1492" t="s">
        <v>2065</v>
      </c>
      <c r="N642" s="1492"/>
      <c r="O642" s="1492"/>
      <c r="P642" s="1492"/>
      <c r="Q642" s="1493"/>
      <c r="R642" s="1494"/>
      <c r="S642" s="1495"/>
      <c r="T642" s="1493"/>
      <c r="U642" s="1494"/>
      <c r="V642" s="1495"/>
      <c r="W642" s="1450"/>
      <c r="X642" s="1451"/>
      <c r="Y642" s="1452"/>
      <c r="Z642" s="1498" t="s">
        <v>1184</v>
      </c>
      <c r="AA642" s="1499"/>
      <c r="AB642" s="1500"/>
      <c r="AC642" s="1454"/>
      <c r="AD642" s="1455"/>
      <c r="AE642" s="1456"/>
      <c r="AF642" s="1501"/>
      <c r="AG642" s="1502"/>
      <c r="AH642" s="1502"/>
      <c r="AI642" s="1502"/>
      <c r="AJ642" s="1503"/>
      <c r="AK642" s="1441"/>
      <c r="AL642" s="1442"/>
      <c r="AM642" s="1442"/>
      <c r="AN642" s="1443"/>
      <c r="AO642" s="1434">
        <v>100</v>
      </c>
      <c r="AP642" s="1435"/>
      <c r="AQ642" s="1435"/>
      <c r="AR642" s="1435"/>
      <c r="AS642" s="1436"/>
      <c r="AT642" s="1142" t="str">
        <f t="shared" si="3"/>
        <v/>
      </c>
      <c r="AU642" s="3"/>
      <c r="AV642" s="3"/>
      <c r="AW642" s="3"/>
      <c r="AX642" s="3"/>
      <c r="AY642" s="3"/>
      <c r="AZ642" s="3"/>
      <c r="BA642" s="3" t="s">
        <v>1184</v>
      </c>
      <c r="BB642" s="3"/>
      <c r="BC642" s="3"/>
      <c r="BD642" s="3"/>
    </row>
    <row r="643" spans="1:157" ht="13" customHeight="1">
      <c r="B643" s="52" t="s">
        <v>461</v>
      </c>
      <c r="C643" s="1496"/>
      <c r="D643" s="1496"/>
      <c r="E643" s="1496"/>
      <c r="F643" s="1496"/>
      <c r="G643" s="1496"/>
      <c r="H643" s="1496"/>
      <c r="I643" s="1496"/>
      <c r="J643" s="1496"/>
      <c r="K643" s="1496"/>
      <c r="L643" s="1496"/>
      <c r="M643" s="1492" t="s">
        <v>1184</v>
      </c>
      <c r="N643" s="1492"/>
      <c r="O643" s="1492"/>
      <c r="P643" s="1492"/>
      <c r="Q643" s="1493"/>
      <c r="R643" s="1494"/>
      <c r="S643" s="1495"/>
      <c r="T643" s="1493"/>
      <c r="U643" s="1494"/>
      <c r="V643" s="1495"/>
      <c r="W643" s="1450"/>
      <c r="X643" s="1451"/>
      <c r="Y643" s="1452"/>
      <c r="Z643" s="1498" t="s">
        <v>1184</v>
      </c>
      <c r="AA643" s="1499"/>
      <c r="AB643" s="1500"/>
      <c r="AC643" s="1454"/>
      <c r="AD643" s="1455"/>
      <c r="AE643" s="1456"/>
      <c r="AF643" s="1501"/>
      <c r="AG643" s="1502"/>
      <c r="AH643" s="1502"/>
      <c r="AI643" s="1502"/>
      <c r="AJ643" s="1503"/>
      <c r="AK643" s="1441"/>
      <c r="AL643" s="1442"/>
      <c r="AM643" s="1442"/>
      <c r="AN643" s="1443"/>
      <c r="AO643" s="1434"/>
      <c r="AP643" s="1435"/>
      <c r="AQ643" s="1435"/>
      <c r="AR643" s="1435"/>
      <c r="AS643" s="143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04">
        <f t="shared" ref="DX643:DX677" si="4">EZ726*(CP726/$CP$761)</f>
        <v>411.57446808510639</v>
      </c>
      <c r="DY643" s="1504"/>
      <c r="DZ643" s="1504"/>
      <c r="EA643" s="1504"/>
      <c r="EB643" s="1504"/>
      <c r="EC643" s="1504" t="e">
        <f t="shared" ref="EC643:EC677" si="5">FE726*(CU726/$CU$761)</f>
        <v>#VALUE!</v>
      </c>
      <c r="ED643" s="1504"/>
      <c r="EE643" s="1504"/>
      <c r="EF643" s="1504"/>
      <c r="EG643" s="1504"/>
      <c r="EH643" s="1504" t="e">
        <f t="shared" ref="EH643:EH677" si="6">FJ726*(CZ726/$CZ$761)</f>
        <v>#VALUE!</v>
      </c>
      <c r="EI643" s="1504"/>
      <c r="EJ643" s="1504"/>
      <c r="EK643" s="1504"/>
      <c r="EL643" s="1504"/>
      <c r="EM643" s="1504" t="e">
        <f t="shared" ref="EM643:EM677" si="7">FO726*(DE726/$DE$761)</f>
        <v>#VALUE!</v>
      </c>
      <c r="EN643" s="1504"/>
      <c r="EO643" s="1504"/>
      <c r="EP643" s="1504"/>
      <c r="EQ643" s="1504"/>
      <c r="ER643" s="1504" t="e">
        <f t="shared" ref="ER643:ER677" si="8">FT726*(DJ726/$DJ$761)</f>
        <v>#VALUE!</v>
      </c>
      <c r="ES643" s="1504"/>
      <c r="ET643" s="1504"/>
      <c r="EU643" s="1504"/>
      <c r="EV643" s="1504"/>
      <c r="EW643" s="1504" t="e">
        <f t="shared" ref="EW643:EW677" si="9">FY726*(DO726/$DO$761)</f>
        <v>#VALUE!</v>
      </c>
      <c r="EX643" s="1504"/>
      <c r="EY643" s="1504"/>
      <c r="EZ643" s="1504"/>
      <c r="FA643" s="1504"/>
    </row>
    <row r="644" spans="1:157" ht="13" customHeight="1">
      <c r="B644" s="52" t="s">
        <v>646</v>
      </c>
      <c r="C644" s="1496"/>
      <c r="D644" s="1496"/>
      <c r="E644" s="1496"/>
      <c r="F644" s="1496"/>
      <c r="G644" s="1496"/>
      <c r="H644" s="1496"/>
      <c r="I644" s="1496"/>
      <c r="J644" s="1496"/>
      <c r="K644" s="1496"/>
      <c r="L644" s="1496"/>
      <c r="M644" s="1492" t="s">
        <v>1184</v>
      </c>
      <c r="N644" s="1492"/>
      <c r="O644" s="1492"/>
      <c r="P644" s="1492"/>
      <c r="Q644" s="1493"/>
      <c r="R644" s="1494"/>
      <c r="S644" s="1495"/>
      <c r="T644" s="1493"/>
      <c r="U644" s="1494"/>
      <c r="V644" s="1495"/>
      <c r="W644" s="1450"/>
      <c r="X644" s="1451"/>
      <c r="Y644" s="1452"/>
      <c r="Z644" s="1498" t="s">
        <v>1184</v>
      </c>
      <c r="AA644" s="1499"/>
      <c r="AB644" s="1500"/>
      <c r="AC644" s="1454"/>
      <c r="AD644" s="1455"/>
      <c r="AE644" s="1456"/>
      <c r="AF644" s="1501"/>
      <c r="AG644" s="1502"/>
      <c r="AH644" s="1502"/>
      <c r="AI644" s="1502"/>
      <c r="AJ644" s="1503"/>
      <c r="AK644" s="1441"/>
      <c r="AL644" s="1442"/>
      <c r="AM644" s="1442"/>
      <c r="AN644" s="1443"/>
      <c r="AO644" s="1434"/>
      <c r="AP644" s="1435"/>
      <c r="AQ644" s="1435"/>
      <c r="AR644" s="1435"/>
      <c r="AS644" s="143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04">
        <f t="shared" si="4"/>
        <v>196.08510638297872</v>
      </c>
      <c r="DY644" s="1504"/>
      <c r="DZ644" s="1504"/>
      <c r="EA644" s="1504"/>
      <c r="EB644" s="1504"/>
      <c r="EC644" s="1504" t="e">
        <f t="shared" si="5"/>
        <v>#VALUE!</v>
      </c>
      <c r="ED644" s="1504"/>
      <c r="EE644" s="1504"/>
      <c r="EF644" s="1504"/>
      <c r="EG644" s="1504"/>
      <c r="EH644" s="1504" t="e">
        <f t="shared" si="6"/>
        <v>#VALUE!</v>
      </c>
      <c r="EI644" s="1504"/>
      <c r="EJ644" s="1504"/>
      <c r="EK644" s="1504"/>
      <c r="EL644" s="1504"/>
      <c r="EM644" s="1504" t="e">
        <f t="shared" si="7"/>
        <v>#VALUE!</v>
      </c>
      <c r="EN644" s="1504"/>
      <c r="EO644" s="1504"/>
      <c r="EP644" s="1504"/>
      <c r="EQ644" s="1504"/>
      <c r="ER644" s="1504" t="e">
        <f t="shared" si="8"/>
        <v>#VALUE!</v>
      </c>
      <c r="ES644" s="1504"/>
      <c r="ET644" s="1504"/>
      <c r="EU644" s="1504"/>
      <c r="EV644" s="1504"/>
      <c r="EW644" s="1504" t="e">
        <f t="shared" si="9"/>
        <v>#VALUE!</v>
      </c>
      <c r="EX644" s="1504"/>
      <c r="EY644" s="1504"/>
      <c r="EZ644" s="1504"/>
      <c r="FA644" s="1504"/>
    </row>
    <row r="645" spans="1:157" ht="13" customHeight="1">
      <c r="B645" s="52" t="s">
        <v>362</v>
      </c>
      <c r="C645" s="1496"/>
      <c r="D645" s="1496"/>
      <c r="E645" s="1496"/>
      <c r="F645" s="1496"/>
      <c r="G645" s="1496"/>
      <c r="H645" s="1496"/>
      <c r="I645" s="1496"/>
      <c r="J645" s="1496"/>
      <c r="K645" s="1496"/>
      <c r="L645" s="1496"/>
      <c r="M645" s="1492" t="s">
        <v>1184</v>
      </c>
      <c r="N645" s="1492"/>
      <c r="O645" s="1492"/>
      <c r="P645" s="1492"/>
      <c r="Q645" s="1493"/>
      <c r="R645" s="1494"/>
      <c r="S645" s="1495"/>
      <c r="T645" s="1493"/>
      <c r="U645" s="1494"/>
      <c r="V645" s="1495"/>
      <c r="W645" s="1450"/>
      <c r="X645" s="1451"/>
      <c r="Y645" s="1452"/>
      <c r="Z645" s="1498" t="s">
        <v>1184</v>
      </c>
      <c r="AA645" s="1499"/>
      <c r="AB645" s="1500"/>
      <c r="AC645" s="1454"/>
      <c r="AD645" s="1455"/>
      <c r="AE645" s="1456"/>
      <c r="AF645" s="1501"/>
      <c r="AG645" s="1502"/>
      <c r="AH645" s="1502"/>
      <c r="AI645" s="1502"/>
      <c r="AJ645" s="1503"/>
      <c r="AK645" s="1441"/>
      <c r="AL645" s="1442"/>
      <c r="AM645" s="1442"/>
      <c r="AN645" s="1443"/>
      <c r="AO645" s="1434"/>
      <c r="AP645" s="1435"/>
      <c r="AQ645" s="1435"/>
      <c r="AR645" s="1435"/>
      <c r="AS645" s="143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04">
        <f t="shared" si="4"/>
        <v>249.51063829787233</v>
      </c>
      <c r="DY645" s="1504"/>
      <c r="DZ645" s="1504"/>
      <c r="EA645" s="1504"/>
      <c r="EB645" s="1504"/>
      <c r="EC645" s="1504" t="e">
        <f t="shared" si="5"/>
        <v>#VALUE!</v>
      </c>
      <c r="ED645" s="1504"/>
      <c r="EE645" s="1504"/>
      <c r="EF645" s="1504"/>
      <c r="EG645" s="1504"/>
      <c r="EH645" s="1504" t="e">
        <f t="shared" si="6"/>
        <v>#VALUE!</v>
      </c>
      <c r="EI645" s="1504"/>
      <c r="EJ645" s="1504"/>
      <c r="EK645" s="1504"/>
      <c r="EL645" s="1504"/>
      <c r="EM645" s="1504" t="e">
        <f t="shared" si="7"/>
        <v>#VALUE!</v>
      </c>
      <c r="EN645" s="1504"/>
      <c r="EO645" s="1504"/>
      <c r="EP645" s="1504"/>
      <c r="EQ645" s="1504"/>
      <c r="ER645" s="1504" t="e">
        <f t="shared" si="8"/>
        <v>#VALUE!</v>
      </c>
      <c r="ES645" s="1504"/>
      <c r="ET645" s="1504"/>
      <c r="EU645" s="1504"/>
      <c r="EV645" s="1504"/>
      <c r="EW645" s="1504" t="e">
        <f t="shared" si="9"/>
        <v>#VALUE!</v>
      </c>
      <c r="EX645" s="1504"/>
      <c r="EY645" s="1504"/>
      <c r="EZ645" s="1504"/>
      <c r="FA645" s="1504"/>
    </row>
    <row r="646" spans="1:157" ht="13" customHeight="1">
      <c r="B646" s="52" t="s">
        <v>363</v>
      </c>
      <c r="C646" s="1496"/>
      <c r="D646" s="1496"/>
      <c r="E646" s="1496"/>
      <c r="F646" s="1496"/>
      <c r="G646" s="1496"/>
      <c r="H646" s="1496"/>
      <c r="I646" s="1496"/>
      <c r="J646" s="1496"/>
      <c r="K646" s="1496"/>
      <c r="L646" s="1496"/>
      <c r="M646" s="1492" t="s">
        <v>1184</v>
      </c>
      <c r="N646" s="1492"/>
      <c r="O646" s="1492"/>
      <c r="P646" s="1492"/>
      <c r="Q646" s="1493"/>
      <c r="R646" s="1494"/>
      <c r="S646" s="1495"/>
      <c r="T646" s="1493"/>
      <c r="U646" s="1494"/>
      <c r="V646" s="1495"/>
      <c r="W646" s="1450"/>
      <c r="X646" s="1451"/>
      <c r="Y646" s="1452"/>
      <c r="Z646" s="1498" t="s">
        <v>1184</v>
      </c>
      <c r="AA646" s="1499"/>
      <c r="AB646" s="1500"/>
      <c r="AC646" s="1454"/>
      <c r="AD646" s="1455"/>
      <c r="AE646" s="1456"/>
      <c r="AF646" s="1501"/>
      <c r="AG646" s="1502"/>
      <c r="AH646" s="1502"/>
      <c r="AI646" s="1502"/>
      <c r="AJ646" s="1503"/>
      <c r="AK646" s="1441"/>
      <c r="AL646" s="1442"/>
      <c r="AM646" s="1442"/>
      <c r="AN646" s="1443"/>
      <c r="AO646" s="1434"/>
      <c r="AP646" s="1435"/>
      <c r="AQ646" s="1435"/>
      <c r="AR646" s="1435"/>
      <c r="AS646" s="143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04">
        <f t="shared" si="4"/>
        <v>101.04255319148935</v>
      </c>
      <c r="DY646" s="1504"/>
      <c r="DZ646" s="1504"/>
      <c r="EA646" s="1504"/>
      <c r="EB646" s="1504"/>
      <c r="EC646" s="1504" t="e">
        <f t="shared" si="5"/>
        <v>#VALUE!</v>
      </c>
      <c r="ED646" s="1504"/>
      <c r="EE646" s="1504"/>
      <c r="EF646" s="1504"/>
      <c r="EG646" s="1504"/>
      <c r="EH646" s="1504" t="e">
        <f t="shared" si="6"/>
        <v>#VALUE!</v>
      </c>
      <c r="EI646" s="1504"/>
      <c r="EJ646" s="1504"/>
      <c r="EK646" s="1504"/>
      <c r="EL646" s="1504"/>
      <c r="EM646" s="1504" t="e">
        <f t="shared" si="7"/>
        <v>#VALUE!</v>
      </c>
      <c r="EN646" s="1504"/>
      <c r="EO646" s="1504"/>
      <c r="EP646" s="1504"/>
      <c r="EQ646" s="1504"/>
      <c r="ER646" s="1504" t="e">
        <f t="shared" si="8"/>
        <v>#VALUE!</v>
      </c>
      <c r="ES646" s="1504"/>
      <c r="ET646" s="1504"/>
      <c r="EU646" s="1504"/>
      <c r="EV646" s="1504"/>
      <c r="EW646" s="1504" t="e">
        <f t="shared" si="9"/>
        <v>#VALUE!</v>
      </c>
      <c r="EX646" s="1504"/>
      <c r="EY646" s="1504"/>
      <c r="EZ646" s="1504"/>
      <c r="FA646" s="1504"/>
    </row>
    <row r="647" spans="1:157" ht="13" customHeight="1">
      <c r="B647" s="1505" t="s">
        <v>128</v>
      </c>
      <c r="C647" s="1506"/>
      <c r="D647" s="1506"/>
      <c r="E647" s="1506"/>
      <c r="F647" s="1506"/>
      <c r="G647" s="1506"/>
      <c r="H647" s="1506"/>
      <c r="I647" s="1506"/>
      <c r="J647" s="1506"/>
      <c r="K647" s="1506"/>
      <c r="L647" s="1506"/>
      <c r="M647" s="1506"/>
      <c r="N647" s="1506"/>
      <c r="O647" s="1506"/>
      <c r="P647" s="1506"/>
      <c r="Q647" s="1506"/>
      <c r="R647" s="1506"/>
      <c r="S647" s="1506"/>
      <c r="T647" s="1506"/>
      <c r="U647" s="1506"/>
      <c r="V647" s="1506"/>
      <c r="W647" s="1506"/>
      <c r="X647" s="1506"/>
      <c r="Y647" s="1506"/>
      <c r="Z647" s="1506"/>
      <c r="AA647" s="1506"/>
      <c r="AB647" s="1506"/>
      <c r="AC647" s="1506"/>
      <c r="AD647" s="1506"/>
      <c r="AE647" s="1506"/>
      <c r="AF647" s="1506"/>
      <c r="AG647" s="1506"/>
      <c r="AH647" s="1506"/>
      <c r="AI647" s="1506"/>
      <c r="AJ647" s="1506"/>
      <c r="AK647" s="1506"/>
      <c r="AL647" s="1506"/>
      <c r="AM647" s="1506"/>
      <c r="AN647" s="1507"/>
      <c r="AO647" s="1537">
        <f>SUM(AO635:AR646)</f>
        <v>45077799</v>
      </c>
      <c r="AP647" s="1538"/>
      <c r="AQ647" s="1538"/>
      <c r="AR647" s="1538"/>
      <c r="AS647" s="153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04" t="e">
        <f t="shared" si="4"/>
        <v>#VALUE!</v>
      </c>
      <c r="DY647" s="1504"/>
      <c r="DZ647" s="1504"/>
      <c r="EA647" s="1504"/>
      <c r="EB647" s="1504"/>
      <c r="EC647" s="1504" t="e">
        <f t="shared" si="5"/>
        <v>#VALUE!</v>
      </c>
      <c r="ED647" s="1504"/>
      <c r="EE647" s="1504"/>
      <c r="EF647" s="1504"/>
      <c r="EG647" s="1504"/>
      <c r="EH647" s="1504">
        <f t="shared" si="6"/>
        <v>76.916666666666657</v>
      </c>
      <c r="EI647" s="1504"/>
      <c r="EJ647" s="1504"/>
      <c r="EK647" s="1504"/>
      <c r="EL647" s="1504"/>
      <c r="EM647" s="1504" t="e">
        <f t="shared" si="7"/>
        <v>#VALUE!</v>
      </c>
      <c r="EN647" s="1504"/>
      <c r="EO647" s="1504"/>
      <c r="EP647" s="1504"/>
      <c r="EQ647" s="1504"/>
      <c r="ER647" s="1504" t="e">
        <f t="shared" si="8"/>
        <v>#VALUE!</v>
      </c>
      <c r="ES647" s="1504"/>
      <c r="ET647" s="1504"/>
      <c r="EU647" s="1504"/>
      <c r="EV647" s="1504"/>
      <c r="EW647" s="1504" t="e">
        <f t="shared" si="9"/>
        <v>#VALUE!</v>
      </c>
      <c r="EX647" s="1504"/>
      <c r="EY647" s="1504"/>
      <c r="EZ647" s="1504"/>
      <c r="FA647" s="1504"/>
    </row>
    <row r="648" spans="1:157" ht="13" customHeight="1">
      <c r="B648" s="1505" t="s">
        <v>267</v>
      </c>
      <c r="C648" s="1506"/>
      <c r="D648" s="1506"/>
      <c r="E648" s="1506"/>
      <c r="F648" s="1506"/>
      <c r="G648" s="1506"/>
      <c r="H648" s="1506"/>
      <c r="I648" s="1506"/>
      <c r="J648" s="1506"/>
      <c r="K648" s="1506"/>
      <c r="L648" s="1506"/>
      <c r="M648" s="1506"/>
      <c r="N648" s="1506"/>
      <c r="O648" s="1506"/>
      <c r="P648" s="1506"/>
      <c r="Q648" s="1506"/>
      <c r="R648" s="1506"/>
      <c r="S648" s="1506"/>
      <c r="T648" s="1506"/>
      <c r="U648" s="1506"/>
      <c r="V648" s="1506"/>
      <c r="W648" s="1506"/>
      <c r="X648" s="1506"/>
      <c r="Y648" s="1506"/>
      <c r="Z648" s="1506"/>
      <c r="AA648" s="1506"/>
      <c r="AB648" s="1506"/>
      <c r="AC648" s="1506"/>
      <c r="AD648" s="1506"/>
      <c r="AE648" s="1506"/>
      <c r="AF648" s="1506"/>
      <c r="AG648" s="1506"/>
      <c r="AH648" s="1506"/>
      <c r="AI648" s="1506"/>
      <c r="AJ648" s="1506"/>
      <c r="AK648" s="1506"/>
      <c r="AL648" s="1506"/>
      <c r="AM648" s="1506"/>
      <c r="AN648" s="1507"/>
      <c r="AO648" s="1434">
        <f>'Sources and Uses Budget'!E105</f>
        <v>41863511</v>
      </c>
      <c r="AP648" s="1435"/>
      <c r="AQ648" s="1435"/>
      <c r="AR648" s="1435"/>
      <c r="AS648" s="143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04" t="e">
        <f t="shared" si="4"/>
        <v>#VALUE!</v>
      </c>
      <c r="DY648" s="1504"/>
      <c r="DZ648" s="1504"/>
      <c r="EA648" s="1504"/>
      <c r="EB648" s="1504"/>
      <c r="EC648" s="1504" t="e">
        <f t="shared" si="5"/>
        <v>#VALUE!</v>
      </c>
      <c r="ED648" s="1504"/>
      <c r="EE648" s="1504"/>
      <c r="EF648" s="1504"/>
      <c r="EG648" s="1504"/>
      <c r="EH648" s="1504">
        <f t="shared" si="6"/>
        <v>106.91666666666666</v>
      </c>
      <c r="EI648" s="1504"/>
      <c r="EJ648" s="1504"/>
      <c r="EK648" s="1504"/>
      <c r="EL648" s="1504"/>
      <c r="EM648" s="1504" t="e">
        <f t="shared" si="7"/>
        <v>#VALUE!</v>
      </c>
      <c r="EN648" s="1504"/>
      <c r="EO648" s="1504"/>
      <c r="EP648" s="1504"/>
      <c r="EQ648" s="1504"/>
      <c r="ER648" s="1504" t="e">
        <f t="shared" si="8"/>
        <v>#VALUE!</v>
      </c>
      <c r="ES648" s="1504"/>
      <c r="ET648" s="1504"/>
      <c r="EU648" s="1504"/>
      <c r="EV648" s="1504"/>
      <c r="EW648" s="1504" t="e">
        <f t="shared" si="9"/>
        <v>#VALUE!</v>
      </c>
      <c r="EX648" s="1504"/>
      <c r="EY648" s="1504"/>
      <c r="EZ648" s="1504"/>
      <c r="FA648" s="1504"/>
    </row>
    <row r="649" spans="1:157" ht="13" customHeight="1">
      <c r="B649" s="1489" t="s">
        <v>268</v>
      </c>
      <c r="C649" s="1490"/>
      <c r="D649" s="1490"/>
      <c r="E649" s="1490"/>
      <c r="F649" s="1490"/>
      <c r="G649" s="1490"/>
      <c r="H649" s="1490"/>
      <c r="I649" s="1490"/>
      <c r="J649" s="1490"/>
      <c r="K649" s="1490"/>
      <c r="L649" s="1490"/>
      <c r="M649" s="1490"/>
      <c r="N649" s="1490"/>
      <c r="O649" s="1490"/>
      <c r="P649" s="1490"/>
      <c r="Q649" s="1490"/>
      <c r="R649" s="1490"/>
      <c r="S649" s="1490"/>
      <c r="T649" s="1490"/>
      <c r="U649" s="1490"/>
      <c r="V649" s="1490"/>
      <c r="W649" s="1490"/>
      <c r="X649" s="1490"/>
      <c r="Y649" s="1490"/>
      <c r="Z649" s="1490"/>
      <c r="AA649" s="1490"/>
      <c r="AB649" s="1490"/>
      <c r="AC649" s="1490"/>
      <c r="AD649" s="1490"/>
      <c r="AE649" s="1490"/>
      <c r="AF649" s="1490"/>
      <c r="AG649" s="1490"/>
      <c r="AH649" s="1490"/>
      <c r="AI649" s="1490"/>
      <c r="AJ649" s="1490"/>
      <c r="AK649" s="1490"/>
      <c r="AL649" s="1490"/>
      <c r="AM649" s="1490"/>
      <c r="AN649" s="1491"/>
      <c r="AO649" s="1537">
        <f>AO647+AO648</f>
        <v>86941310</v>
      </c>
      <c r="AP649" s="1538"/>
      <c r="AQ649" s="1538"/>
      <c r="AR649" s="1538"/>
      <c r="AS649" s="153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04" t="e">
        <f t="shared" si="4"/>
        <v>#VALUE!</v>
      </c>
      <c r="DY649" s="1504"/>
      <c r="DZ649" s="1504"/>
      <c r="EA649" s="1504"/>
      <c r="EB649" s="1504"/>
      <c r="EC649" s="1504" t="e">
        <f t="shared" si="5"/>
        <v>#VALUE!</v>
      </c>
      <c r="ED649" s="1504"/>
      <c r="EE649" s="1504"/>
      <c r="EF649" s="1504"/>
      <c r="EG649" s="1504"/>
      <c r="EH649" s="1504">
        <f t="shared" si="6"/>
        <v>273.66666666666663</v>
      </c>
      <c r="EI649" s="1504"/>
      <c r="EJ649" s="1504"/>
      <c r="EK649" s="1504"/>
      <c r="EL649" s="1504"/>
      <c r="EM649" s="1504" t="e">
        <f t="shared" si="7"/>
        <v>#VALUE!</v>
      </c>
      <c r="EN649" s="1504"/>
      <c r="EO649" s="1504"/>
      <c r="EP649" s="1504"/>
      <c r="EQ649" s="1504"/>
      <c r="ER649" s="1504" t="e">
        <f t="shared" si="8"/>
        <v>#VALUE!</v>
      </c>
      <c r="ES649" s="1504"/>
      <c r="ET649" s="1504"/>
      <c r="EU649" s="1504"/>
      <c r="EV649" s="1504"/>
      <c r="EW649" s="1504" t="e">
        <f t="shared" si="9"/>
        <v>#VALUE!</v>
      </c>
      <c r="EX649" s="1504"/>
      <c r="EY649" s="1504"/>
      <c r="EZ649" s="1504"/>
      <c r="FA649" s="150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04" t="e">
        <f t="shared" si="4"/>
        <v>#VALUE!</v>
      </c>
      <c r="DY650" s="1504"/>
      <c r="DZ650" s="1504"/>
      <c r="EA650" s="1504"/>
      <c r="EB650" s="1504"/>
      <c r="EC650" s="1504" t="e">
        <f t="shared" si="5"/>
        <v>#VALUE!</v>
      </c>
      <c r="ED650" s="1504"/>
      <c r="EE650" s="1504"/>
      <c r="EF650" s="1504"/>
      <c r="EG650" s="1504"/>
      <c r="EH650" s="1504">
        <f t="shared" si="6"/>
        <v>333.66666666666663</v>
      </c>
      <c r="EI650" s="1504"/>
      <c r="EJ650" s="1504"/>
      <c r="EK650" s="1504"/>
      <c r="EL650" s="1504"/>
      <c r="EM650" s="1504" t="e">
        <f t="shared" si="7"/>
        <v>#VALUE!</v>
      </c>
      <c r="EN650" s="1504"/>
      <c r="EO650" s="1504"/>
      <c r="EP650" s="1504"/>
      <c r="EQ650" s="1504"/>
      <c r="ER650" s="1504" t="e">
        <f t="shared" si="8"/>
        <v>#VALUE!</v>
      </c>
      <c r="ES650" s="1504"/>
      <c r="ET650" s="1504"/>
      <c r="EU650" s="1504"/>
      <c r="EV650" s="1504"/>
      <c r="EW650" s="1504" t="e">
        <f t="shared" si="9"/>
        <v>#VALUE!</v>
      </c>
      <c r="EX650" s="1504"/>
      <c r="EY650" s="1504"/>
      <c r="EZ650" s="1504"/>
      <c r="FA650" s="1504"/>
    </row>
    <row r="651" spans="1:157" ht="13" customHeight="1">
      <c r="A651" s="55" t="s">
        <v>112</v>
      </c>
      <c r="B651" t="s">
        <v>463</v>
      </c>
      <c r="G651" s="1437" t="str">
        <f>C635</f>
        <v>GreyStone[GHI] - Tax Exempt</v>
      </c>
      <c r="H651" s="1437"/>
      <c r="I651" s="1437"/>
      <c r="J651" s="1437"/>
      <c r="K651" s="1437"/>
      <c r="L651" s="1437"/>
      <c r="M651" s="1437"/>
      <c r="N651" s="1437"/>
      <c r="O651" s="1437"/>
      <c r="P651" s="1437"/>
      <c r="Q651" s="1437"/>
      <c r="R651" s="1437"/>
      <c r="S651" s="8"/>
      <c r="T651" s="55" t="s">
        <v>113</v>
      </c>
      <c r="U651" t="s">
        <v>463</v>
      </c>
      <c r="Z651" s="1437" t="str">
        <f>C636</f>
        <v>GreyStone[GHII] - B-Bond</v>
      </c>
      <c r="AA651" s="1437"/>
      <c r="AB651" s="1437"/>
      <c r="AC651" s="1437"/>
      <c r="AD651" s="1437"/>
      <c r="AE651" s="1437"/>
      <c r="AF651" s="1437"/>
      <c r="AG651" s="1437"/>
      <c r="AH651" s="1437"/>
      <c r="AI651" s="1437"/>
      <c r="AJ651" s="1437"/>
      <c r="AK651" s="143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04" t="e">
        <f t="shared" si="4"/>
        <v>#VALUE!</v>
      </c>
      <c r="DY651" s="1504"/>
      <c r="DZ651" s="1504"/>
      <c r="EA651" s="1504"/>
      <c r="EB651" s="1504"/>
      <c r="EC651" s="1504" t="e">
        <f t="shared" si="5"/>
        <v>#VALUE!</v>
      </c>
      <c r="ED651" s="1504"/>
      <c r="EE651" s="1504"/>
      <c r="EF651" s="1504"/>
      <c r="EG651" s="1504"/>
      <c r="EH651" s="1504">
        <f t="shared" si="6"/>
        <v>590.5</v>
      </c>
      <c r="EI651" s="1504"/>
      <c r="EJ651" s="1504"/>
      <c r="EK651" s="1504"/>
      <c r="EL651" s="1504"/>
      <c r="EM651" s="1504" t="e">
        <f t="shared" si="7"/>
        <v>#VALUE!</v>
      </c>
      <c r="EN651" s="1504"/>
      <c r="EO651" s="1504"/>
      <c r="EP651" s="1504"/>
      <c r="EQ651" s="1504"/>
      <c r="ER651" s="1504" t="e">
        <f t="shared" si="8"/>
        <v>#VALUE!</v>
      </c>
      <c r="ES651" s="1504"/>
      <c r="ET651" s="1504"/>
      <c r="EU651" s="1504"/>
      <c r="EV651" s="1504"/>
      <c r="EW651" s="1504" t="e">
        <f t="shared" si="9"/>
        <v>#VALUE!</v>
      </c>
      <c r="EX651" s="1504"/>
      <c r="EY651" s="1504"/>
      <c r="EZ651" s="1504"/>
      <c r="FA651" s="1504"/>
    </row>
    <row r="652" spans="1:157" ht="13" customHeight="1">
      <c r="A652" s="22"/>
      <c r="B652" t="s">
        <v>85</v>
      </c>
      <c r="G652" s="1432" t="s">
        <v>2721</v>
      </c>
      <c r="H652" s="1432"/>
      <c r="I652" s="1432"/>
      <c r="J652" s="1432"/>
      <c r="K652" s="1432"/>
      <c r="L652" s="1432"/>
      <c r="M652" s="1432"/>
      <c r="N652" s="1432"/>
      <c r="O652" s="1432"/>
      <c r="P652" s="1432"/>
      <c r="Q652" s="1432"/>
      <c r="R652" s="1432"/>
      <c r="S652" s="8"/>
      <c r="T652" s="22"/>
      <c r="U652" t="s">
        <v>85</v>
      </c>
      <c r="Z652" s="1432" t="s">
        <v>2721</v>
      </c>
      <c r="AA652" s="1432"/>
      <c r="AB652" s="1432"/>
      <c r="AC652" s="1432"/>
      <c r="AD652" s="1432"/>
      <c r="AE652" s="1432"/>
      <c r="AF652" s="1432"/>
      <c r="AG652" s="1432"/>
      <c r="AH652" s="1432"/>
      <c r="AI652" s="1432"/>
      <c r="AJ652" s="1432"/>
      <c r="AK652" s="1432"/>
      <c r="AV652" s="3"/>
      <c r="AW652" s="3"/>
      <c r="AX652" s="3"/>
      <c r="AY652" s="3"/>
      <c r="AZ652" s="3"/>
      <c r="BA652" s="3"/>
      <c r="BB652" s="3"/>
      <c r="BC652" s="3"/>
      <c r="BD652" s="3"/>
      <c r="BE652" s="3"/>
      <c r="BF652" s="3"/>
      <c r="BG652" s="3"/>
      <c r="BH652" s="3"/>
      <c r="BI652" s="3"/>
      <c r="BJ652" s="3"/>
      <c r="BK652" s="3"/>
      <c r="BL652" s="3"/>
      <c r="BM652" s="3"/>
      <c r="DX652" s="1504" t="e">
        <f t="shared" si="4"/>
        <v>#VALUE!</v>
      </c>
      <c r="DY652" s="1504"/>
      <c r="DZ652" s="1504"/>
      <c r="EA652" s="1504"/>
      <c r="EB652" s="1504"/>
      <c r="EC652" s="1504" t="e">
        <f t="shared" si="5"/>
        <v>#VALUE!</v>
      </c>
      <c r="ED652" s="1504"/>
      <c r="EE652" s="1504"/>
      <c r="EF652" s="1504"/>
      <c r="EG652" s="1504"/>
      <c r="EH652" s="1504">
        <f t="shared" si="6"/>
        <v>680.5</v>
      </c>
      <c r="EI652" s="1504"/>
      <c r="EJ652" s="1504"/>
      <c r="EK652" s="1504"/>
      <c r="EL652" s="1504"/>
      <c r="EM652" s="1504" t="e">
        <f t="shared" si="7"/>
        <v>#VALUE!</v>
      </c>
      <c r="EN652" s="1504"/>
      <c r="EO652" s="1504"/>
      <c r="EP652" s="1504"/>
      <c r="EQ652" s="1504"/>
      <c r="ER652" s="1504" t="e">
        <f t="shared" si="8"/>
        <v>#VALUE!</v>
      </c>
      <c r="ES652" s="1504"/>
      <c r="ET652" s="1504"/>
      <c r="EU652" s="1504"/>
      <c r="EV652" s="1504"/>
      <c r="EW652" s="1504" t="e">
        <f t="shared" si="9"/>
        <v>#VALUE!</v>
      </c>
      <c r="EX652" s="1504"/>
      <c r="EY652" s="1504"/>
      <c r="EZ652" s="1504"/>
      <c r="FA652" s="1504"/>
    </row>
    <row r="653" spans="1:157" ht="13" customHeight="1">
      <c r="A653" s="22"/>
      <c r="B653" t="s">
        <v>580</v>
      </c>
      <c r="G653" s="1432" t="s">
        <v>2722</v>
      </c>
      <c r="H653" s="1432"/>
      <c r="I653" s="1432"/>
      <c r="J653" s="1432"/>
      <c r="K653" s="1432"/>
      <c r="L653" s="1432"/>
      <c r="M653" s="1432"/>
      <c r="N653" s="1432"/>
      <c r="O653" s="1432"/>
      <c r="P653" s="1432"/>
      <c r="Q653" s="1432"/>
      <c r="R653" s="1432"/>
      <c r="T653" s="22"/>
      <c r="U653" t="s">
        <v>580</v>
      </c>
      <c r="Z653" s="1464" t="s">
        <v>2722</v>
      </c>
      <c r="AA653" s="1464"/>
      <c r="AB653" s="1464"/>
      <c r="AC653" s="1464"/>
      <c r="AD653" s="1464"/>
      <c r="AE653" s="1464"/>
      <c r="AF653" s="1464"/>
      <c r="AG653" s="1464"/>
      <c r="AH653" s="1464"/>
      <c r="AI653" s="1464"/>
      <c r="AJ653" s="1464"/>
      <c r="AK653" s="1464"/>
      <c r="AV653" s="3"/>
      <c r="AW653" s="3"/>
      <c r="AX653" s="3"/>
      <c r="AY653" s="3"/>
      <c r="AZ653" s="3"/>
      <c r="BA653" s="3"/>
      <c r="BB653" s="3"/>
      <c r="BC653" s="3"/>
      <c r="BD653" s="3"/>
      <c r="BE653" s="3"/>
      <c r="BF653" s="3"/>
      <c r="BG653" s="3"/>
      <c r="BH653" s="3"/>
      <c r="BI653" s="3"/>
      <c r="BJ653" s="3"/>
      <c r="BK653" s="3"/>
      <c r="BL653" s="3"/>
      <c r="BM653" s="3"/>
      <c r="DX653" s="1504" t="e">
        <f t="shared" si="4"/>
        <v>#VALUE!</v>
      </c>
      <c r="DY653" s="1504"/>
      <c r="DZ653" s="1504"/>
      <c r="EA653" s="1504"/>
      <c r="EB653" s="1504"/>
      <c r="EC653" s="1504" t="e">
        <f t="shared" si="5"/>
        <v>#VALUE!</v>
      </c>
      <c r="ED653" s="1504"/>
      <c r="EE653" s="1504"/>
      <c r="EF653" s="1504"/>
      <c r="EG653" s="1504"/>
      <c r="EH653" s="1504" t="e">
        <f t="shared" si="6"/>
        <v>#VALUE!</v>
      </c>
      <c r="EI653" s="1504"/>
      <c r="EJ653" s="1504"/>
      <c r="EK653" s="1504"/>
      <c r="EL653" s="1504"/>
      <c r="EM653" s="1504">
        <f t="shared" si="7"/>
        <v>86.916666666666657</v>
      </c>
      <c r="EN653" s="1504"/>
      <c r="EO653" s="1504"/>
      <c r="EP653" s="1504"/>
      <c r="EQ653" s="1504"/>
      <c r="ER653" s="1504" t="e">
        <f t="shared" si="8"/>
        <v>#VALUE!</v>
      </c>
      <c r="ES653" s="1504"/>
      <c r="ET653" s="1504"/>
      <c r="EU653" s="1504"/>
      <c r="EV653" s="1504"/>
      <c r="EW653" s="1504" t="e">
        <f t="shared" si="9"/>
        <v>#VALUE!</v>
      </c>
      <c r="EX653" s="1504"/>
      <c r="EY653" s="1504"/>
      <c r="EZ653" s="1504"/>
      <c r="FA653" s="1504"/>
    </row>
    <row r="654" spans="1:157" ht="13" customHeight="1">
      <c r="A654" s="22"/>
      <c r="B654" t="s">
        <v>17</v>
      </c>
      <c r="G654" s="1432" t="s">
        <v>2723</v>
      </c>
      <c r="H654" s="1432"/>
      <c r="I654" s="1432"/>
      <c r="J654" s="1432"/>
      <c r="K654" s="1432"/>
      <c r="L654" s="1432"/>
      <c r="M654" s="1432"/>
      <c r="N654" s="1432"/>
      <c r="O654" s="1432"/>
      <c r="P654" s="1432"/>
      <c r="Q654" s="1432"/>
      <c r="R654" s="1432"/>
      <c r="S654" s="8"/>
      <c r="T654" s="22"/>
      <c r="U654" t="s">
        <v>17</v>
      </c>
      <c r="Z654" s="1464" t="s">
        <v>2723</v>
      </c>
      <c r="AA654" s="1464"/>
      <c r="AB654" s="1464"/>
      <c r="AC654" s="1464"/>
      <c r="AD654" s="1464"/>
      <c r="AE654" s="1464"/>
      <c r="AF654" s="1464"/>
      <c r="AG654" s="1464"/>
      <c r="AH654" s="1464"/>
      <c r="AI654" s="1464"/>
      <c r="AJ654" s="1464"/>
      <c r="AK654" s="1464"/>
      <c r="AZ654" s="3"/>
      <c r="BA654" s="3"/>
      <c r="BB654" s="3"/>
      <c r="BC654" s="3"/>
      <c r="BD654" s="3"/>
      <c r="BE654" s="3"/>
      <c r="BF654" s="3"/>
      <c r="BG654" s="3"/>
      <c r="BH654" s="3"/>
      <c r="BI654" s="3"/>
      <c r="BJ654" s="3"/>
      <c r="BK654" s="3"/>
      <c r="BL654" s="3"/>
      <c r="BM654" s="3"/>
      <c r="DX654" s="1504" t="e">
        <f t="shared" si="4"/>
        <v>#VALUE!</v>
      </c>
      <c r="DY654" s="1504"/>
      <c r="DZ654" s="1504"/>
      <c r="EA654" s="1504"/>
      <c r="EB654" s="1504"/>
      <c r="EC654" s="1504" t="e">
        <f t="shared" si="5"/>
        <v>#VALUE!</v>
      </c>
      <c r="ED654" s="1504"/>
      <c r="EE654" s="1504"/>
      <c r="EF654" s="1504"/>
      <c r="EG654" s="1504"/>
      <c r="EH654" s="1504" t="e">
        <f t="shared" si="6"/>
        <v>#VALUE!</v>
      </c>
      <c r="EI654" s="1504"/>
      <c r="EJ654" s="1504"/>
      <c r="EK654" s="1504"/>
      <c r="EL654" s="1504"/>
      <c r="EM654" s="1504">
        <f t="shared" si="7"/>
        <v>121.58333333333333</v>
      </c>
      <c r="EN654" s="1504"/>
      <c r="EO654" s="1504"/>
      <c r="EP654" s="1504"/>
      <c r="EQ654" s="1504"/>
      <c r="ER654" s="1504" t="e">
        <f t="shared" si="8"/>
        <v>#VALUE!</v>
      </c>
      <c r="ES654" s="1504"/>
      <c r="ET654" s="1504"/>
      <c r="EU654" s="1504"/>
      <c r="EV654" s="1504"/>
      <c r="EW654" s="1504" t="e">
        <f t="shared" si="9"/>
        <v>#VALUE!</v>
      </c>
      <c r="EX654" s="1504"/>
      <c r="EY654" s="1504"/>
      <c r="EZ654" s="1504"/>
      <c r="FA654" s="1504"/>
    </row>
    <row r="655" spans="1:157" ht="13" customHeight="1">
      <c r="A655" s="22"/>
      <c r="B655" t="s">
        <v>316</v>
      </c>
      <c r="G655" s="1431"/>
      <c r="H655" s="1431"/>
      <c r="I655" s="1431"/>
      <c r="J655" s="1431"/>
      <c r="K655" s="1431"/>
      <c r="L655" s="1431"/>
      <c r="O655" s="33" t="s">
        <v>206</v>
      </c>
      <c r="P655" s="1453"/>
      <c r="Q655" s="1453"/>
      <c r="R655" s="1453"/>
      <c r="S655" s="10"/>
      <c r="T655" s="22"/>
      <c r="U655" t="s">
        <v>316</v>
      </c>
      <c r="Z655" s="1431"/>
      <c r="AA655" s="1431"/>
      <c r="AB655" s="1431"/>
      <c r="AC655" s="1431"/>
      <c r="AD655" s="1431"/>
      <c r="AE655" s="1431"/>
      <c r="AH655" s="33" t="s">
        <v>206</v>
      </c>
      <c r="AI655" s="1453"/>
      <c r="AJ655" s="1453"/>
      <c r="AK655" s="1453"/>
      <c r="AZ655" s="34"/>
      <c r="BA655" s="34"/>
      <c r="BB655" s="34"/>
      <c r="BC655" s="34"/>
      <c r="BD655" s="34"/>
      <c r="BE655" s="34"/>
      <c r="BF655" s="34"/>
      <c r="BG655" s="34"/>
      <c r="BH655" s="34"/>
      <c r="BI655" s="34"/>
      <c r="BJ655" s="34"/>
      <c r="BK655" s="34"/>
      <c r="BL655" s="34"/>
      <c r="BM655" s="34"/>
      <c r="DX655" s="1504" t="e">
        <f t="shared" si="4"/>
        <v>#VALUE!</v>
      </c>
      <c r="DY655" s="1504"/>
      <c r="DZ655" s="1504"/>
      <c r="EA655" s="1504"/>
      <c r="EB655" s="1504"/>
      <c r="EC655" s="1504" t="e">
        <f t="shared" si="5"/>
        <v>#VALUE!</v>
      </c>
      <c r="ED655" s="1504"/>
      <c r="EE655" s="1504"/>
      <c r="EF655" s="1504"/>
      <c r="EG655" s="1504"/>
      <c r="EH655" s="1504" t="e">
        <f t="shared" si="6"/>
        <v>#VALUE!</v>
      </c>
      <c r="EI655" s="1504"/>
      <c r="EJ655" s="1504"/>
      <c r="EK655" s="1504"/>
      <c r="EL655" s="1504"/>
      <c r="EM655" s="1504">
        <f t="shared" si="7"/>
        <v>312.33333333333331</v>
      </c>
      <c r="EN655" s="1504"/>
      <c r="EO655" s="1504"/>
      <c r="EP655" s="1504"/>
      <c r="EQ655" s="1504"/>
      <c r="ER655" s="1504" t="e">
        <f t="shared" si="8"/>
        <v>#VALUE!</v>
      </c>
      <c r="ES655" s="1504"/>
      <c r="ET655" s="1504"/>
      <c r="EU655" s="1504"/>
      <c r="EV655" s="1504"/>
      <c r="EW655" s="1504" t="e">
        <f t="shared" si="9"/>
        <v>#VALUE!</v>
      </c>
      <c r="EX655" s="1504"/>
      <c r="EY655" s="1504"/>
      <c r="EZ655" s="1504"/>
      <c r="FA655" s="1504"/>
    </row>
    <row r="656" spans="1:157" ht="13" customHeight="1">
      <c r="A656" s="22"/>
      <c r="B656" t="s">
        <v>18</v>
      </c>
      <c r="H656" s="1432" t="str">
        <f>H581</f>
        <v>Loan, Tax-Exempt</v>
      </c>
      <c r="I656" s="1432"/>
      <c r="J656" s="1432"/>
      <c r="K656" s="1432"/>
      <c r="L656" s="1432"/>
      <c r="M656" s="1432"/>
      <c r="N656" s="1432"/>
      <c r="O656" s="1432"/>
      <c r="P656" s="1432"/>
      <c r="Q656" s="1432"/>
      <c r="R656" s="1432"/>
      <c r="S656" s="8"/>
      <c r="T656" s="22"/>
      <c r="U656" t="s">
        <v>18</v>
      </c>
      <c r="AA656" s="1432" t="s">
        <v>2079</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DX656" s="1504" t="e">
        <f t="shared" si="4"/>
        <v>#VALUE!</v>
      </c>
      <c r="DY656" s="1504"/>
      <c r="DZ656" s="1504"/>
      <c r="EA656" s="1504"/>
      <c r="EB656" s="1504"/>
      <c r="EC656" s="1504" t="e">
        <f t="shared" si="5"/>
        <v>#VALUE!</v>
      </c>
      <c r="ED656" s="1504"/>
      <c r="EE656" s="1504"/>
      <c r="EF656" s="1504"/>
      <c r="EG656" s="1504"/>
      <c r="EH656" s="1504" t="e">
        <f t="shared" si="6"/>
        <v>#VALUE!</v>
      </c>
      <c r="EI656" s="1504"/>
      <c r="EJ656" s="1504"/>
      <c r="EK656" s="1504"/>
      <c r="EL656" s="1504"/>
      <c r="EM656" s="1504">
        <f t="shared" si="7"/>
        <v>381.66666666666663</v>
      </c>
      <c r="EN656" s="1504"/>
      <c r="EO656" s="1504"/>
      <c r="EP656" s="1504"/>
      <c r="EQ656" s="1504"/>
      <c r="ER656" s="1504" t="e">
        <f t="shared" si="8"/>
        <v>#VALUE!</v>
      </c>
      <c r="ES656" s="1504"/>
      <c r="ET656" s="1504"/>
      <c r="EU656" s="1504"/>
      <c r="EV656" s="1504"/>
      <c r="EW656" s="1504" t="e">
        <f t="shared" si="9"/>
        <v>#VALUE!</v>
      </c>
      <c r="EX656" s="1504"/>
      <c r="EY656" s="1504"/>
      <c r="EZ656" s="1504"/>
      <c r="FA656" s="1504"/>
    </row>
    <row r="657" spans="1:157" ht="13"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04" t="e">
        <f t="shared" si="4"/>
        <v>#VALUE!</v>
      </c>
      <c r="DY657" s="1504"/>
      <c r="DZ657" s="1504"/>
      <c r="EA657" s="1504"/>
      <c r="EB657" s="1504"/>
      <c r="EC657" s="1504" t="e">
        <f t="shared" si="5"/>
        <v>#VALUE!</v>
      </c>
      <c r="ED657" s="1504"/>
      <c r="EE657" s="1504"/>
      <c r="EF657" s="1504"/>
      <c r="EG657" s="1504"/>
      <c r="EH657" s="1504" t="e">
        <f t="shared" si="6"/>
        <v>#VALUE!</v>
      </c>
      <c r="EI657" s="1504"/>
      <c r="EJ657" s="1504"/>
      <c r="EK657" s="1504"/>
      <c r="EL657" s="1504"/>
      <c r="EM657" s="1504">
        <f t="shared" si="7"/>
        <v>676.25</v>
      </c>
      <c r="EN657" s="1504"/>
      <c r="EO657" s="1504"/>
      <c r="EP657" s="1504"/>
      <c r="EQ657" s="1504"/>
      <c r="ER657" s="1504" t="e">
        <f t="shared" si="8"/>
        <v>#VALUE!</v>
      </c>
      <c r="ES657" s="1504"/>
      <c r="ET657" s="1504"/>
      <c r="EU657" s="1504"/>
      <c r="EV657" s="1504"/>
      <c r="EW657" s="1504" t="e">
        <f t="shared" si="9"/>
        <v>#VALUE!</v>
      </c>
      <c r="EX657" s="1504"/>
      <c r="EY657" s="1504"/>
      <c r="EZ657" s="1504"/>
      <c r="FA657" s="1504"/>
    </row>
    <row r="658" spans="1:157" ht="13" customHeight="1">
      <c r="A658" s="22"/>
      <c r="T658" s="22"/>
      <c r="AZ658" s="34"/>
      <c r="BA658" s="34"/>
      <c r="BB658" s="34"/>
      <c r="BC658" s="34"/>
      <c r="BD658" s="34"/>
      <c r="BE658" s="34"/>
      <c r="BF658" s="34"/>
      <c r="BG658" s="34"/>
      <c r="BH658" s="34"/>
      <c r="BI658" s="34"/>
      <c r="BJ658" s="34"/>
      <c r="BK658" s="34"/>
      <c r="BL658" s="34"/>
      <c r="BM658" s="34"/>
      <c r="DX658" s="1504" t="e">
        <f t="shared" si="4"/>
        <v>#VALUE!</v>
      </c>
      <c r="DY658" s="1504"/>
      <c r="DZ658" s="1504"/>
      <c r="EA658" s="1504"/>
      <c r="EB658" s="1504"/>
      <c r="EC658" s="1504" t="e">
        <f t="shared" si="5"/>
        <v>#VALUE!</v>
      </c>
      <c r="ED658" s="1504"/>
      <c r="EE658" s="1504"/>
      <c r="EF658" s="1504"/>
      <c r="EG658" s="1504"/>
      <c r="EH658" s="1504" t="e">
        <f t="shared" si="6"/>
        <v>#VALUE!</v>
      </c>
      <c r="EI658" s="1504"/>
      <c r="EJ658" s="1504"/>
      <c r="EK658" s="1504"/>
      <c r="EL658" s="1504"/>
      <c r="EM658" s="1504">
        <f t="shared" si="7"/>
        <v>780.25</v>
      </c>
      <c r="EN658" s="1504"/>
      <c r="EO658" s="1504"/>
      <c r="EP658" s="1504"/>
      <c r="EQ658" s="1504"/>
      <c r="ER658" s="1504" t="e">
        <f t="shared" si="8"/>
        <v>#VALUE!</v>
      </c>
      <c r="ES658" s="1504"/>
      <c r="ET658" s="1504"/>
      <c r="EU658" s="1504"/>
      <c r="EV658" s="1504"/>
      <c r="EW658" s="1504" t="e">
        <f t="shared" si="9"/>
        <v>#VALUE!</v>
      </c>
      <c r="EX658" s="1504"/>
      <c r="EY658" s="1504"/>
      <c r="EZ658" s="1504"/>
      <c r="FA658" s="1504"/>
    </row>
    <row r="659" spans="1:157" ht="13" customHeight="1">
      <c r="A659" s="55" t="s">
        <v>119</v>
      </c>
      <c r="B659" t="s">
        <v>463</v>
      </c>
      <c r="G659" s="1437" t="str">
        <f>C637</f>
        <v>Income from Operations</v>
      </c>
      <c r="H659" s="1437"/>
      <c r="I659" s="1437"/>
      <c r="J659" s="1437"/>
      <c r="K659" s="1437"/>
      <c r="L659" s="1437"/>
      <c r="M659" s="1437"/>
      <c r="N659" s="1437"/>
      <c r="O659" s="1437"/>
      <c r="P659" s="1437"/>
      <c r="Q659" s="1437"/>
      <c r="R659" s="1437"/>
      <c r="T659" s="55" t="s">
        <v>581</v>
      </c>
      <c r="U659" t="s">
        <v>463</v>
      </c>
      <c r="Z659" s="1437" t="str">
        <f>C638</f>
        <v>Deferred Developer Fee</v>
      </c>
      <c r="AA659" s="1437"/>
      <c r="AB659" s="1437"/>
      <c r="AC659" s="1437"/>
      <c r="AD659" s="1437"/>
      <c r="AE659" s="1437"/>
      <c r="AF659" s="1437"/>
      <c r="AG659" s="1437"/>
      <c r="AH659" s="1437"/>
      <c r="AI659" s="1437"/>
      <c r="AJ659" s="1437"/>
      <c r="AK659" s="1437"/>
      <c r="AZ659" s="34"/>
      <c r="BA659" s="34"/>
      <c r="BB659" s="34"/>
      <c r="BC659" s="34"/>
      <c r="BD659" s="34"/>
      <c r="BE659" s="34"/>
      <c r="BF659" s="34"/>
      <c r="BG659" s="34"/>
      <c r="BH659" s="34"/>
      <c r="BI659" s="34"/>
      <c r="BJ659" s="34"/>
      <c r="BK659" s="34"/>
      <c r="BL659" s="34"/>
      <c r="BM659" s="34"/>
      <c r="DX659" s="1504" t="e">
        <f t="shared" si="4"/>
        <v>#VALUE!</v>
      </c>
      <c r="DY659" s="1504"/>
      <c r="DZ659" s="1504"/>
      <c r="EA659" s="1504"/>
      <c r="EB659" s="1504"/>
      <c r="EC659" s="1504" t="e">
        <f t="shared" si="5"/>
        <v>#VALUE!</v>
      </c>
      <c r="ED659" s="1504"/>
      <c r="EE659" s="1504"/>
      <c r="EF659" s="1504"/>
      <c r="EG659" s="1504"/>
      <c r="EH659" s="1504" t="e">
        <f t="shared" si="6"/>
        <v>#VALUE!</v>
      </c>
      <c r="EI659" s="1504"/>
      <c r="EJ659" s="1504"/>
      <c r="EK659" s="1504"/>
      <c r="EL659" s="1504"/>
      <c r="EM659" s="1504" t="e">
        <f t="shared" si="7"/>
        <v>#VALUE!</v>
      </c>
      <c r="EN659" s="1504"/>
      <c r="EO659" s="1504"/>
      <c r="EP659" s="1504"/>
      <c r="EQ659" s="1504"/>
      <c r="ER659" s="1504" t="e">
        <f t="shared" si="8"/>
        <v>#VALUE!</v>
      </c>
      <c r="ES659" s="1504"/>
      <c r="ET659" s="1504"/>
      <c r="EU659" s="1504"/>
      <c r="EV659" s="1504"/>
      <c r="EW659" s="1504" t="e">
        <f t="shared" si="9"/>
        <v>#VALUE!</v>
      </c>
      <c r="EX659" s="1504"/>
      <c r="EY659" s="1504"/>
      <c r="EZ659" s="1504"/>
      <c r="FA659" s="1504"/>
    </row>
    <row r="660" spans="1:157" ht="13" customHeight="1">
      <c r="A660" s="22"/>
      <c r="B660" t="s">
        <v>85</v>
      </c>
      <c r="G660" s="1432" t="s">
        <v>2658</v>
      </c>
      <c r="H660" s="1432"/>
      <c r="I660" s="1432"/>
      <c r="J660" s="1432"/>
      <c r="K660" s="1432"/>
      <c r="L660" s="1432"/>
      <c r="M660" s="1432"/>
      <c r="N660" s="1432"/>
      <c r="O660" s="1432"/>
      <c r="P660" s="1432"/>
      <c r="Q660" s="1432"/>
      <c r="R660" s="1432"/>
      <c r="T660" s="22"/>
      <c r="U660" t="s">
        <v>85</v>
      </c>
      <c r="Z660" s="1432" t="s">
        <v>2658</v>
      </c>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DX660" s="1504" t="e">
        <f t="shared" si="4"/>
        <v>#VALUE!</v>
      </c>
      <c r="DY660" s="1504"/>
      <c r="DZ660" s="1504"/>
      <c r="EA660" s="1504"/>
      <c r="EB660" s="1504"/>
      <c r="EC660" s="1504" t="e">
        <f t="shared" si="5"/>
        <v>#VALUE!</v>
      </c>
      <c r="ED660" s="1504"/>
      <c r="EE660" s="1504"/>
      <c r="EF660" s="1504"/>
      <c r="EG660" s="1504"/>
      <c r="EH660" s="1504" t="e">
        <f t="shared" si="6"/>
        <v>#VALUE!</v>
      </c>
      <c r="EI660" s="1504"/>
      <c r="EJ660" s="1504"/>
      <c r="EK660" s="1504"/>
      <c r="EL660" s="1504"/>
      <c r="EM660" s="1504" t="e">
        <f t="shared" si="7"/>
        <v>#VALUE!</v>
      </c>
      <c r="EN660" s="1504"/>
      <c r="EO660" s="1504"/>
      <c r="EP660" s="1504"/>
      <c r="EQ660" s="1504"/>
      <c r="ER660" s="1504" t="e">
        <f t="shared" si="8"/>
        <v>#VALUE!</v>
      </c>
      <c r="ES660" s="1504"/>
      <c r="ET660" s="1504"/>
      <c r="EU660" s="1504"/>
      <c r="EV660" s="1504"/>
      <c r="EW660" s="1504" t="e">
        <f t="shared" si="9"/>
        <v>#VALUE!</v>
      </c>
      <c r="EX660" s="1504"/>
      <c r="EY660" s="1504"/>
      <c r="EZ660" s="1504"/>
      <c r="FA660" s="1504"/>
    </row>
    <row r="661" spans="1:157" ht="13" customHeight="1">
      <c r="A661" s="22"/>
      <c r="B661" t="s">
        <v>580</v>
      </c>
      <c r="G661" s="1464" t="s">
        <v>2649</v>
      </c>
      <c r="H661" s="1464"/>
      <c r="I661" s="1464"/>
      <c r="J661" s="1464"/>
      <c r="K661" s="1464"/>
      <c r="L661" s="1464"/>
      <c r="M661" s="1464"/>
      <c r="N661" s="1464"/>
      <c r="O661" s="1464"/>
      <c r="P661" s="1464"/>
      <c r="Q661" s="1464"/>
      <c r="R661" s="1464"/>
      <c r="T661" s="22"/>
      <c r="U661" t="s">
        <v>580</v>
      </c>
      <c r="Z661" s="1464" t="s">
        <v>2649</v>
      </c>
      <c r="AA661" s="1464"/>
      <c r="AB661" s="1464"/>
      <c r="AC661" s="1464"/>
      <c r="AD661" s="1464"/>
      <c r="AE661" s="1464"/>
      <c r="AF661" s="1464"/>
      <c r="AG661" s="1464"/>
      <c r="AH661" s="1464"/>
      <c r="AI661" s="1464"/>
      <c r="AJ661" s="1464"/>
      <c r="AK661" s="1464"/>
      <c r="AZ661" s="34"/>
      <c r="BA661" s="34"/>
      <c r="BB661" s="34"/>
      <c r="BC661" s="34"/>
      <c r="BD661" s="34"/>
      <c r="BE661" s="34"/>
      <c r="BF661" s="34"/>
      <c r="BG661" s="34"/>
      <c r="BH661" s="34"/>
      <c r="BI661" s="34"/>
      <c r="BJ661" s="34"/>
      <c r="BK661" s="34"/>
      <c r="BL661" s="34"/>
      <c r="BM661" s="34"/>
      <c r="DX661" s="1504" t="e">
        <f t="shared" si="4"/>
        <v>#VALUE!</v>
      </c>
      <c r="DY661" s="1504"/>
      <c r="DZ661" s="1504"/>
      <c r="EA661" s="1504"/>
      <c r="EB661" s="1504"/>
      <c r="EC661" s="1504" t="e">
        <f t="shared" si="5"/>
        <v>#VALUE!</v>
      </c>
      <c r="ED661" s="1504"/>
      <c r="EE661" s="1504"/>
      <c r="EF661" s="1504"/>
      <c r="EG661" s="1504"/>
      <c r="EH661" s="1504" t="e">
        <f t="shared" si="6"/>
        <v>#VALUE!</v>
      </c>
      <c r="EI661" s="1504"/>
      <c r="EJ661" s="1504"/>
      <c r="EK661" s="1504"/>
      <c r="EL661" s="1504"/>
      <c r="EM661" s="1504" t="e">
        <f t="shared" si="7"/>
        <v>#VALUE!</v>
      </c>
      <c r="EN661" s="1504"/>
      <c r="EO661" s="1504"/>
      <c r="EP661" s="1504"/>
      <c r="EQ661" s="1504"/>
      <c r="ER661" s="1504" t="e">
        <f t="shared" si="8"/>
        <v>#VALUE!</v>
      </c>
      <c r="ES661" s="1504"/>
      <c r="ET661" s="1504"/>
      <c r="EU661" s="1504"/>
      <c r="EV661" s="1504"/>
      <c r="EW661" s="1504" t="e">
        <f t="shared" si="9"/>
        <v>#VALUE!</v>
      </c>
      <c r="EX661" s="1504"/>
      <c r="EY661" s="1504"/>
      <c r="EZ661" s="1504"/>
      <c r="FA661" s="1504"/>
    </row>
    <row r="662" spans="1:157" ht="13" customHeight="1">
      <c r="A662" s="22"/>
      <c r="B662" t="s">
        <v>17</v>
      </c>
      <c r="G662" s="1464" t="s">
        <v>2646</v>
      </c>
      <c r="H662" s="1464"/>
      <c r="I662" s="1464"/>
      <c r="J662" s="1464"/>
      <c r="K662" s="1464"/>
      <c r="L662" s="1464"/>
      <c r="M662" s="1464"/>
      <c r="N662" s="1464"/>
      <c r="O662" s="1464"/>
      <c r="P662" s="1464"/>
      <c r="Q662" s="1464"/>
      <c r="R662" s="1464"/>
      <c r="T662" s="22"/>
      <c r="U662" t="s">
        <v>17</v>
      </c>
      <c r="Z662" s="1464" t="s">
        <v>2646</v>
      </c>
      <c r="AA662" s="1464"/>
      <c r="AB662" s="1464"/>
      <c r="AC662" s="1464"/>
      <c r="AD662" s="1464"/>
      <c r="AE662" s="1464"/>
      <c r="AF662" s="1464"/>
      <c r="AG662" s="1464"/>
      <c r="AH662" s="1464"/>
      <c r="AI662" s="1464"/>
      <c r="AJ662" s="1464"/>
      <c r="AK662" s="1464"/>
      <c r="AZ662" s="34"/>
      <c r="BA662" s="34"/>
      <c r="BB662" s="34"/>
      <c r="BC662" s="34"/>
      <c r="BD662" s="34"/>
      <c r="BE662" s="34"/>
      <c r="BF662" s="34"/>
      <c r="BG662" s="34"/>
      <c r="BH662" s="34"/>
      <c r="BI662" s="34"/>
      <c r="BJ662" s="34"/>
      <c r="BK662" s="34"/>
      <c r="BL662" s="34"/>
      <c r="BM662" s="34"/>
      <c r="DX662" s="1504" t="e">
        <f t="shared" si="4"/>
        <v>#VALUE!</v>
      </c>
      <c r="DY662" s="1504"/>
      <c r="DZ662" s="1504"/>
      <c r="EA662" s="1504"/>
      <c r="EB662" s="1504"/>
      <c r="EC662" s="1504" t="e">
        <f t="shared" si="5"/>
        <v>#VALUE!</v>
      </c>
      <c r="ED662" s="1504"/>
      <c r="EE662" s="1504"/>
      <c r="EF662" s="1504"/>
      <c r="EG662" s="1504"/>
      <c r="EH662" s="1504" t="e">
        <f t="shared" si="6"/>
        <v>#VALUE!</v>
      </c>
      <c r="EI662" s="1504"/>
      <c r="EJ662" s="1504"/>
      <c r="EK662" s="1504"/>
      <c r="EL662" s="1504"/>
      <c r="EM662" s="1504" t="e">
        <f t="shared" si="7"/>
        <v>#VALUE!</v>
      </c>
      <c r="EN662" s="1504"/>
      <c r="EO662" s="1504"/>
      <c r="EP662" s="1504"/>
      <c r="EQ662" s="1504"/>
      <c r="ER662" s="1504" t="e">
        <f t="shared" si="8"/>
        <v>#VALUE!</v>
      </c>
      <c r="ES662" s="1504"/>
      <c r="ET662" s="1504"/>
      <c r="EU662" s="1504"/>
      <c r="EV662" s="1504"/>
      <c r="EW662" s="1504" t="e">
        <f t="shared" si="9"/>
        <v>#VALUE!</v>
      </c>
      <c r="EX662" s="1504"/>
      <c r="EY662" s="1504"/>
      <c r="EZ662" s="1504"/>
      <c r="FA662" s="1504"/>
    </row>
    <row r="663" spans="1:157" ht="13" customHeight="1">
      <c r="A663" s="22"/>
      <c r="B663" t="s">
        <v>316</v>
      </c>
      <c r="G663" s="1431" t="str">
        <f>$G$589</f>
        <v>408-647-4720</v>
      </c>
      <c r="H663" s="1431"/>
      <c r="I663" s="1431"/>
      <c r="J663" s="1431"/>
      <c r="K663" s="1431"/>
      <c r="L663" s="1431"/>
      <c r="O663" s="33" t="s">
        <v>206</v>
      </c>
      <c r="P663" s="1453"/>
      <c r="Q663" s="1453"/>
      <c r="R663" s="1453"/>
      <c r="T663" s="22"/>
      <c r="U663" t="s">
        <v>316</v>
      </c>
      <c r="Z663" s="1431" t="str">
        <f>$G$589</f>
        <v>408-647-4720</v>
      </c>
      <c r="AA663" s="1431"/>
      <c r="AB663" s="1431"/>
      <c r="AC663" s="1431"/>
      <c r="AD663" s="1431"/>
      <c r="AE663" s="1431"/>
      <c r="AH663" s="33" t="s">
        <v>206</v>
      </c>
      <c r="AI663" s="1453"/>
      <c r="AJ663" s="1453"/>
      <c r="AK663" s="1453"/>
      <c r="AZ663" s="34"/>
      <c r="BA663" s="34"/>
      <c r="BB663" s="34"/>
      <c r="BC663" s="34"/>
      <c r="BD663" s="34"/>
      <c r="BE663" s="34"/>
      <c r="BF663" s="34"/>
      <c r="BG663" s="34"/>
      <c r="BH663" s="34"/>
      <c r="BI663" s="34"/>
      <c r="BJ663" s="34"/>
      <c r="BK663" s="34"/>
      <c r="BL663" s="34"/>
      <c r="BM663" s="34"/>
      <c r="DX663" s="1504" t="e">
        <f t="shared" si="4"/>
        <v>#VALUE!</v>
      </c>
      <c r="DY663" s="1504"/>
      <c r="DZ663" s="1504"/>
      <c r="EA663" s="1504"/>
      <c r="EB663" s="1504"/>
      <c r="EC663" s="1504" t="e">
        <f t="shared" si="5"/>
        <v>#VALUE!</v>
      </c>
      <c r="ED663" s="1504"/>
      <c r="EE663" s="1504"/>
      <c r="EF663" s="1504"/>
      <c r="EG663" s="1504"/>
      <c r="EH663" s="1504" t="e">
        <f t="shared" si="6"/>
        <v>#VALUE!</v>
      </c>
      <c r="EI663" s="1504"/>
      <c r="EJ663" s="1504"/>
      <c r="EK663" s="1504"/>
      <c r="EL663" s="1504"/>
      <c r="EM663" s="1504" t="e">
        <f t="shared" si="7"/>
        <v>#VALUE!</v>
      </c>
      <c r="EN663" s="1504"/>
      <c r="EO663" s="1504"/>
      <c r="EP663" s="1504"/>
      <c r="EQ663" s="1504"/>
      <c r="ER663" s="1504" t="e">
        <f t="shared" si="8"/>
        <v>#VALUE!</v>
      </c>
      <c r="ES663" s="1504"/>
      <c r="ET663" s="1504"/>
      <c r="EU663" s="1504"/>
      <c r="EV663" s="1504"/>
      <c r="EW663" s="1504" t="e">
        <f t="shared" si="9"/>
        <v>#VALUE!</v>
      </c>
      <c r="EX663" s="1504"/>
      <c r="EY663" s="1504"/>
      <c r="EZ663" s="1504"/>
      <c r="FA663" s="1504"/>
    </row>
    <row r="664" spans="1:157" ht="13" customHeight="1">
      <c r="A664" s="22"/>
      <c r="B664" t="s">
        <v>18</v>
      </c>
      <c r="H664" s="1432" t="str">
        <f>G659</f>
        <v>Income from Operations</v>
      </c>
      <c r="I664" s="1432"/>
      <c r="J664" s="1432"/>
      <c r="K664" s="1432"/>
      <c r="L664" s="1432"/>
      <c r="M664" s="1432"/>
      <c r="N664" s="1432"/>
      <c r="O664" s="1432"/>
      <c r="P664" s="1432"/>
      <c r="Q664" s="1432"/>
      <c r="R664" s="1432"/>
      <c r="T664" s="22"/>
      <c r="U664" t="s">
        <v>18</v>
      </c>
      <c r="AA664" s="1432" t="str">
        <f>Z659</f>
        <v>Deferred Developer Fee</v>
      </c>
      <c r="AB664" s="1432"/>
      <c r="AC664" s="1432"/>
      <c r="AD664" s="1432"/>
      <c r="AE664" s="1432"/>
      <c r="AF664" s="1432"/>
      <c r="AG664" s="1432"/>
      <c r="AH664" s="1432"/>
      <c r="AI664" s="1432"/>
      <c r="AJ664" s="1432"/>
      <c r="AK664" s="1432"/>
      <c r="AZ664" s="34"/>
      <c r="BA664" s="34"/>
      <c r="BB664" s="34"/>
      <c r="BC664" s="34"/>
      <c r="BD664" s="34"/>
      <c r="BE664" s="34"/>
      <c r="BF664" s="34"/>
      <c r="BG664" s="34"/>
      <c r="BH664" s="34"/>
      <c r="BI664" s="34"/>
      <c r="BJ664" s="34"/>
      <c r="BK664" s="34"/>
      <c r="BL664" s="34"/>
      <c r="BM664" s="34"/>
      <c r="DX664" s="1504" t="e">
        <f t="shared" si="4"/>
        <v>#VALUE!</v>
      </c>
      <c r="DY664" s="1504"/>
      <c r="DZ664" s="1504"/>
      <c r="EA664" s="1504"/>
      <c r="EB664" s="1504"/>
      <c r="EC664" s="1504" t="e">
        <f t="shared" si="5"/>
        <v>#VALUE!</v>
      </c>
      <c r="ED664" s="1504"/>
      <c r="EE664" s="1504"/>
      <c r="EF664" s="1504"/>
      <c r="EG664" s="1504"/>
      <c r="EH664" s="1504" t="e">
        <f t="shared" si="6"/>
        <v>#VALUE!</v>
      </c>
      <c r="EI664" s="1504"/>
      <c r="EJ664" s="1504"/>
      <c r="EK664" s="1504"/>
      <c r="EL664" s="1504"/>
      <c r="EM664" s="1504" t="e">
        <f t="shared" si="7"/>
        <v>#VALUE!</v>
      </c>
      <c r="EN664" s="1504"/>
      <c r="EO664" s="1504"/>
      <c r="EP664" s="1504"/>
      <c r="EQ664" s="1504"/>
      <c r="ER664" s="1504" t="e">
        <f t="shared" si="8"/>
        <v>#VALUE!</v>
      </c>
      <c r="ES664" s="1504"/>
      <c r="ET664" s="1504"/>
      <c r="EU664" s="1504"/>
      <c r="EV664" s="1504"/>
      <c r="EW664" s="1504" t="e">
        <f t="shared" si="9"/>
        <v>#VALUE!</v>
      </c>
      <c r="EX664" s="1504"/>
      <c r="EY664" s="1504"/>
      <c r="EZ664" s="1504"/>
      <c r="FA664" s="1504"/>
    </row>
    <row r="665" spans="1:157" ht="13" customHeight="1">
      <c r="A665" s="22"/>
      <c r="B665" t="s">
        <v>20</v>
      </c>
      <c r="N665" s="1340" t="s">
        <v>545</v>
      </c>
      <c r="O665" s="1340"/>
      <c r="T665" s="22"/>
      <c r="U665" t="s">
        <v>20</v>
      </c>
      <c r="AG665" s="1340" t="s">
        <v>545</v>
      </c>
      <c r="AH665" s="1340"/>
      <c r="AZ665" s="34"/>
      <c r="BA665" s="34"/>
      <c r="BB665" s="34"/>
      <c r="BC665" s="34"/>
      <c r="BD665" s="34"/>
      <c r="BE665" s="34"/>
      <c r="BF665" s="34"/>
      <c r="BG665" s="34"/>
      <c r="BH665" s="34"/>
      <c r="BI665" s="34"/>
      <c r="BJ665" s="34"/>
      <c r="BK665" s="34"/>
      <c r="BL665" s="34"/>
      <c r="BM665" s="34"/>
      <c r="DX665" s="1504" t="e">
        <f t="shared" si="4"/>
        <v>#VALUE!</v>
      </c>
      <c r="DY665" s="1504"/>
      <c r="DZ665" s="1504"/>
      <c r="EA665" s="1504"/>
      <c r="EB665" s="1504"/>
      <c r="EC665" s="1504" t="e">
        <f t="shared" si="5"/>
        <v>#VALUE!</v>
      </c>
      <c r="ED665" s="1504"/>
      <c r="EE665" s="1504"/>
      <c r="EF665" s="1504"/>
      <c r="EG665" s="1504"/>
      <c r="EH665" s="1504" t="e">
        <f t="shared" si="6"/>
        <v>#VALUE!</v>
      </c>
      <c r="EI665" s="1504"/>
      <c r="EJ665" s="1504"/>
      <c r="EK665" s="1504"/>
      <c r="EL665" s="1504"/>
      <c r="EM665" s="1504" t="e">
        <f t="shared" si="7"/>
        <v>#VALUE!</v>
      </c>
      <c r="EN665" s="1504"/>
      <c r="EO665" s="1504"/>
      <c r="EP665" s="1504"/>
      <c r="EQ665" s="1504"/>
      <c r="ER665" s="1504" t="e">
        <f t="shared" si="8"/>
        <v>#VALUE!</v>
      </c>
      <c r="ES665" s="1504"/>
      <c r="ET665" s="1504"/>
      <c r="EU665" s="1504"/>
      <c r="EV665" s="1504"/>
      <c r="EW665" s="1504" t="e">
        <f t="shared" si="9"/>
        <v>#VALUE!</v>
      </c>
      <c r="EX665" s="1504"/>
      <c r="EY665" s="1504"/>
      <c r="EZ665" s="1504"/>
      <c r="FA665" s="1504"/>
    </row>
    <row r="666" spans="1:157" ht="13" customHeight="1">
      <c r="A666" s="22"/>
      <c r="T666" s="22"/>
      <c r="AZ666" s="34"/>
      <c r="BA666" s="34"/>
      <c r="BB666" s="34"/>
      <c r="BC666" s="34"/>
      <c r="BD666" s="34"/>
      <c r="BE666" s="34"/>
      <c r="BF666" s="34"/>
      <c r="BG666" s="34"/>
      <c r="BH666" s="34"/>
      <c r="BI666" s="34"/>
      <c r="BJ666" s="34"/>
      <c r="BK666" s="34"/>
      <c r="BL666" s="34"/>
      <c r="BM666" s="34"/>
      <c r="DX666" s="1504" t="e">
        <f t="shared" si="4"/>
        <v>#VALUE!</v>
      </c>
      <c r="DY666" s="1504"/>
      <c r="DZ666" s="1504"/>
      <c r="EA666" s="1504"/>
      <c r="EB666" s="1504"/>
      <c r="EC666" s="1504" t="e">
        <f t="shared" si="5"/>
        <v>#VALUE!</v>
      </c>
      <c r="ED666" s="1504"/>
      <c r="EE666" s="1504"/>
      <c r="EF666" s="1504"/>
      <c r="EG666" s="1504"/>
      <c r="EH666" s="1504" t="e">
        <f t="shared" si="6"/>
        <v>#VALUE!</v>
      </c>
      <c r="EI666" s="1504"/>
      <c r="EJ666" s="1504"/>
      <c r="EK666" s="1504"/>
      <c r="EL666" s="1504"/>
      <c r="EM666" s="1504" t="e">
        <f t="shared" si="7"/>
        <v>#VALUE!</v>
      </c>
      <c r="EN666" s="1504"/>
      <c r="EO666" s="1504"/>
      <c r="EP666" s="1504"/>
      <c r="EQ666" s="1504"/>
      <c r="ER666" s="1504" t="e">
        <f t="shared" si="8"/>
        <v>#VALUE!</v>
      </c>
      <c r="ES666" s="1504"/>
      <c r="ET666" s="1504"/>
      <c r="EU666" s="1504"/>
      <c r="EV666" s="1504"/>
      <c r="EW666" s="1504" t="e">
        <f t="shared" si="9"/>
        <v>#VALUE!</v>
      </c>
      <c r="EX666" s="1504"/>
      <c r="EY666" s="1504"/>
      <c r="EZ666" s="1504"/>
      <c r="FA666" s="1504"/>
    </row>
    <row r="667" spans="1:157" ht="13" customHeight="1">
      <c r="A667" s="55" t="s">
        <v>763</v>
      </c>
      <c r="B667" t="s">
        <v>463</v>
      </c>
      <c r="G667" s="1437" t="str">
        <f>C639</f>
        <v>Developer Equity</v>
      </c>
      <c r="H667" s="1437"/>
      <c r="I667" s="1437"/>
      <c r="J667" s="1437"/>
      <c r="K667" s="1437"/>
      <c r="L667" s="1437"/>
      <c r="M667" s="1437"/>
      <c r="N667" s="1437"/>
      <c r="O667" s="1437"/>
      <c r="P667" s="1437"/>
      <c r="Q667" s="1437"/>
      <c r="R667" s="1437"/>
      <c r="T667" s="55" t="s">
        <v>584</v>
      </c>
      <c r="U667" t="s">
        <v>463</v>
      </c>
      <c r="Z667" s="1437" t="str">
        <f>C640</f>
        <v>Deferred Contractor Loan - Private</v>
      </c>
      <c r="AA667" s="1437"/>
      <c r="AB667" s="1437"/>
      <c r="AC667" s="1437"/>
      <c r="AD667" s="1437"/>
      <c r="AE667" s="1437"/>
      <c r="AF667" s="1437"/>
      <c r="AG667" s="1437"/>
      <c r="AH667" s="1437"/>
      <c r="AI667" s="1437"/>
      <c r="AJ667" s="1437"/>
      <c r="AK667" s="1437"/>
      <c r="AZ667" s="34"/>
      <c r="BA667" s="34"/>
      <c r="BB667" s="34"/>
      <c r="BC667" s="34"/>
      <c r="BD667" s="34"/>
      <c r="BE667" s="34"/>
      <c r="BF667" s="34"/>
      <c r="BG667" s="34"/>
      <c r="BH667" s="34"/>
      <c r="BI667" s="34"/>
      <c r="BJ667" s="34"/>
      <c r="BK667" s="34"/>
      <c r="BL667" s="34"/>
      <c r="BM667" s="34"/>
      <c r="DX667" s="1504" t="e">
        <f t="shared" si="4"/>
        <v>#VALUE!</v>
      </c>
      <c r="DY667" s="1504"/>
      <c r="DZ667" s="1504"/>
      <c r="EA667" s="1504"/>
      <c r="EB667" s="1504"/>
      <c r="EC667" s="1504" t="e">
        <f t="shared" si="5"/>
        <v>#VALUE!</v>
      </c>
      <c r="ED667" s="1504"/>
      <c r="EE667" s="1504"/>
      <c r="EF667" s="1504"/>
      <c r="EG667" s="1504"/>
      <c r="EH667" s="1504" t="e">
        <f t="shared" si="6"/>
        <v>#VALUE!</v>
      </c>
      <c r="EI667" s="1504"/>
      <c r="EJ667" s="1504"/>
      <c r="EK667" s="1504"/>
      <c r="EL667" s="1504"/>
      <c r="EM667" s="1504" t="e">
        <f t="shared" si="7"/>
        <v>#VALUE!</v>
      </c>
      <c r="EN667" s="1504"/>
      <c r="EO667" s="1504"/>
      <c r="EP667" s="1504"/>
      <c r="EQ667" s="1504"/>
      <c r="ER667" s="1504" t="e">
        <f t="shared" si="8"/>
        <v>#VALUE!</v>
      </c>
      <c r="ES667" s="1504"/>
      <c r="ET667" s="1504"/>
      <c r="EU667" s="1504"/>
      <c r="EV667" s="1504"/>
      <c r="EW667" s="1504" t="e">
        <f t="shared" si="9"/>
        <v>#VALUE!</v>
      </c>
      <c r="EX667" s="1504"/>
      <c r="EY667" s="1504"/>
      <c r="EZ667" s="1504"/>
      <c r="FA667" s="1504"/>
    </row>
    <row r="668" spans="1:157" ht="13" customHeight="1">
      <c r="A668" s="22"/>
      <c r="B668" t="s">
        <v>85</v>
      </c>
      <c r="G668" s="1432" t="s">
        <v>2658</v>
      </c>
      <c r="H668" s="1432"/>
      <c r="I668" s="1432"/>
      <c r="J668" s="1432"/>
      <c r="K668" s="1432"/>
      <c r="L668" s="1432"/>
      <c r="M668" s="1432"/>
      <c r="N668" s="1432"/>
      <c r="O668" s="1432"/>
      <c r="P668" s="1432"/>
      <c r="Q668" s="1432"/>
      <c r="R668" s="1432"/>
      <c r="T668" s="22"/>
      <c r="U668" t="s">
        <v>85</v>
      </c>
      <c r="Z668" s="1432" t="s">
        <v>2658</v>
      </c>
      <c r="AA668" s="1432"/>
      <c r="AB668" s="1432"/>
      <c r="AC668" s="1432"/>
      <c r="AD668" s="1432"/>
      <c r="AE668" s="1432"/>
      <c r="AF668" s="1432"/>
      <c r="AG668" s="1432"/>
      <c r="AH668" s="1432"/>
      <c r="AI668" s="1432"/>
      <c r="AJ668" s="1432"/>
      <c r="AK668" s="1432"/>
      <c r="AZ668" s="34"/>
      <c r="BA668" s="34"/>
      <c r="BB668" s="34"/>
      <c r="BC668" s="34"/>
      <c r="BD668" s="34"/>
      <c r="BE668" s="34"/>
      <c r="BF668" s="34"/>
      <c r="BG668" s="34"/>
      <c r="BH668" s="34"/>
      <c r="BI668" s="34"/>
      <c r="BJ668" s="34"/>
      <c r="BK668" s="34"/>
      <c r="BL668" s="34"/>
      <c r="BM668" s="34"/>
      <c r="DX668" s="1504" t="e">
        <f t="shared" si="4"/>
        <v>#VALUE!</v>
      </c>
      <c r="DY668" s="1504"/>
      <c r="DZ668" s="1504"/>
      <c r="EA668" s="1504"/>
      <c r="EB668" s="1504"/>
      <c r="EC668" s="1504" t="e">
        <f t="shared" si="5"/>
        <v>#VALUE!</v>
      </c>
      <c r="ED668" s="1504"/>
      <c r="EE668" s="1504"/>
      <c r="EF668" s="1504"/>
      <c r="EG668" s="1504"/>
      <c r="EH668" s="1504" t="e">
        <f t="shared" si="6"/>
        <v>#VALUE!</v>
      </c>
      <c r="EI668" s="1504"/>
      <c r="EJ668" s="1504"/>
      <c r="EK668" s="1504"/>
      <c r="EL668" s="1504"/>
      <c r="EM668" s="1504" t="e">
        <f t="shared" si="7"/>
        <v>#VALUE!</v>
      </c>
      <c r="EN668" s="1504"/>
      <c r="EO668" s="1504"/>
      <c r="EP668" s="1504"/>
      <c r="EQ668" s="1504"/>
      <c r="ER668" s="1504" t="e">
        <f t="shared" si="8"/>
        <v>#VALUE!</v>
      </c>
      <c r="ES668" s="1504"/>
      <c r="ET668" s="1504"/>
      <c r="EU668" s="1504"/>
      <c r="EV668" s="1504"/>
      <c r="EW668" s="1504" t="e">
        <f t="shared" si="9"/>
        <v>#VALUE!</v>
      </c>
      <c r="EX668" s="1504"/>
      <c r="EY668" s="1504"/>
      <c r="EZ668" s="1504"/>
      <c r="FA668" s="1504"/>
    </row>
    <row r="669" spans="1:157" ht="13" customHeight="1">
      <c r="A669" s="22"/>
      <c r="B669" t="s">
        <v>580</v>
      </c>
      <c r="G669" s="1432" t="s">
        <v>2649</v>
      </c>
      <c r="H669" s="1432"/>
      <c r="I669" s="1432"/>
      <c r="J669" s="1432"/>
      <c r="K669" s="1432"/>
      <c r="L669" s="1432"/>
      <c r="M669" s="1432"/>
      <c r="N669" s="1432"/>
      <c r="O669" s="1432"/>
      <c r="P669" s="1432"/>
      <c r="Q669" s="1432"/>
      <c r="R669" s="1432"/>
      <c r="T669" s="22"/>
      <c r="U669" t="s">
        <v>580</v>
      </c>
      <c r="Z669" s="1464" t="s">
        <v>2649</v>
      </c>
      <c r="AA669" s="1464"/>
      <c r="AB669" s="1464"/>
      <c r="AC669" s="1464"/>
      <c r="AD669" s="1464"/>
      <c r="AE669" s="1464"/>
      <c r="AF669" s="1464"/>
      <c r="AG669" s="1464"/>
      <c r="AH669" s="1464"/>
      <c r="AI669" s="1464"/>
      <c r="AJ669" s="1464"/>
      <c r="AK669" s="1464"/>
      <c r="AZ669" s="34"/>
      <c r="BA669" s="34"/>
      <c r="BB669" s="34"/>
      <c r="BC669" s="34"/>
      <c r="BD669" s="34"/>
      <c r="BE669" s="34"/>
      <c r="BF669" s="34"/>
      <c r="BG669" s="34"/>
      <c r="BH669" s="34"/>
      <c r="BI669" s="34"/>
      <c r="BJ669" s="34"/>
      <c r="BK669" s="34"/>
      <c r="BL669" s="34"/>
      <c r="BM669" s="34"/>
      <c r="DX669" s="1504" t="e">
        <f t="shared" si="4"/>
        <v>#VALUE!</v>
      </c>
      <c r="DY669" s="1504"/>
      <c r="DZ669" s="1504"/>
      <c r="EA669" s="1504"/>
      <c r="EB669" s="1504"/>
      <c r="EC669" s="1504" t="e">
        <f t="shared" si="5"/>
        <v>#VALUE!</v>
      </c>
      <c r="ED669" s="1504"/>
      <c r="EE669" s="1504"/>
      <c r="EF669" s="1504"/>
      <c r="EG669" s="1504"/>
      <c r="EH669" s="1504" t="e">
        <f t="shared" si="6"/>
        <v>#VALUE!</v>
      </c>
      <c r="EI669" s="1504"/>
      <c r="EJ669" s="1504"/>
      <c r="EK669" s="1504"/>
      <c r="EL669" s="1504"/>
      <c r="EM669" s="1504" t="e">
        <f t="shared" si="7"/>
        <v>#VALUE!</v>
      </c>
      <c r="EN669" s="1504"/>
      <c r="EO669" s="1504"/>
      <c r="EP669" s="1504"/>
      <c r="EQ669" s="1504"/>
      <c r="ER669" s="1504" t="e">
        <f t="shared" si="8"/>
        <v>#VALUE!</v>
      </c>
      <c r="ES669" s="1504"/>
      <c r="ET669" s="1504"/>
      <c r="EU669" s="1504"/>
      <c r="EV669" s="1504"/>
      <c r="EW669" s="1504" t="e">
        <f t="shared" si="9"/>
        <v>#VALUE!</v>
      </c>
      <c r="EX669" s="1504"/>
      <c r="EY669" s="1504"/>
      <c r="EZ669" s="1504"/>
      <c r="FA669" s="1504"/>
    </row>
    <row r="670" spans="1:157" ht="13" customHeight="1">
      <c r="A670" s="22"/>
      <c r="B670" t="s">
        <v>17</v>
      </c>
      <c r="G670" s="1432" t="s">
        <v>2646</v>
      </c>
      <c r="H670" s="1432"/>
      <c r="I670" s="1432"/>
      <c r="J670" s="1432"/>
      <c r="K670" s="1432"/>
      <c r="L670" s="1432"/>
      <c r="M670" s="1432"/>
      <c r="N670" s="1432"/>
      <c r="O670" s="1432"/>
      <c r="P670" s="1432"/>
      <c r="Q670" s="1432"/>
      <c r="R670" s="1432"/>
      <c r="T670" s="22"/>
      <c r="U670" t="s">
        <v>17</v>
      </c>
      <c r="Z670" s="1464" t="s">
        <v>2710</v>
      </c>
      <c r="AA670" s="1464"/>
      <c r="AB670" s="1464"/>
      <c r="AC670" s="1464"/>
      <c r="AD670" s="1464"/>
      <c r="AE670" s="1464"/>
      <c r="AF670" s="1464"/>
      <c r="AG670" s="1464"/>
      <c r="AH670" s="1464"/>
      <c r="AI670" s="1464"/>
      <c r="AJ670" s="1464"/>
      <c r="AK670" s="146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04" t="e">
        <f t="shared" si="4"/>
        <v>#VALUE!</v>
      </c>
      <c r="DY670" s="1504"/>
      <c r="DZ670" s="1504"/>
      <c r="EA670" s="1504"/>
      <c r="EB670" s="1504"/>
      <c r="EC670" s="1504" t="e">
        <f t="shared" si="5"/>
        <v>#VALUE!</v>
      </c>
      <c r="ED670" s="1504"/>
      <c r="EE670" s="1504"/>
      <c r="EF670" s="1504"/>
      <c r="EG670" s="1504"/>
      <c r="EH670" s="1504" t="e">
        <f t="shared" si="6"/>
        <v>#VALUE!</v>
      </c>
      <c r="EI670" s="1504"/>
      <c r="EJ670" s="1504"/>
      <c r="EK670" s="1504"/>
      <c r="EL670" s="1504"/>
      <c r="EM670" s="1504" t="e">
        <f t="shared" si="7"/>
        <v>#VALUE!</v>
      </c>
      <c r="EN670" s="1504"/>
      <c r="EO670" s="1504"/>
      <c r="EP670" s="1504"/>
      <c r="EQ670" s="1504"/>
      <c r="ER670" s="1504" t="e">
        <f t="shared" si="8"/>
        <v>#VALUE!</v>
      </c>
      <c r="ES670" s="1504"/>
      <c r="ET670" s="1504"/>
      <c r="EU670" s="1504"/>
      <c r="EV670" s="1504"/>
      <c r="EW670" s="1504" t="e">
        <f t="shared" si="9"/>
        <v>#VALUE!</v>
      </c>
      <c r="EX670" s="1504"/>
      <c r="EY670" s="1504"/>
      <c r="EZ670" s="1504"/>
      <c r="FA670" s="1504"/>
    </row>
    <row r="671" spans="1:157" ht="13" customHeight="1">
      <c r="A671" s="22"/>
      <c r="B671" t="s">
        <v>316</v>
      </c>
      <c r="G671" s="1431" t="str">
        <f>$G$589</f>
        <v>408-647-4720</v>
      </c>
      <c r="H671" s="1431"/>
      <c r="I671" s="1431"/>
      <c r="J671" s="1431"/>
      <c r="K671" s="1431"/>
      <c r="L671" s="1431"/>
      <c r="O671" s="33" t="s">
        <v>206</v>
      </c>
      <c r="P671" s="1453"/>
      <c r="Q671" s="1453"/>
      <c r="R671" s="1453"/>
      <c r="T671" s="22"/>
      <c r="U671" t="s">
        <v>316</v>
      </c>
      <c r="Z671" s="1431" t="str">
        <f>$G$589</f>
        <v>408-647-4720</v>
      </c>
      <c r="AA671" s="1431"/>
      <c r="AB671" s="1431"/>
      <c r="AC671" s="1431"/>
      <c r="AD671" s="1431"/>
      <c r="AE671" s="1431"/>
      <c r="AH671" s="33" t="s">
        <v>206</v>
      </c>
      <c r="AI671" s="1453"/>
      <c r="AJ671" s="1453"/>
      <c r="AK671" s="145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04" t="e">
        <f t="shared" si="4"/>
        <v>#VALUE!</v>
      </c>
      <c r="DY671" s="1504"/>
      <c r="DZ671" s="1504"/>
      <c r="EA671" s="1504"/>
      <c r="EB671" s="1504"/>
      <c r="EC671" s="1504" t="e">
        <f t="shared" si="5"/>
        <v>#VALUE!</v>
      </c>
      <c r="ED671" s="1504"/>
      <c r="EE671" s="1504"/>
      <c r="EF671" s="1504"/>
      <c r="EG671" s="1504"/>
      <c r="EH671" s="1504" t="e">
        <f t="shared" si="6"/>
        <v>#VALUE!</v>
      </c>
      <c r="EI671" s="1504"/>
      <c r="EJ671" s="1504"/>
      <c r="EK671" s="1504"/>
      <c r="EL671" s="1504"/>
      <c r="EM671" s="1504" t="e">
        <f t="shared" si="7"/>
        <v>#VALUE!</v>
      </c>
      <c r="EN671" s="1504"/>
      <c r="EO671" s="1504"/>
      <c r="EP671" s="1504"/>
      <c r="EQ671" s="1504"/>
      <c r="ER671" s="1504" t="e">
        <f t="shared" si="8"/>
        <v>#VALUE!</v>
      </c>
      <c r="ES671" s="1504"/>
      <c r="ET671" s="1504"/>
      <c r="EU671" s="1504"/>
      <c r="EV671" s="1504"/>
      <c r="EW671" s="1504" t="e">
        <f t="shared" si="9"/>
        <v>#VALUE!</v>
      </c>
      <c r="EX671" s="1504"/>
      <c r="EY671" s="1504"/>
      <c r="EZ671" s="1504"/>
      <c r="FA671" s="1504"/>
    </row>
    <row r="672" spans="1:157" ht="13" customHeight="1">
      <c r="A672" s="22"/>
      <c r="B672" t="s">
        <v>18</v>
      </c>
      <c r="H672" s="1432" t="str">
        <f>G667</f>
        <v>Developer Equity</v>
      </c>
      <c r="I672" s="1432"/>
      <c r="J672" s="1432"/>
      <c r="K672" s="1432"/>
      <c r="L672" s="1432"/>
      <c r="M672" s="1432"/>
      <c r="N672" s="1432"/>
      <c r="O672" s="1432"/>
      <c r="P672" s="1432"/>
      <c r="Q672" s="1432"/>
      <c r="R672" s="1432"/>
      <c r="T672" s="22"/>
      <c r="U672" t="s">
        <v>18</v>
      </c>
      <c r="AA672" s="1432" t="s">
        <v>2729</v>
      </c>
      <c r="AB672" s="1432"/>
      <c r="AC672" s="1432"/>
      <c r="AD672" s="1432"/>
      <c r="AE672" s="1432"/>
      <c r="AF672" s="1432"/>
      <c r="AG672" s="1432"/>
      <c r="AH672" s="1432"/>
      <c r="AI672" s="1432"/>
      <c r="AJ672" s="1432"/>
      <c r="AK672" s="143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04" t="e">
        <f t="shared" si="4"/>
        <v>#VALUE!</v>
      </c>
      <c r="DY672" s="1504"/>
      <c r="DZ672" s="1504"/>
      <c r="EA672" s="1504"/>
      <c r="EB672" s="1504"/>
      <c r="EC672" s="1504" t="e">
        <f t="shared" si="5"/>
        <v>#VALUE!</v>
      </c>
      <c r="ED672" s="1504"/>
      <c r="EE672" s="1504"/>
      <c r="EF672" s="1504"/>
      <c r="EG672" s="1504"/>
      <c r="EH672" s="1504" t="e">
        <f t="shared" si="6"/>
        <v>#VALUE!</v>
      </c>
      <c r="EI672" s="1504"/>
      <c r="EJ672" s="1504"/>
      <c r="EK672" s="1504"/>
      <c r="EL672" s="1504"/>
      <c r="EM672" s="1504" t="e">
        <f t="shared" si="7"/>
        <v>#VALUE!</v>
      </c>
      <c r="EN672" s="1504"/>
      <c r="EO672" s="1504"/>
      <c r="EP672" s="1504"/>
      <c r="EQ672" s="1504"/>
      <c r="ER672" s="1504" t="e">
        <f t="shared" si="8"/>
        <v>#VALUE!</v>
      </c>
      <c r="ES672" s="1504"/>
      <c r="ET672" s="1504"/>
      <c r="EU672" s="1504"/>
      <c r="EV672" s="1504"/>
      <c r="EW672" s="1504" t="e">
        <f t="shared" si="9"/>
        <v>#VALUE!</v>
      </c>
      <c r="EX672" s="1504"/>
      <c r="EY672" s="1504"/>
      <c r="EZ672" s="1504"/>
      <c r="FA672" s="1504"/>
    </row>
    <row r="673" spans="1:157" ht="13" customHeight="1">
      <c r="A673" s="22"/>
      <c r="B673" t="s">
        <v>20</v>
      </c>
      <c r="N673" s="1340" t="s">
        <v>545</v>
      </c>
      <c r="O673" s="1340"/>
      <c r="T673" s="22"/>
      <c r="U673" t="s">
        <v>20</v>
      </c>
      <c r="AG673" s="1340" t="s">
        <v>545</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04" t="e">
        <f t="shared" si="4"/>
        <v>#VALUE!</v>
      </c>
      <c r="DY673" s="1504"/>
      <c r="DZ673" s="1504"/>
      <c r="EA673" s="1504"/>
      <c r="EB673" s="1504"/>
      <c r="EC673" s="1504" t="e">
        <f t="shared" si="5"/>
        <v>#VALUE!</v>
      </c>
      <c r="ED673" s="1504"/>
      <c r="EE673" s="1504"/>
      <c r="EF673" s="1504"/>
      <c r="EG673" s="1504"/>
      <c r="EH673" s="1504" t="e">
        <f t="shared" si="6"/>
        <v>#VALUE!</v>
      </c>
      <c r="EI673" s="1504"/>
      <c r="EJ673" s="1504"/>
      <c r="EK673" s="1504"/>
      <c r="EL673" s="1504"/>
      <c r="EM673" s="1504" t="e">
        <f t="shared" si="7"/>
        <v>#VALUE!</v>
      </c>
      <c r="EN673" s="1504"/>
      <c r="EO673" s="1504"/>
      <c r="EP673" s="1504"/>
      <c r="EQ673" s="1504"/>
      <c r="ER673" s="1504" t="e">
        <f t="shared" si="8"/>
        <v>#VALUE!</v>
      </c>
      <c r="ES673" s="1504"/>
      <c r="ET673" s="1504"/>
      <c r="EU673" s="1504"/>
      <c r="EV673" s="1504"/>
      <c r="EW673" s="1504" t="e">
        <f t="shared" si="9"/>
        <v>#VALUE!</v>
      </c>
      <c r="EX673" s="1504"/>
      <c r="EY673" s="1504"/>
      <c r="EZ673" s="1504"/>
      <c r="FA673" s="150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04" t="e">
        <f t="shared" si="4"/>
        <v>#VALUE!</v>
      </c>
      <c r="DY674" s="1504"/>
      <c r="DZ674" s="1504"/>
      <c r="EA674" s="1504"/>
      <c r="EB674" s="1504"/>
      <c r="EC674" s="1504" t="e">
        <f t="shared" si="5"/>
        <v>#VALUE!</v>
      </c>
      <c r="ED674" s="1504"/>
      <c r="EE674" s="1504"/>
      <c r="EF674" s="1504"/>
      <c r="EG674" s="1504"/>
      <c r="EH674" s="1504" t="e">
        <f t="shared" si="6"/>
        <v>#VALUE!</v>
      </c>
      <c r="EI674" s="1504"/>
      <c r="EJ674" s="1504"/>
      <c r="EK674" s="1504"/>
      <c r="EL674" s="1504"/>
      <c r="EM674" s="1504" t="e">
        <f t="shared" si="7"/>
        <v>#VALUE!</v>
      </c>
      <c r="EN674" s="1504"/>
      <c r="EO674" s="1504"/>
      <c r="EP674" s="1504"/>
      <c r="EQ674" s="1504"/>
      <c r="ER674" s="1504" t="e">
        <f t="shared" si="8"/>
        <v>#VALUE!</v>
      </c>
      <c r="ES674" s="1504"/>
      <c r="ET674" s="1504"/>
      <c r="EU674" s="1504"/>
      <c r="EV674" s="1504"/>
      <c r="EW674" s="1504" t="e">
        <f t="shared" si="9"/>
        <v>#VALUE!</v>
      </c>
      <c r="EX674" s="1504"/>
      <c r="EY674" s="1504"/>
      <c r="EZ674" s="1504"/>
      <c r="FA674" s="1504"/>
    </row>
    <row r="675" spans="1:157" ht="13" customHeight="1">
      <c r="A675" s="55" t="s">
        <v>455</v>
      </c>
      <c r="B675" t="s">
        <v>463</v>
      </c>
      <c r="G675" s="1437" t="str">
        <f>C641</f>
        <v>Bay Area Affordable Housing Loan</v>
      </c>
      <c r="H675" s="1437"/>
      <c r="I675" s="1437"/>
      <c r="J675" s="1437"/>
      <c r="K675" s="1437"/>
      <c r="L675" s="1437"/>
      <c r="M675" s="1437"/>
      <c r="N675" s="1437"/>
      <c r="O675" s="1437"/>
      <c r="P675" s="1437"/>
      <c r="Q675" s="1437"/>
      <c r="R675" s="1437"/>
      <c r="T675" s="55" t="s">
        <v>456</v>
      </c>
      <c r="U675" t="s">
        <v>463</v>
      </c>
      <c r="Z675" s="1437" t="str">
        <f>C642</f>
        <v>GP Equity</v>
      </c>
      <c r="AA675" s="1437"/>
      <c r="AB675" s="1437"/>
      <c r="AC675" s="1437"/>
      <c r="AD675" s="1437"/>
      <c r="AE675" s="1437"/>
      <c r="AF675" s="1437"/>
      <c r="AG675" s="1437"/>
      <c r="AH675" s="1437"/>
      <c r="AI675" s="1437"/>
      <c r="AJ675" s="1437"/>
      <c r="AK675" s="143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04" t="e">
        <f t="shared" si="4"/>
        <v>#VALUE!</v>
      </c>
      <c r="DY675" s="1504"/>
      <c r="DZ675" s="1504"/>
      <c r="EA675" s="1504"/>
      <c r="EB675" s="1504"/>
      <c r="EC675" s="1504" t="e">
        <f t="shared" si="5"/>
        <v>#VALUE!</v>
      </c>
      <c r="ED675" s="1504"/>
      <c r="EE675" s="1504"/>
      <c r="EF675" s="1504"/>
      <c r="EG675" s="1504"/>
      <c r="EH675" s="1504" t="e">
        <f t="shared" si="6"/>
        <v>#VALUE!</v>
      </c>
      <c r="EI675" s="1504"/>
      <c r="EJ675" s="1504"/>
      <c r="EK675" s="1504"/>
      <c r="EL675" s="1504"/>
      <c r="EM675" s="1504" t="e">
        <f t="shared" si="7"/>
        <v>#VALUE!</v>
      </c>
      <c r="EN675" s="1504"/>
      <c r="EO675" s="1504"/>
      <c r="EP675" s="1504"/>
      <c r="EQ675" s="1504"/>
      <c r="ER675" s="1504" t="e">
        <f t="shared" si="8"/>
        <v>#VALUE!</v>
      </c>
      <c r="ES675" s="1504"/>
      <c r="ET675" s="1504"/>
      <c r="EU675" s="1504"/>
      <c r="EV675" s="1504"/>
      <c r="EW675" s="1504" t="e">
        <f t="shared" si="9"/>
        <v>#VALUE!</v>
      </c>
      <c r="EX675" s="1504"/>
      <c r="EY675" s="1504"/>
      <c r="EZ675" s="1504"/>
      <c r="FA675" s="1504"/>
    </row>
    <row r="676" spans="1:157" ht="13" customHeight="1">
      <c r="A676" s="22"/>
      <c r="B676" t="s">
        <v>85</v>
      </c>
      <c r="G676" s="1432" t="s">
        <v>2658</v>
      </c>
      <c r="H676" s="1432"/>
      <c r="I676" s="1432"/>
      <c r="J676" s="1432"/>
      <c r="K676" s="1432"/>
      <c r="L676" s="1432"/>
      <c r="M676" s="1432"/>
      <c r="N676" s="1432"/>
      <c r="O676" s="1432"/>
      <c r="P676" s="1432"/>
      <c r="Q676" s="1432"/>
      <c r="R676" s="1432"/>
      <c r="T676" s="22"/>
      <c r="U676" t="s">
        <v>85</v>
      </c>
      <c r="Z676" s="1432" t="str">
        <f>G660</f>
        <v>1015 Saint Joseph Ave</v>
      </c>
      <c r="AA676" s="1432"/>
      <c r="AB676" s="1432"/>
      <c r="AC676" s="1432"/>
      <c r="AD676" s="1432"/>
      <c r="AE676" s="1432"/>
      <c r="AF676" s="1432"/>
      <c r="AG676" s="1432"/>
      <c r="AH676" s="1432"/>
      <c r="AI676" s="1432"/>
      <c r="AJ676" s="1432"/>
      <c r="AK676" s="143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04" t="e">
        <f t="shared" si="4"/>
        <v>#VALUE!</v>
      </c>
      <c r="DY676" s="1504"/>
      <c r="DZ676" s="1504"/>
      <c r="EA676" s="1504"/>
      <c r="EB676" s="1504"/>
      <c r="EC676" s="1504" t="e">
        <f t="shared" si="5"/>
        <v>#VALUE!</v>
      </c>
      <c r="ED676" s="1504"/>
      <c r="EE676" s="1504"/>
      <c r="EF676" s="1504"/>
      <c r="EG676" s="1504"/>
      <c r="EH676" s="1504" t="e">
        <f t="shared" si="6"/>
        <v>#VALUE!</v>
      </c>
      <c r="EI676" s="1504"/>
      <c r="EJ676" s="1504"/>
      <c r="EK676" s="1504"/>
      <c r="EL676" s="1504"/>
      <c r="EM676" s="1504" t="e">
        <f t="shared" si="7"/>
        <v>#VALUE!</v>
      </c>
      <c r="EN676" s="1504"/>
      <c r="EO676" s="1504"/>
      <c r="EP676" s="1504"/>
      <c r="EQ676" s="1504"/>
      <c r="ER676" s="1504" t="e">
        <f t="shared" si="8"/>
        <v>#VALUE!</v>
      </c>
      <c r="ES676" s="1504"/>
      <c r="ET676" s="1504"/>
      <c r="EU676" s="1504"/>
      <c r="EV676" s="1504"/>
      <c r="EW676" s="1504" t="e">
        <f t="shared" si="9"/>
        <v>#VALUE!</v>
      </c>
      <c r="EX676" s="1504"/>
      <c r="EY676" s="1504"/>
      <c r="EZ676" s="1504"/>
      <c r="FA676" s="1504"/>
    </row>
    <row r="677" spans="1:157" ht="13" customHeight="1">
      <c r="A677" s="22"/>
      <c r="B677" t="s">
        <v>580</v>
      </c>
      <c r="G677" s="1432" t="s">
        <v>2649</v>
      </c>
      <c r="H677" s="1432"/>
      <c r="I677" s="1432"/>
      <c r="J677" s="1432"/>
      <c r="K677" s="1432"/>
      <c r="L677" s="1432"/>
      <c r="M677" s="1432"/>
      <c r="N677" s="1432"/>
      <c r="O677" s="1432"/>
      <c r="P677" s="1432"/>
      <c r="Q677" s="1432"/>
      <c r="R677" s="1432"/>
      <c r="T677" s="22"/>
      <c r="U677" t="s">
        <v>580</v>
      </c>
      <c r="Z677" s="1464" t="str">
        <f>G661</f>
        <v>Los Altos</v>
      </c>
      <c r="AA677" s="1464"/>
      <c r="AB677" s="1464"/>
      <c r="AC677" s="1464"/>
      <c r="AD677" s="1464"/>
      <c r="AE677" s="1464"/>
      <c r="AF677" s="1464"/>
      <c r="AG677" s="1464"/>
      <c r="AH677" s="1464"/>
      <c r="AI677" s="1464"/>
      <c r="AJ677" s="1464"/>
      <c r="AK677" s="146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04" t="e">
        <f t="shared" si="4"/>
        <v>#VALUE!</v>
      </c>
      <c r="DY677" s="1504"/>
      <c r="DZ677" s="1504"/>
      <c r="EA677" s="1504"/>
      <c r="EB677" s="1504"/>
      <c r="EC677" s="1504" t="e">
        <f t="shared" si="5"/>
        <v>#VALUE!</v>
      </c>
      <c r="ED677" s="1504"/>
      <c r="EE677" s="1504"/>
      <c r="EF677" s="1504"/>
      <c r="EG677" s="1504"/>
      <c r="EH677" s="1504" t="e">
        <f t="shared" si="6"/>
        <v>#VALUE!</v>
      </c>
      <c r="EI677" s="1504"/>
      <c r="EJ677" s="1504"/>
      <c r="EK677" s="1504"/>
      <c r="EL677" s="1504"/>
      <c r="EM677" s="1504" t="e">
        <f t="shared" si="7"/>
        <v>#VALUE!</v>
      </c>
      <c r="EN677" s="1504"/>
      <c r="EO677" s="1504"/>
      <c r="EP677" s="1504"/>
      <c r="EQ677" s="1504"/>
      <c r="ER677" s="1504" t="e">
        <f t="shared" si="8"/>
        <v>#VALUE!</v>
      </c>
      <c r="ES677" s="1504"/>
      <c r="ET677" s="1504"/>
      <c r="EU677" s="1504"/>
      <c r="EV677" s="1504"/>
      <c r="EW677" s="1504" t="e">
        <f t="shared" si="9"/>
        <v>#VALUE!</v>
      </c>
      <c r="EX677" s="1504"/>
      <c r="EY677" s="1504"/>
      <c r="EZ677" s="1504"/>
      <c r="FA677" s="1504"/>
    </row>
    <row r="678" spans="1:157" ht="13" customHeight="1">
      <c r="A678" s="22"/>
      <c r="B678" t="s">
        <v>17</v>
      </c>
      <c r="G678" s="1426" t="s">
        <v>2725</v>
      </c>
      <c r="H678" s="1432"/>
      <c r="I678" s="1432"/>
      <c r="J678" s="1432"/>
      <c r="K678" s="1432"/>
      <c r="L678" s="1432"/>
      <c r="M678" s="1432"/>
      <c r="N678" s="1432"/>
      <c r="O678" s="1432"/>
      <c r="P678" s="1432"/>
      <c r="Q678" s="1432"/>
      <c r="R678" s="1432"/>
      <c r="T678" s="22"/>
      <c r="U678" t="s">
        <v>17</v>
      </c>
      <c r="Z678" s="1464" t="str">
        <f>G662</f>
        <v>Punit Bhargava</v>
      </c>
      <c r="AA678" s="1464"/>
      <c r="AB678" s="1464"/>
      <c r="AC678" s="1464"/>
      <c r="AD678" s="1464"/>
      <c r="AE678" s="1464"/>
      <c r="AF678" s="1464"/>
      <c r="AG678" s="1464"/>
      <c r="AH678" s="1464"/>
      <c r="AI678" s="1464"/>
      <c r="AJ678" s="1464"/>
      <c r="AK678" s="146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04">
        <f>SUMIF(DX643:EB677,"&gt;0")</f>
        <v>958.21276595744678</v>
      </c>
      <c r="DY678" s="1504"/>
      <c r="DZ678" s="1504"/>
      <c r="EA678" s="1504"/>
      <c r="EB678" s="1504"/>
      <c r="EC678" s="1504">
        <f>SUMIF(EC643:EG677,"&gt;0")</f>
        <v>0</v>
      </c>
      <c r="ED678" s="1504"/>
      <c r="EE678" s="1504"/>
      <c r="EF678" s="1504"/>
      <c r="EG678" s="1504"/>
      <c r="EH678" s="1504">
        <f>SUMIF(EH643:EL677,"&gt;0")</f>
        <v>2062.1666666666665</v>
      </c>
      <c r="EI678" s="1504"/>
      <c r="EJ678" s="1504"/>
      <c r="EK678" s="1504"/>
      <c r="EL678" s="1504"/>
      <c r="EM678" s="1504">
        <f>SUMIF(EM643:EQ677,"&gt;0")</f>
        <v>2359</v>
      </c>
      <c r="EN678" s="1504"/>
      <c r="EO678" s="1504"/>
      <c r="EP678" s="1504"/>
      <c r="EQ678" s="1504"/>
      <c r="ER678" s="1504">
        <f>SUMIF(ER643:EV677,"&gt;0")</f>
        <v>0</v>
      </c>
      <c r="ES678" s="1504"/>
      <c r="ET678" s="1504"/>
      <c r="EU678" s="1504"/>
      <c r="EV678" s="1504"/>
      <c r="EW678" s="1504">
        <f>SUMIF(EW643:FA677,"&gt;0")</f>
        <v>0</v>
      </c>
      <c r="EX678" s="1504"/>
      <c r="EY678" s="1504"/>
      <c r="EZ678" s="1504"/>
      <c r="FA678" s="1504"/>
    </row>
    <row r="679" spans="1:157" ht="13" customHeight="1">
      <c r="A679" s="22"/>
      <c r="B679" t="s">
        <v>316</v>
      </c>
      <c r="G679" s="1431" t="str">
        <f>$G$589</f>
        <v>408-647-4720</v>
      </c>
      <c r="H679" s="1431"/>
      <c r="I679" s="1431"/>
      <c r="J679" s="1431"/>
      <c r="K679" s="1431"/>
      <c r="L679" s="1431"/>
      <c r="O679" s="33" t="s">
        <v>206</v>
      </c>
      <c r="P679" s="1453"/>
      <c r="Q679" s="1453"/>
      <c r="R679" s="1453"/>
      <c r="T679" s="22"/>
      <c r="U679" t="s">
        <v>316</v>
      </c>
      <c r="Z679" s="1431" t="str">
        <f>G663</f>
        <v>408-647-4720</v>
      </c>
      <c r="AA679" s="1431"/>
      <c r="AB679" s="1431"/>
      <c r="AC679" s="1431"/>
      <c r="AD679" s="1431"/>
      <c r="AE679" s="1431"/>
      <c r="AH679" s="33" t="s">
        <v>206</v>
      </c>
      <c r="AI679" s="1453"/>
      <c r="AJ679" s="1453"/>
      <c r="AK679" s="145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2" t="s">
        <v>2730</v>
      </c>
      <c r="I680" s="1432"/>
      <c r="J680" s="1432"/>
      <c r="K680" s="1432"/>
      <c r="L680" s="1432"/>
      <c r="M680" s="1432"/>
      <c r="N680" s="1432"/>
      <c r="O680" s="1432"/>
      <c r="P680" s="1432"/>
      <c r="Q680" s="1432"/>
      <c r="R680" s="1432"/>
      <c r="T680" s="22"/>
      <c r="U680" t="s">
        <v>18</v>
      </c>
      <c r="AA680" s="1426" t="s">
        <v>2728</v>
      </c>
      <c r="AB680" s="1432"/>
      <c r="AC680" s="1432"/>
      <c r="AD680" s="1432"/>
      <c r="AE680" s="1432"/>
      <c r="AF680" s="1432"/>
      <c r="AG680" s="1432"/>
      <c r="AH680" s="1432"/>
      <c r="AI680" s="1432"/>
      <c r="AJ680" s="1432"/>
      <c r="AK680" s="143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0" t="s">
        <v>545</v>
      </c>
      <c r="O681" s="1340"/>
      <c r="T681" s="22"/>
      <c r="U681" t="s">
        <v>20</v>
      </c>
      <c r="AG681" s="1340" t="s">
        <v>545</v>
      </c>
      <c r="AH681" s="1340"/>
      <c r="AZ681" s="3"/>
    </row>
    <row r="682" spans="1:157" ht="13" customHeight="1">
      <c r="A682" s="22"/>
      <c r="T682" s="22"/>
      <c r="AZ682" s="3"/>
    </row>
    <row r="683" spans="1:157" ht="13" customHeight="1">
      <c r="A683" s="55" t="s">
        <v>461</v>
      </c>
      <c r="B683" t="s">
        <v>463</v>
      </c>
      <c r="G683" s="1437">
        <f>C643</f>
        <v>0</v>
      </c>
      <c r="H683" s="1437"/>
      <c r="I683" s="1437"/>
      <c r="J683" s="1437"/>
      <c r="K683" s="1437"/>
      <c r="L683" s="1437"/>
      <c r="M683" s="1437"/>
      <c r="N683" s="1437"/>
      <c r="O683" s="1437"/>
      <c r="P683" s="1437"/>
      <c r="Q683" s="1437"/>
      <c r="R683" s="1437"/>
      <c r="T683" s="55" t="s">
        <v>646</v>
      </c>
      <c r="U683" t="s">
        <v>463</v>
      </c>
      <c r="Z683" s="1437">
        <f>C644</f>
        <v>0</v>
      </c>
      <c r="AA683" s="1437"/>
      <c r="AB683" s="1437"/>
      <c r="AC683" s="1437"/>
      <c r="AD683" s="1437"/>
      <c r="AE683" s="1437"/>
      <c r="AF683" s="1437"/>
      <c r="AG683" s="1437"/>
      <c r="AH683" s="1437"/>
      <c r="AI683" s="1437"/>
      <c r="AJ683" s="1437"/>
      <c r="AK683" s="1437"/>
      <c r="AZ683" s="3"/>
    </row>
    <row r="684" spans="1:157" ht="13" customHeight="1">
      <c r="A684" s="22"/>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row>
    <row r="685" spans="1:157" ht="13" customHeight="1">
      <c r="A685" s="22"/>
      <c r="B685" t="s">
        <v>580</v>
      </c>
      <c r="G685" s="1432"/>
      <c r="H685" s="1432"/>
      <c r="I685" s="1432"/>
      <c r="J685" s="1432"/>
      <c r="K685" s="1432"/>
      <c r="L685" s="1432"/>
      <c r="M685" s="1432"/>
      <c r="N685" s="1432"/>
      <c r="O685" s="1432"/>
      <c r="P685" s="1432"/>
      <c r="Q685" s="1432"/>
      <c r="R685" s="1432"/>
      <c r="T685" s="22"/>
      <c r="U685" t="s">
        <v>580</v>
      </c>
      <c r="Z685" s="1464"/>
      <c r="AA685" s="1464"/>
      <c r="AB685" s="1464"/>
      <c r="AC685" s="1464"/>
      <c r="AD685" s="1464"/>
      <c r="AE685" s="1464"/>
      <c r="AF685" s="1464"/>
      <c r="AG685" s="1464"/>
      <c r="AH685" s="1464"/>
      <c r="AI685" s="1464"/>
      <c r="AJ685" s="1464"/>
      <c r="AK685" s="1464"/>
      <c r="AZ685" s="3"/>
    </row>
    <row r="686" spans="1:157" ht="13" customHeight="1">
      <c r="A686" s="22"/>
      <c r="B686" t="s">
        <v>17</v>
      </c>
      <c r="G686" s="1432"/>
      <c r="H686" s="1432"/>
      <c r="I686" s="1432"/>
      <c r="J686" s="1432"/>
      <c r="K686" s="1432"/>
      <c r="L686" s="1432"/>
      <c r="M686" s="1432"/>
      <c r="N686" s="1432"/>
      <c r="O686" s="1432"/>
      <c r="P686" s="1432"/>
      <c r="Q686" s="1432"/>
      <c r="R686" s="1432"/>
      <c r="T686" s="22"/>
      <c r="U686" t="s">
        <v>17</v>
      </c>
      <c r="Z686" s="1464"/>
      <c r="AA686" s="1464"/>
      <c r="AB686" s="1464"/>
      <c r="AC686" s="1464"/>
      <c r="AD686" s="1464"/>
      <c r="AE686" s="1464"/>
      <c r="AF686" s="1464"/>
      <c r="AG686" s="1464"/>
      <c r="AH686" s="1464"/>
      <c r="AI686" s="1464"/>
      <c r="AJ686" s="1464"/>
      <c r="AK686" s="1464"/>
      <c r="AZ686" s="3"/>
    </row>
    <row r="687" spans="1:157" ht="13" customHeight="1">
      <c r="A687" s="22"/>
      <c r="B687" t="s">
        <v>316</v>
      </c>
      <c r="G687" s="1431"/>
      <c r="H687" s="1431"/>
      <c r="I687" s="1431"/>
      <c r="J687" s="1431"/>
      <c r="K687" s="1431"/>
      <c r="L687" s="1431"/>
      <c r="O687" s="33" t="s">
        <v>206</v>
      </c>
      <c r="P687" s="1453"/>
      <c r="Q687" s="1453"/>
      <c r="R687" s="1453"/>
      <c r="T687" s="22"/>
      <c r="U687" t="s">
        <v>316</v>
      </c>
      <c r="Z687" s="1431"/>
      <c r="AA687" s="1431"/>
      <c r="AB687" s="1431"/>
      <c r="AC687" s="1431"/>
      <c r="AD687" s="1431"/>
      <c r="AE687" s="1431"/>
      <c r="AH687" s="33" t="s">
        <v>206</v>
      </c>
      <c r="AI687" s="1453"/>
      <c r="AJ687" s="1453"/>
      <c r="AK687" s="1453"/>
      <c r="AZ687" s="3"/>
    </row>
    <row r="688" spans="1:157" ht="13" customHeight="1">
      <c r="A688" s="22"/>
      <c r="B688" t="s">
        <v>18</v>
      </c>
      <c r="H688" s="1432"/>
      <c r="I688" s="1432"/>
      <c r="J688" s="1432"/>
      <c r="K688" s="1432"/>
      <c r="L688" s="1432"/>
      <c r="M688" s="1432"/>
      <c r="N688" s="1432"/>
      <c r="O688" s="1432"/>
      <c r="P688" s="1432"/>
      <c r="Q688" s="1432"/>
      <c r="R688" s="1432"/>
      <c r="T688" s="22"/>
      <c r="U688" t="s">
        <v>18</v>
      </c>
      <c r="AA688" s="1432"/>
      <c r="AB688" s="1432"/>
      <c r="AC688" s="1432"/>
      <c r="AD688" s="1432"/>
      <c r="AE688" s="1432"/>
      <c r="AF688" s="1432"/>
      <c r="AG688" s="1432"/>
      <c r="AH688" s="1432"/>
      <c r="AI688" s="1432"/>
      <c r="AJ688" s="1432"/>
      <c r="AK688" s="1432"/>
      <c r="AZ688" s="3"/>
    </row>
    <row r="689" spans="1:52" ht="13" customHeight="1">
      <c r="A689" s="22"/>
      <c r="B689" t="s">
        <v>20</v>
      </c>
      <c r="N689" s="1340" t="s">
        <v>669</v>
      </c>
      <c r="O689" s="1340"/>
      <c r="T689" s="22"/>
      <c r="U689" t="s">
        <v>20</v>
      </c>
      <c r="AG689" s="1340" t="s">
        <v>669</v>
      </c>
      <c r="AH689" s="1340"/>
      <c r="AZ689" s="3"/>
    </row>
    <row r="690" spans="1:52" ht="13" customHeight="1">
      <c r="A690" s="22"/>
      <c r="T690" s="22"/>
      <c r="AZ690" s="3"/>
    </row>
    <row r="691" spans="1:52" ht="13" customHeight="1">
      <c r="A691" s="55" t="s">
        <v>362</v>
      </c>
      <c r="B691" t="s">
        <v>463</v>
      </c>
      <c r="G691" s="1437">
        <f>C645</f>
        <v>0</v>
      </c>
      <c r="H691" s="1437"/>
      <c r="I691" s="1437"/>
      <c r="J691" s="1437"/>
      <c r="K691" s="1437"/>
      <c r="L691" s="1437"/>
      <c r="M691" s="1437"/>
      <c r="N691" s="1437"/>
      <c r="O691" s="1437"/>
      <c r="P691" s="1437"/>
      <c r="Q691" s="1437"/>
      <c r="R691" s="1437"/>
      <c r="T691" s="55" t="s">
        <v>363</v>
      </c>
      <c r="U691" t="s">
        <v>463</v>
      </c>
      <c r="Z691" s="1437">
        <f>C646</f>
        <v>0</v>
      </c>
      <c r="AA691" s="1437"/>
      <c r="AB691" s="1437"/>
      <c r="AC691" s="1437"/>
      <c r="AD691" s="1437"/>
      <c r="AE691" s="1437"/>
      <c r="AF691" s="1437"/>
      <c r="AG691" s="1437"/>
      <c r="AH691" s="1437"/>
      <c r="AI691" s="1437"/>
      <c r="AJ691" s="1437"/>
      <c r="AK691" s="1437"/>
      <c r="AZ691" s="3"/>
    </row>
    <row r="692" spans="1:52" ht="13" customHeight="1">
      <c r="B692" t="s">
        <v>85</v>
      </c>
      <c r="G692" s="1432"/>
      <c r="H692" s="1432"/>
      <c r="I692" s="1432"/>
      <c r="J692" s="1432"/>
      <c r="K692" s="1432"/>
      <c r="L692" s="1432"/>
      <c r="M692" s="1432"/>
      <c r="N692" s="1432"/>
      <c r="O692" s="1432"/>
      <c r="P692" s="1432"/>
      <c r="Q692" s="1432"/>
      <c r="R692" s="1432"/>
      <c r="T692" s="22"/>
      <c r="U692" t="s">
        <v>85</v>
      </c>
      <c r="Z692" s="1432"/>
      <c r="AA692" s="1432"/>
      <c r="AB692" s="1432"/>
      <c r="AC692" s="1432"/>
      <c r="AD692" s="1432"/>
      <c r="AE692" s="1432"/>
      <c r="AF692" s="1432"/>
      <c r="AG692" s="1432"/>
      <c r="AH692" s="1432"/>
      <c r="AI692" s="1432"/>
      <c r="AJ692" s="1432"/>
      <c r="AK692" s="1432"/>
      <c r="AZ692" s="3"/>
    </row>
    <row r="693" spans="1:52" ht="13" customHeight="1">
      <c r="B693" t="s">
        <v>580</v>
      </c>
      <c r="G693" s="1432"/>
      <c r="H693" s="1432"/>
      <c r="I693" s="1432"/>
      <c r="J693" s="1432"/>
      <c r="K693" s="1432"/>
      <c r="L693" s="1432"/>
      <c r="M693" s="1432"/>
      <c r="N693" s="1432"/>
      <c r="O693" s="1432"/>
      <c r="P693" s="1432"/>
      <c r="Q693" s="1432"/>
      <c r="R693" s="1432"/>
      <c r="U693" t="s">
        <v>580</v>
      </c>
      <c r="Z693" s="1464"/>
      <c r="AA693" s="1464"/>
      <c r="AB693" s="1464"/>
      <c r="AC693" s="1464"/>
      <c r="AD693" s="1464"/>
      <c r="AE693" s="1464"/>
      <c r="AF693" s="1464"/>
      <c r="AG693" s="1464"/>
      <c r="AH693" s="1464"/>
      <c r="AI693" s="1464"/>
      <c r="AJ693" s="1464"/>
      <c r="AK693" s="1464"/>
      <c r="AZ693" s="3"/>
    </row>
    <row r="694" spans="1:52" ht="13" customHeight="1">
      <c r="B694" t="s">
        <v>17</v>
      </c>
      <c r="G694" s="1432"/>
      <c r="H694" s="1432"/>
      <c r="I694" s="1432"/>
      <c r="J694" s="1432"/>
      <c r="K694" s="1432"/>
      <c r="L694" s="1432"/>
      <c r="M694" s="1432"/>
      <c r="N694" s="1432"/>
      <c r="O694" s="1432"/>
      <c r="P694" s="1432"/>
      <c r="Q694" s="1432"/>
      <c r="R694" s="1432"/>
      <c r="U694" t="s">
        <v>17</v>
      </c>
      <c r="Z694" s="1464"/>
      <c r="AA694" s="1464"/>
      <c r="AB694" s="1464"/>
      <c r="AC694" s="1464"/>
      <c r="AD694" s="1464"/>
      <c r="AE694" s="1464"/>
      <c r="AF694" s="1464"/>
      <c r="AG694" s="1464"/>
      <c r="AH694" s="1464"/>
      <c r="AI694" s="1464"/>
      <c r="AJ694" s="1464"/>
      <c r="AK694" s="1464"/>
      <c r="AZ694" s="3"/>
    </row>
    <row r="695" spans="1:52" ht="13" customHeight="1">
      <c r="B695" t="s">
        <v>316</v>
      </c>
      <c r="G695" s="1431"/>
      <c r="H695" s="1431"/>
      <c r="I695" s="1431"/>
      <c r="J695" s="1431"/>
      <c r="K695" s="1431"/>
      <c r="L695" s="1431"/>
      <c r="O695" s="33" t="s">
        <v>206</v>
      </c>
      <c r="P695" s="1453"/>
      <c r="Q695" s="1453"/>
      <c r="R695" s="1453"/>
      <c r="U695" t="s">
        <v>316</v>
      </c>
      <c r="Z695" s="1431"/>
      <c r="AA695" s="1431"/>
      <c r="AB695" s="1431"/>
      <c r="AC695" s="1431"/>
      <c r="AD695" s="1431"/>
      <c r="AE695" s="1431"/>
      <c r="AH695" s="33" t="s">
        <v>206</v>
      </c>
      <c r="AI695" s="1453"/>
      <c r="AJ695" s="1453"/>
      <c r="AK695" s="1453"/>
      <c r="AZ695" s="3"/>
    </row>
    <row r="696" spans="1:52" ht="13" customHeight="1">
      <c r="B696" t="s">
        <v>18</v>
      </c>
      <c r="H696" s="1432"/>
      <c r="I696" s="1432"/>
      <c r="J696" s="1432"/>
      <c r="K696" s="1432"/>
      <c r="L696" s="1432"/>
      <c r="M696" s="1432"/>
      <c r="N696" s="1432"/>
      <c r="O696" s="1432"/>
      <c r="P696" s="1432"/>
      <c r="Q696" s="1432"/>
      <c r="R696" s="1432"/>
      <c r="U696" t="s">
        <v>18</v>
      </c>
      <c r="AA696" s="1432"/>
      <c r="AB696" s="1432"/>
      <c r="AC696" s="1432"/>
      <c r="AD696" s="1432"/>
      <c r="AE696" s="1432"/>
      <c r="AF696" s="1432"/>
      <c r="AG696" s="1432"/>
      <c r="AH696" s="1432"/>
      <c r="AI696" s="1432"/>
      <c r="AJ696" s="1432"/>
      <c r="AK696" s="1432"/>
      <c r="AZ696" s="3"/>
    </row>
    <row r="697" spans="1:52" ht="13" customHeight="1">
      <c r="B697" t="s">
        <v>20</v>
      </c>
      <c r="N697" s="1340" t="s">
        <v>669</v>
      </c>
      <c r="O697" s="1340"/>
      <c r="U697" t="s">
        <v>20</v>
      </c>
      <c r="AG697" s="1340" t="s">
        <v>669</v>
      </c>
      <c r="AH697" s="1340"/>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2613</v>
      </c>
      <c r="E700" s="135"/>
      <c r="F700" s="135"/>
      <c r="G700" s="135"/>
      <c r="H700" s="135"/>
      <c r="AZ700" s="3"/>
    </row>
    <row r="701" spans="1:52" ht="13" customHeight="1">
      <c r="B701" s="135"/>
      <c r="C701" s="135"/>
      <c r="E701" s="136" t="s">
        <v>434</v>
      </c>
      <c r="F701" s="135"/>
      <c r="G701" s="135"/>
      <c r="H701" s="135"/>
      <c r="AE701" s="1340" t="s">
        <v>545</v>
      </c>
      <c r="AF701" s="1340"/>
      <c r="AZ701" s="3"/>
    </row>
    <row r="702" spans="1:52" ht="13" customHeight="1">
      <c r="B702" s="135"/>
      <c r="C702" s="135"/>
      <c r="D702" s="136" t="s">
        <v>437</v>
      </c>
      <c r="E702" s="135"/>
      <c r="F702" s="135"/>
      <c r="G702" s="135"/>
      <c r="H702" s="135"/>
      <c r="AE702" s="1340" t="s">
        <v>545</v>
      </c>
      <c r="AF702" s="1340"/>
      <c r="AZ702" s="3"/>
    </row>
    <row r="703" spans="1:52" ht="13" customHeight="1">
      <c r="B703" s="135"/>
      <c r="C703" s="135"/>
      <c r="D703" s="136" t="s">
        <v>920</v>
      </c>
      <c r="E703" s="135"/>
      <c r="F703" s="135"/>
      <c r="G703" s="135"/>
      <c r="H703" s="135"/>
      <c r="AE703" s="1727">
        <v>46056</v>
      </c>
      <c r="AF703" s="1727"/>
      <c r="AG703" s="1727"/>
      <c r="AH703" s="1727"/>
      <c r="AI703" s="1727"/>
    </row>
    <row r="704" spans="1:52" ht="13" customHeight="1">
      <c r="B704" s="135"/>
      <c r="C704" s="135"/>
      <c r="D704" s="317" t="s">
        <v>983</v>
      </c>
      <c r="E704" s="135"/>
      <c r="F704" s="135"/>
      <c r="G704" s="135"/>
      <c r="H704" s="135"/>
      <c r="AE704" s="1838">
        <v>46154</v>
      </c>
      <c r="AF704" s="1838"/>
      <c r="AG704" s="1838"/>
      <c r="AH704" s="1838"/>
      <c r="AI704" s="1838"/>
    </row>
    <row r="705" spans="1:110" ht="13" customHeight="1">
      <c r="B705" s="135"/>
      <c r="C705" s="135"/>
    </row>
    <row r="706" spans="1:110" ht="13" customHeight="1">
      <c r="B706" s="135"/>
      <c r="C706" s="135"/>
      <c r="D706" s="136" t="s">
        <v>816</v>
      </c>
      <c r="E706" s="135"/>
      <c r="F706" s="135"/>
      <c r="G706" s="135"/>
      <c r="H706" s="135"/>
      <c r="AE706" s="1727">
        <v>46338</v>
      </c>
      <c r="AF706" s="1727"/>
      <c r="AG706" s="1727"/>
      <c r="AH706" s="1727"/>
      <c r="AI706" s="1727"/>
    </row>
    <row r="707" spans="1:110" ht="13" customHeight="1">
      <c r="B707" s="135"/>
      <c r="C707" s="135"/>
      <c r="D707" s="136" t="s">
        <v>435</v>
      </c>
      <c r="E707" s="135"/>
      <c r="F707" s="135"/>
      <c r="G707" s="135"/>
      <c r="H707" s="135"/>
      <c r="AE707" s="1697">
        <f>AM562/SUM('Sources and Uses Budget'!S107,'Sources and Uses Budget'!T107,'Sources and Uses Budget'!C4)</f>
        <v>0.27492929827613649</v>
      </c>
      <c r="AF707" s="1697"/>
      <c r="AG707" s="1697"/>
      <c r="AH707" s="1697"/>
      <c r="AI707" s="1697"/>
    </row>
    <row r="708" spans="1:110" ht="13" customHeight="1">
      <c r="B708" s="135"/>
      <c r="C708" s="135"/>
      <c r="D708" s="136" t="s">
        <v>436</v>
      </c>
      <c r="E708" s="135"/>
      <c r="F708" s="135"/>
      <c r="G708" s="135"/>
      <c r="H708" s="135"/>
      <c r="W708" s="1437" t="str">
        <f>H344</f>
        <v>California Muncipal Financial Authority</v>
      </c>
      <c r="X708" s="1437"/>
      <c r="Y708" s="1437"/>
      <c r="Z708" s="1437"/>
      <c r="AA708" s="1437"/>
      <c r="AB708" s="1437"/>
      <c r="AC708" s="1437"/>
      <c r="AD708" s="1437"/>
      <c r="AE708" s="1437"/>
      <c r="AF708" s="1437"/>
      <c r="AG708" s="1437"/>
      <c r="AH708" s="1437"/>
      <c r="AI708" s="1437"/>
      <c r="AJ708" s="1437"/>
      <c r="AK708" s="1437"/>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40" t="s">
        <v>669</v>
      </c>
      <c r="AF710" s="1340"/>
    </row>
    <row r="711" spans="1:110" ht="13" customHeight="1">
      <c r="B711" s="135"/>
      <c r="C711" s="135"/>
      <c r="D711" s="136" t="s">
        <v>442</v>
      </c>
      <c r="E711" s="135"/>
      <c r="F711" s="135"/>
      <c r="G711" s="135"/>
      <c r="H711" s="135"/>
      <c r="W711" s="1432" t="s">
        <v>591</v>
      </c>
      <c r="X711" s="1432"/>
      <c r="Y711" s="1432"/>
      <c r="Z711" s="1432"/>
      <c r="AA711" s="1432"/>
      <c r="AB711" s="1432"/>
      <c r="AC711" s="1432"/>
      <c r="AD711" s="1432"/>
      <c r="AE711" s="1432"/>
      <c r="AF711" s="1432"/>
      <c r="AG711" s="1432"/>
      <c r="AH711" s="1432"/>
      <c r="AI711" s="1432"/>
      <c r="AJ711" s="1432"/>
      <c r="AK711" s="1432"/>
    </row>
    <row r="712" spans="1:110" ht="13" customHeight="1">
      <c r="B712" s="135"/>
      <c r="C712" s="135"/>
      <c r="D712" s="136" t="s">
        <v>87</v>
      </c>
      <c r="E712" s="135"/>
      <c r="F712" s="135"/>
      <c r="G712" s="135"/>
      <c r="H712" s="135"/>
      <c r="J712" s="1432"/>
      <c r="K712" s="1432"/>
      <c r="L712" s="1432"/>
      <c r="M712" s="1432"/>
      <c r="N712" s="1432"/>
      <c r="O712" s="1432"/>
      <c r="P712" s="1432"/>
      <c r="Q712" s="1432"/>
      <c r="R712" s="1432"/>
      <c r="S712" s="1432"/>
      <c r="T712" s="1432"/>
      <c r="U712" s="1432"/>
      <c r="V712" s="1432"/>
      <c r="W712" s="1432"/>
      <c r="X712" s="1432"/>
      <c r="BB712" s="34"/>
      <c r="BC712" s="34"/>
      <c r="BD712" s="34"/>
      <c r="BE712" s="3"/>
      <c r="BF712" s="3"/>
      <c r="BJ712" s="3"/>
      <c r="BK712" s="3"/>
      <c r="BL712" s="3"/>
      <c r="BM712" s="3"/>
      <c r="BN712" s="34"/>
      <c r="BO712" s="34"/>
    </row>
    <row r="713" spans="1:110" ht="13" customHeight="1">
      <c r="B713" s="135"/>
      <c r="C713" s="135"/>
      <c r="D713" s="136" t="s">
        <v>88</v>
      </c>
      <c r="J713" s="1431"/>
      <c r="K713" s="1431"/>
      <c r="L713" s="1431"/>
      <c r="M713" s="1431"/>
      <c r="N713" s="1431"/>
      <c r="O713" s="1431"/>
      <c r="P713" s="4" t="s">
        <v>206</v>
      </c>
      <c r="Q713" s="4"/>
      <c r="R713" s="1453"/>
      <c r="S713" s="1453"/>
      <c r="T713" s="145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32" t="s">
        <v>307</v>
      </c>
      <c r="X714" s="1432"/>
      <c r="Y714" s="1432"/>
      <c r="Z714" s="1432"/>
      <c r="AA714" s="1432"/>
      <c r="AB714" s="1432"/>
      <c r="AC714" s="1432"/>
      <c r="AD714" s="1432"/>
      <c r="AE714" s="1432"/>
      <c r="AF714" s="1432"/>
      <c r="AG714" s="1432"/>
      <c r="AH714" s="1432"/>
      <c r="AI714" s="1432"/>
      <c r="AJ714" s="1432"/>
      <c r="AK714" s="143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2" t="s">
        <v>334</v>
      </c>
      <c r="F715" s="1432"/>
      <c r="G715" s="1432"/>
      <c r="H715" s="1432"/>
      <c r="I715" s="1432"/>
      <c r="J715" s="1432"/>
      <c r="K715" s="1432"/>
      <c r="L715" s="1432"/>
      <c r="M715" s="1432"/>
      <c r="N715" s="1432"/>
      <c r="O715" s="1432"/>
      <c r="P715" s="1432"/>
      <c r="Q715" s="1432"/>
      <c r="R715" s="1432"/>
      <c r="S715" s="1432"/>
      <c r="T715" s="1432"/>
      <c r="U715" s="1432"/>
      <c r="V715" s="1432"/>
      <c r="W715" s="1432"/>
      <c r="X715" s="1432"/>
      <c r="Y715" s="1432"/>
      <c r="Z715" s="1432"/>
      <c r="AA715" s="1432"/>
      <c r="AB715" s="1432"/>
      <c r="AC715" s="1432"/>
      <c r="AD715" s="1432"/>
      <c r="AE715" s="1432"/>
      <c r="AF715" s="1432"/>
      <c r="AG715" s="1432"/>
      <c r="AH715" s="1432"/>
      <c r="AI715" s="1432"/>
      <c r="AJ715" s="1432"/>
      <c r="AK715" s="143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17" t="s">
        <v>389</v>
      </c>
      <c r="C722" s="1418"/>
      <c r="D722" s="1418"/>
      <c r="E722" s="1418"/>
      <c r="F722" s="1419"/>
      <c r="G722" s="1417" t="s">
        <v>285</v>
      </c>
      <c r="H722" s="1418"/>
      <c r="I722" s="1418"/>
      <c r="J722" s="1419"/>
      <c r="K722" s="1663" t="s">
        <v>1668</v>
      </c>
      <c r="L722" s="1664"/>
      <c r="M722" s="1664"/>
      <c r="N722" s="1665"/>
      <c r="O722" s="1417" t="s">
        <v>447</v>
      </c>
      <c r="P722" s="1418"/>
      <c r="Q722" s="1418"/>
      <c r="R722" s="1418"/>
      <c r="S722" s="1419"/>
      <c r="T722" s="1635" t="s">
        <v>1923</v>
      </c>
      <c r="U722" s="1418"/>
      <c r="V722" s="1418"/>
      <c r="W722" s="1419"/>
      <c r="X722" s="1635" t="s">
        <v>1925</v>
      </c>
      <c r="Y722" s="1418"/>
      <c r="Z722" s="1418"/>
      <c r="AA722" s="1418"/>
      <c r="AB722" s="1419"/>
      <c r="AC722" s="1635" t="s">
        <v>1924</v>
      </c>
      <c r="AD722" s="1418"/>
      <c r="AE722" s="1418"/>
      <c r="AF722" s="1418"/>
      <c r="AG722" s="1419"/>
      <c r="AH722" s="1635" t="s">
        <v>1926</v>
      </c>
      <c r="AI722" s="1418"/>
      <c r="AJ722" s="1419"/>
      <c r="AK722" s="1635" t="s">
        <v>1953</v>
      </c>
      <c r="AL722" s="1418"/>
      <c r="AM722" s="1418"/>
      <c r="AN722" s="1418"/>
      <c r="AO722" s="141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0"/>
      <c r="C723" s="1421"/>
      <c r="D723" s="1421"/>
      <c r="E723" s="1421"/>
      <c r="F723" s="1422"/>
      <c r="G723" s="1420"/>
      <c r="H723" s="1421"/>
      <c r="I723" s="1421"/>
      <c r="J723" s="1422"/>
      <c r="K723" s="1666"/>
      <c r="L723" s="1667"/>
      <c r="M723" s="1667"/>
      <c r="N723" s="1668"/>
      <c r="O723" s="1420"/>
      <c r="P723" s="1421"/>
      <c r="Q723" s="1421"/>
      <c r="R723" s="1421"/>
      <c r="S723" s="1422"/>
      <c r="T723" s="1420"/>
      <c r="U723" s="1421"/>
      <c r="V723" s="1421"/>
      <c r="W723" s="1422"/>
      <c r="X723" s="1420"/>
      <c r="Y723" s="1421"/>
      <c r="Z723" s="1421"/>
      <c r="AA723" s="1421"/>
      <c r="AB723" s="1422"/>
      <c r="AC723" s="1420"/>
      <c r="AD723" s="1421"/>
      <c r="AE723" s="1421"/>
      <c r="AF723" s="1421"/>
      <c r="AG723" s="1422"/>
      <c r="AH723" s="1420"/>
      <c r="AI723" s="1421"/>
      <c r="AJ723" s="1422"/>
      <c r="AK723" s="1420"/>
      <c r="AL723" s="1421"/>
      <c r="AM723" s="1421"/>
      <c r="AN723" s="1421"/>
      <c r="AO723" s="142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0"/>
      <c r="C724" s="1421"/>
      <c r="D724" s="1421"/>
      <c r="E724" s="1421"/>
      <c r="F724" s="1422"/>
      <c r="G724" s="1420"/>
      <c r="H724" s="1421"/>
      <c r="I724" s="1421"/>
      <c r="J724" s="1422"/>
      <c r="K724" s="1666"/>
      <c r="L724" s="1667"/>
      <c r="M724" s="1667"/>
      <c r="N724" s="1668"/>
      <c r="O724" s="1420"/>
      <c r="P724" s="1421"/>
      <c r="Q724" s="1421"/>
      <c r="R724" s="1421"/>
      <c r="S724" s="1422"/>
      <c r="T724" s="1420"/>
      <c r="U724" s="1421"/>
      <c r="V724" s="1421"/>
      <c r="W724" s="1422"/>
      <c r="X724" s="1420"/>
      <c r="Y724" s="1421"/>
      <c r="Z724" s="1421"/>
      <c r="AA724" s="1421"/>
      <c r="AB724" s="1422"/>
      <c r="AC724" s="1420"/>
      <c r="AD724" s="1421"/>
      <c r="AE724" s="1421"/>
      <c r="AF724" s="1421"/>
      <c r="AG724" s="1422"/>
      <c r="AH724" s="1420"/>
      <c r="AI724" s="1421"/>
      <c r="AJ724" s="1422"/>
      <c r="AK724" s="1420"/>
      <c r="AL724" s="1421"/>
      <c r="AM724" s="1421"/>
      <c r="AN724" s="1421"/>
      <c r="AO724" s="1422"/>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23"/>
      <c r="C725" s="1424"/>
      <c r="D725" s="1424"/>
      <c r="E725" s="1424"/>
      <c r="F725" s="1425"/>
      <c r="G725" s="1423"/>
      <c r="H725" s="1424"/>
      <c r="I725" s="1424"/>
      <c r="J725" s="1425"/>
      <c r="K725" s="1666"/>
      <c r="L725" s="1667"/>
      <c r="M725" s="1667"/>
      <c r="N725" s="1668"/>
      <c r="O725" s="1423"/>
      <c r="P725" s="1424"/>
      <c r="Q725" s="1424"/>
      <c r="R725" s="1424"/>
      <c r="S725" s="1425"/>
      <c r="T725" s="1423"/>
      <c r="U725" s="1424"/>
      <c r="V725" s="1424"/>
      <c r="W725" s="1425"/>
      <c r="X725" s="1423"/>
      <c r="Y725" s="1424"/>
      <c r="Z725" s="1424"/>
      <c r="AA725" s="1424"/>
      <c r="AB725" s="1425"/>
      <c r="AC725" s="1423"/>
      <c r="AD725" s="1424"/>
      <c r="AE725" s="1424"/>
      <c r="AF725" s="1424"/>
      <c r="AG725" s="1425"/>
      <c r="AH725" s="1423"/>
      <c r="AI725" s="1424"/>
      <c r="AJ725" s="1425"/>
      <c r="AK725" s="1423"/>
      <c r="AL725" s="1424"/>
      <c r="AM725" s="1424"/>
      <c r="AN725" s="1424"/>
      <c r="AO725" s="1425"/>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21"/>
      <c r="CJ725" s="1522"/>
      <c r="CK725" s="121" t="s">
        <v>475</v>
      </c>
      <c r="CL725" s="122"/>
      <c r="CM725" s="1521"/>
      <c r="CN725" s="1522"/>
      <c r="CO725" s="3"/>
      <c r="CP725" s="1559" t="s">
        <v>633</v>
      </c>
      <c r="CQ725" s="1560"/>
      <c r="CR725" s="1560"/>
      <c r="CS725" s="1560"/>
      <c r="CT725" s="1561"/>
      <c r="CU725" s="1527" t="s">
        <v>325</v>
      </c>
      <c r="CV725" s="1527"/>
      <c r="CW725" s="1527"/>
      <c r="CX725" s="1527"/>
      <c r="CY725" s="1527"/>
      <c r="CZ725" s="1527" t="s">
        <v>163</v>
      </c>
      <c r="DA725" s="1527"/>
      <c r="DB725" s="1527"/>
      <c r="DC725" s="1527"/>
      <c r="DD725" s="1527"/>
      <c r="DE725" s="1527" t="s">
        <v>164</v>
      </c>
      <c r="DF725" s="1527"/>
      <c r="DG725" s="1527"/>
      <c r="DH725" s="1527"/>
      <c r="DI725" s="1527"/>
      <c r="DJ725" s="1527" t="s">
        <v>460</v>
      </c>
      <c r="DK725" s="1527"/>
      <c r="DL725" s="1527"/>
      <c r="DM725" s="1527"/>
      <c r="DN725" s="1527"/>
      <c r="DO725" s="1527" t="s">
        <v>30</v>
      </c>
      <c r="DP725" s="1527"/>
      <c r="DQ725" s="1527"/>
      <c r="DR725" s="1527"/>
      <c r="DS725" s="1527"/>
      <c r="DT725" s="89"/>
      <c r="DU725" s="1527" t="s">
        <v>633</v>
      </c>
      <c r="DV725" s="1527"/>
      <c r="DW725" s="1527"/>
      <c r="DX725" s="1527"/>
      <c r="DY725" s="1527"/>
      <c r="DZ725" s="1527" t="s">
        <v>325</v>
      </c>
      <c r="EA725" s="1527"/>
      <c r="EB725" s="1527"/>
      <c r="EC725" s="1527"/>
      <c r="ED725" s="1527"/>
      <c r="EE725" s="1527" t="s">
        <v>163</v>
      </c>
      <c r="EF725" s="1527"/>
      <c r="EG725" s="1527"/>
      <c r="EH725" s="1527"/>
      <c r="EI725" s="1527"/>
      <c r="EJ725" s="1527" t="s">
        <v>164</v>
      </c>
      <c r="EK725" s="1527"/>
      <c r="EL725" s="1527"/>
      <c r="EM725" s="1527"/>
      <c r="EN725" s="1527"/>
      <c r="EO725" s="1527" t="s">
        <v>460</v>
      </c>
      <c r="EP725" s="1527"/>
      <c r="EQ725" s="1527"/>
      <c r="ER725" s="1527"/>
      <c r="ES725" s="1527"/>
      <c r="ET725" s="1527" t="s">
        <v>30</v>
      </c>
      <c r="EU725" s="1527"/>
      <c r="EV725" s="1527"/>
      <c r="EW725" s="1527"/>
      <c r="EX725" s="1527"/>
      <c r="EY725" s="4"/>
      <c r="EZ725" s="1527" t="s">
        <v>633</v>
      </c>
      <c r="FA725" s="1527"/>
      <c r="FB725" s="1527"/>
      <c r="FC725" s="1527"/>
      <c r="FD725" s="1527"/>
      <c r="FE725" s="1527" t="s">
        <v>325</v>
      </c>
      <c r="FF725" s="1527"/>
      <c r="FG725" s="1527"/>
      <c r="FH725" s="1527"/>
      <c r="FI725" s="1527"/>
      <c r="FJ725" s="1527" t="s">
        <v>163</v>
      </c>
      <c r="FK725" s="1527"/>
      <c r="FL725" s="1527"/>
      <c r="FM725" s="1527"/>
      <c r="FN725" s="1527"/>
      <c r="FO725" s="1527" t="s">
        <v>164</v>
      </c>
      <c r="FP725" s="1527"/>
      <c r="FQ725" s="1527"/>
      <c r="FR725" s="1527"/>
      <c r="FS725" s="1527"/>
      <c r="FT725" s="1527" t="s">
        <v>460</v>
      </c>
      <c r="FU725" s="1527"/>
      <c r="FV725" s="1527"/>
      <c r="FW725" s="1527"/>
      <c r="FX725" s="1527"/>
      <c r="FY725" s="1527" t="s">
        <v>30</v>
      </c>
      <c r="FZ725" s="1527"/>
      <c r="GA725" s="1527"/>
      <c r="GB725" s="1527"/>
      <c r="GC725" s="1527"/>
    </row>
    <row r="726" spans="1:185" ht="13" customHeight="1">
      <c r="A726" s="4"/>
      <c r="B726" s="1835" t="s">
        <v>324</v>
      </c>
      <c r="C726" s="1836" t="s">
        <v>324</v>
      </c>
      <c r="D726" s="1836" t="s">
        <v>324</v>
      </c>
      <c r="E726" s="1836" t="s">
        <v>324</v>
      </c>
      <c r="F726" s="1837" t="s">
        <v>324</v>
      </c>
      <c r="G726" s="1358">
        <v>26</v>
      </c>
      <c r="H726" s="1359"/>
      <c r="I726" s="1359"/>
      <c r="J726" s="1360"/>
      <c r="K726" s="1361">
        <v>222</v>
      </c>
      <c r="L726" s="1362"/>
      <c r="M726" s="1362"/>
      <c r="N726" s="1363"/>
      <c r="O726" s="1403">
        <v>744</v>
      </c>
      <c r="P726" s="1404"/>
      <c r="Q726" s="1404"/>
      <c r="R726" s="1404"/>
      <c r="S726" s="1405"/>
      <c r="T726" s="1403">
        <v>95</v>
      </c>
      <c r="U726" s="1404"/>
      <c r="V726" s="1404"/>
      <c r="W726" s="1405"/>
      <c r="X726" s="1406">
        <f t="shared" ref="X726:X749" si="10">O726+T726</f>
        <v>839</v>
      </c>
      <c r="Y726" s="1402"/>
      <c r="Z726" s="1402"/>
      <c r="AA726" s="1402"/>
      <c r="AB726" s="1407"/>
      <c r="AC726" s="1408">
        <v>0.3</v>
      </c>
      <c r="AD726" s="1409"/>
      <c r="AE726" s="1409"/>
      <c r="AF726" s="1409"/>
      <c r="AG726" s="1410"/>
      <c r="AH726" s="1486">
        <f>IF($AC726&gt;0,($X726/$AZ726), "")</f>
        <v>0.30007153075822601</v>
      </c>
      <c r="AI726" s="1487"/>
      <c r="AJ726" s="1488"/>
      <c r="AK726" s="1364" t="s">
        <v>591</v>
      </c>
      <c r="AL726" s="1365"/>
      <c r="AM726" s="1365"/>
      <c r="AN726" s="1365"/>
      <c r="AO726" s="1366"/>
      <c r="AP726" s="3"/>
      <c r="AQ726" s="3"/>
      <c r="AR726" s="3"/>
      <c r="AS726" s="3"/>
      <c r="AZ726" s="118">
        <f t="shared" ref="AZ726:AZ760" si="11">IF($G726=0,"N/A",VLOOKUP($T$189,TC_Rent,(MATCH($B726,bedrooms,FALSE)),FALSE))</f>
        <v>2796</v>
      </c>
      <c r="BA726" s="3"/>
      <c r="BB726" s="3"/>
      <c r="BC726" s="3"/>
      <c r="BD726" s="3"/>
      <c r="BE726" s="204"/>
      <c r="BF726" s="293">
        <f t="shared" ref="BF726:BF760" si="12">G726</f>
        <v>26</v>
      </c>
      <c r="BG726" s="297">
        <f t="shared" ref="BG726:BG760" si="13">IF($BF$761=0,0,BF726/$BF$761)</f>
        <v>0.27368421052631581</v>
      </c>
      <c r="BH726" s="298">
        <f t="shared" ref="BH726:BH760" si="14">IF(BG726=0,"",BG726*AC726)</f>
        <v>8.2105263157894737E-2</v>
      </c>
      <c r="BI726" s="3"/>
      <c r="BJ726" s="3"/>
      <c r="BK726" s="3"/>
      <c r="BL726" s="3"/>
      <c r="BM726" s="3"/>
      <c r="BN726" s="3"/>
      <c r="BS726" s="293">
        <f t="shared" ref="BS726:BS760" si="15">G726</f>
        <v>26</v>
      </c>
      <c r="BT726" s="297">
        <f t="shared" ref="BT726:BT760" si="16">IF($BS$761=0,0,BS726/$BS$761)</f>
        <v>0.27368421052631581</v>
      </c>
      <c r="BU726" s="298">
        <f t="shared" ref="BU726:BU760" si="17">IF(BT726=0,"",BT726*AH726)</f>
        <v>8.2124839996988178E-2</v>
      </c>
      <c r="CC726" s="3"/>
      <c r="CD726" s="3"/>
      <c r="CE726" s="3"/>
      <c r="CF726" s="3"/>
      <c r="CG726" s="1516">
        <f>IF(AND(AC726&lt;=0.5,AC726&gt;=0.36),1,0)</f>
        <v>0</v>
      </c>
      <c r="CH726" s="1517"/>
      <c r="CI726" s="1521">
        <f>IF(CG726=1,G726,0)</f>
        <v>0</v>
      </c>
      <c r="CJ726" s="1522"/>
      <c r="CK726" s="1516">
        <f t="shared" ref="CK726:CK760" si="18">IF(AND(AC726&lt;=0.35,AC726&gt;0),1,0)</f>
        <v>1</v>
      </c>
      <c r="CL726" s="1517"/>
      <c r="CM726" s="1521">
        <f t="shared" ref="CM726:CM760" si="19">IF(CK726=1,G726,0)</f>
        <v>26</v>
      </c>
      <c r="CN726" s="1522"/>
      <c r="CO726" s="3"/>
      <c r="CP726" s="1523">
        <f t="shared" ref="CP726:CP760" si="20">IF(B726="SRO/Studio",G726,0)</f>
        <v>26</v>
      </c>
      <c r="CQ726" s="1524"/>
      <c r="CR726" s="1524"/>
      <c r="CS726" s="1524"/>
      <c r="CT726" s="1525"/>
      <c r="CU726" s="1519">
        <f t="shared" ref="CU726:CU760" si="21">IF(B726="1 Bedroom",G726,0)</f>
        <v>0</v>
      </c>
      <c r="CV726" s="1519"/>
      <c r="CW726" s="1519"/>
      <c r="CX726" s="1519"/>
      <c r="CY726" s="1519"/>
      <c r="CZ726" s="1519">
        <f t="shared" ref="CZ726:CZ760" si="22">IF(B726="2 Bedrooms",G726,0)</f>
        <v>0</v>
      </c>
      <c r="DA726" s="1519"/>
      <c r="DB726" s="1519"/>
      <c r="DC726" s="1519"/>
      <c r="DD726" s="1519"/>
      <c r="DE726" s="1519">
        <f t="shared" ref="DE726:DE760" si="23">IF(B726="3 Bedrooms",G726,0)</f>
        <v>0</v>
      </c>
      <c r="DF726" s="1519"/>
      <c r="DG726" s="1519"/>
      <c r="DH726" s="1519"/>
      <c r="DI726" s="1519"/>
      <c r="DJ726" s="1519">
        <f t="shared" ref="DJ726:DJ760" si="24">IF(B726="4 Bedrooms",G726,0)</f>
        <v>0</v>
      </c>
      <c r="DK726" s="1519"/>
      <c r="DL726" s="1519"/>
      <c r="DM726" s="1519"/>
      <c r="DN726" s="1519"/>
      <c r="DO726" s="1519">
        <f t="shared" ref="DO726:DO760" si="25">IF(B726="5 Bedrooms",G726,0)</f>
        <v>0</v>
      </c>
      <c r="DP726" s="1519"/>
      <c r="DQ726" s="1519"/>
      <c r="DR726" s="1519"/>
      <c r="DS726" s="1519"/>
      <c r="DT726" s="6"/>
      <c r="DU726" s="1518">
        <f t="shared" ref="DU726:DU760" si="26">IF(AND(B726="SRO/Studio",AC726&lt;=0.3),G726,0)</f>
        <v>26</v>
      </c>
      <c r="DV726" s="1518"/>
      <c r="DW726" s="1518"/>
      <c r="DX726" s="1518"/>
      <c r="DY726" s="1518"/>
      <c r="DZ726" s="1518">
        <f t="shared" ref="DZ726:DZ760" si="27">IF(AND(B726="1 Bedroom",AC726&lt;=0.3),G726,0)</f>
        <v>0</v>
      </c>
      <c r="EA726" s="1518"/>
      <c r="EB726" s="1518"/>
      <c r="EC726" s="1518"/>
      <c r="ED726" s="1518"/>
      <c r="EE726" s="1518">
        <f t="shared" ref="EE726:EE760" si="28">IF(AND(B726="2 Bedrooms",AC726&lt;=0.3),G726,0)</f>
        <v>0</v>
      </c>
      <c r="EF726" s="1518"/>
      <c r="EG726" s="1518"/>
      <c r="EH726" s="1518"/>
      <c r="EI726" s="1518"/>
      <c r="EJ726" s="1518">
        <f t="shared" ref="EJ726:EJ760" si="29">IF(AND(B726="3 Bedrooms",AC726&lt;=0.3),G726,0)</f>
        <v>0</v>
      </c>
      <c r="EK726" s="1518"/>
      <c r="EL726" s="1518"/>
      <c r="EM726" s="1518"/>
      <c r="EN726" s="1518"/>
      <c r="EO726" s="1518">
        <f t="shared" ref="EO726:EO760" si="30">IF(AND(B726="4 Bedrooms",AC726&lt;=0.3),G726,0)</f>
        <v>0</v>
      </c>
      <c r="EP726" s="1518"/>
      <c r="EQ726" s="1518"/>
      <c r="ER726" s="1518"/>
      <c r="ES726" s="1518"/>
      <c r="ET726" s="1518">
        <f t="shared" ref="ET726:ET760" si="31">IF(AND(B726="5 Bedrooms",AC726&lt;=0.3),G726,0)</f>
        <v>0</v>
      </c>
      <c r="EU726" s="1518"/>
      <c r="EV726" s="1518"/>
      <c r="EW726" s="1518"/>
      <c r="EX726" s="1518"/>
      <c r="EY726" s="4"/>
      <c r="EZ726" s="1516">
        <f t="shared" ref="EZ726:EZ760" si="32">IF(CP726&gt;0,O726,"")</f>
        <v>744</v>
      </c>
      <c r="FA726" s="1520"/>
      <c r="FB726" s="1520"/>
      <c r="FC726" s="1520"/>
      <c r="FD726" s="1517"/>
      <c r="FE726" s="1516" t="str">
        <f t="shared" ref="FE726:FE760" si="33">IF(CU726&gt;0,O726,"")</f>
        <v/>
      </c>
      <c r="FF726" s="1520"/>
      <c r="FG726" s="1520"/>
      <c r="FH726" s="1520"/>
      <c r="FI726" s="1517"/>
      <c r="FJ726" s="1516" t="str">
        <f t="shared" ref="FJ726:FJ760" si="34">IF(CZ726&gt;0,O726,"")</f>
        <v/>
      </c>
      <c r="FK726" s="1520"/>
      <c r="FL726" s="1520"/>
      <c r="FM726" s="1520"/>
      <c r="FN726" s="1517"/>
      <c r="FO726" s="1516" t="str">
        <f t="shared" ref="FO726:FO760" si="35">IF(DE726&gt;0,O726,"")</f>
        <v/>
      </c>
      <c r="FP726" s="1520"/>
      <c r="FQ726" s="1520"/>
      <c r="FR726" s="1520"/>
      <c r="FS726" s="1517"/>
      <c r="FT726" s="1516" t="str">
        <f t="shared" ref="FT726:FT760" si="36">IF(DJ726&gt;0,O726,"")</f>
        <v/>
      </c>
      <c r="FU726" s="1520"/>
      <c r="FV726" s="1520"/>
      <c r="FW726" s="1520"/>
      <c r="FX726" s="1517"/>
      <c r="FY726" s="1516" t="str">
        <f t="shared" ref="FY726:FY760" si="37">IF(DO726&gt;0,O726,"")</f>
        <v/>
      </c>
      <c r="FZ726" s="1520"/>
      <c r="GA726" s="1520"/>
      <c r="GB726" s="1520"/>
      <c r="GC726" s="1517"/>
    </row>
    <row r="727" spans="1:185" ht="13" customHeight="1">
      <c r="A727" s="4"/>
      <c r="B727" s="1835" t="s">
        <v>324</v>
      </c>
      <c r="C727" s="1836" t="s">
        <v>324</v>
      </c>
      <c r="D727" s="1836" t="s">
        <v>324</v>
      </c>
      <c r="E727" s="1836" t="s">
        <v>324</v>
      </c>
      <c r="F727" s="1837" t="s">
        <v>324</v>
      </c>
      <c r="G727" s="1358">
        <v>9</v>
      </c>
      <c r="H727" s="1359"/>
      <c r="I727" s="1359"/>
      <c r="J727" s="1360"/>
      <c r="K727" s="1361">
        <v>222</v>
      </c>
      <c r="L727" s="1362"/>
      <c r="M727" s="1362"/>
      <c r="N727" s="1363"/>
      <c r="O727" s="1403">
        <v>1024</v>
      </c>
      <c r="P727" s="1404"/>
      <c r="Q727" s="1404"/>
      <c r="R727" s="1404"/>
      <c r="S727" s="1405"/>
      <c r="T727" s="1403">
        <v>95</v>
      </c>
      <c r="U727" s="1404"/>
      <c r="V727" s="1404"/>
      <c r="W727" s="1405"/>
      <c r="X727" s="1406">
        <f t="shared" si="10"/>
        <v>1119</v>
      </c>
      <c r="Y727" s="1402"/>
      <c r="Z727" s="1402"/>
      <c r="AA727" s="1402"/>
      <c r="AB727" s="1407"/>
      <c r="AC727" s="1408">
        <v>0.4</v>
      </c>
      <c r="AD727" s="1409"/>
      <c r="AE727" s="1409"/>
      <c r="AF727" s="1409"/>
      <c r="AG727" s="1410"/>
      <c r="AH727" s="1486">
        <f t="shared" ref="AH727:AH760" si="38">IF($AC727&gt;0,($X727/$AZ727), "")</f>
        <v>0.40021459227467809</v>
      </c>
      <c r="AI727" s="1487"/>
      <c r="AJ727" s="1488"/>
      <c r="AK727" s="1364" t="s">
        <v>591</v>
      </c>
      <c r="AL727" s="1365"/>
      <c r="AM727" s="1365"/>
      <c r="AN727" s="1365"/>
      <c r="AO727" s="1366"/>
      <c r="AP727" s="3"/>
      <c r="AQ727" s="3"/>
      <c r="AR727" s="3"/>
      <c r="AS727" s="3"/>
      <c r="AZ727" s="118">
        <f t="shared" si="11"/>
        <v>2796</v>
      </c>
      <c r="BA727" s="3"/>
      <c r="BB727" s="3"/>
      <c r="BC727" s="3"/>
      <c r="BD727" s="3"/>
      <c r="BE727" s="204"/>
      <c r="BF727" s="294">
        <f t="shared" si="12"/>
        <v>9</v>
      </c>
      <c r="BG727" s="297">
        <f t="shared" si="13"/>
        <v>9.4736842105263161E-2</v>
      </c>
      <c r="BH727" s="298">
        <f t="shared" si="14"/>
        <v>3.7894736842105266E-2</v>
      </c>
      <c r="BI727" s="3"/>
      <c r="BJ727" s="3"/>
      <c r="BK727" s="3"/>
      <c r="BL727" s="3"/>
      <c r="BM727" s="3"/>
      <c r="BN727" s="3"/>
      <c r="BS727" s="294">
        <f t="shared" si="15"/>
        <v>9</v>
      </c>
      <c r="BT727" s="297">
        <f t="shared" si="16"/>
        <v>9.4736842105263161E-2</v>
      </c>
      <c r="BU727" s="298">
        <f t="shared" si="17"/>
        <v>3.791506663654845E-2</v>
      </c>
      <c r="CC727" s="3"/>
      <c r="CD727" s="3"/>
      <c r="CE727" s="3"/>
      <c r="CF727" s="3"/>
      <c r="CG727" s="1516">
        <f t="shared" ref="CG727:CG760" si="39">IF(AND(AC727&lt;=0.5,AC727&gt;=0.36),1,0)</f>
        <v>1</v>
      </c>
      <c r="CH727" s="1517"/>
      <c r="CI727" s="1521">
        <f t="shared" ref="CI727:CI760" si="40">IF(CG727=1,G727,0)</f>
        <v>9</v>
      </c>
      <c r="CJ727" s="1522"/>
      <c r="CK727" s="1516">
        <f t="shared" si="18"/>
        <v>0</v>
      </c>
      <c r="CL727" s="1517"/>
      <c r="CM727" s="1521">
        <f t="shared" si="19"/>
        <v>0</v>
      </c>
      <c r="CN727" s="1522"/>
      <c r="CO727" s="3"/>
      <c r="CP727" s="1523">
        <f t="shared" si="20"/>
        <v>9</v>
      </c>
      <c r="CQ727" s="1524"/>
      <c r="CR727" s="1524"/>
      <c r="CS727" s="1524"/>
      <c r="CT727" s="1525"/>
      <c r="CU727" s="1519">
        <f t="shared" si="21"/>
        <v>0</v>
      </c>
      <c r="CV727" s="1519"/>
      <c r="CW727" s="1519"/>
      <c r="CX727" s="1519"/>
      <c r="CY727" s="1519"/>
      <c r="CZ727" s="1519">
        <f t="shared" si="22"/>
        <v>0</v>
      </c>
      <c r="DA727" s="1519"/>
      <c r="DB727" s="1519"/>
      <c r="DC727" s="1519"/>
      <c r="DD727" s="1519"/>
      <c r="DE727" s="1519">
        <f t="shared" si="23"/>
        <v>0</v>
      </c>
      <c r="DF727" s="1519"/>
      <c r="DG727" s="1519"/>
      <c r="DH727" s="1519"/>
      <c r="DI727" s="1519"/>
      <c r="DJ727" s="1519">
        <f t="shared" si="24"/>
        <v>0</v>
      </c>
      <c r="DK727" s="1519"/>
      <c r="DL727" s="1519"/>
      <c r="DM727" s="1519"/>
      <c r="DN727" s="1519"/>
      <c r="DO727" s="1519">
        <f t="shared" si="25"/>
        <v>0</v>
      </c>
      <c r="DP727" s="1519"/>
      <c r="DQ727" s="1519"/>
      <c r="DR727" s="1519"/>
      <c r="DS727" s="1519"/>
      <c r="DT727" s="6"/>
      <c r="DU727" s="1518">
        <f t="shared" si="26"/>
        <v>0</v>
      </c>
      <c r="DV727" s="1518"/>
      <c r="DW727" s="1518"/>
      <c r="DX727" s="1518"/>
      <c r="DY727" s="1518"/>
      <c r="DZ727" s="1518">
        <f t="shared" si="27"/>
        <v>0</v>
      </c>
      <c r="EA727" s="1518"/>
      <c r="EB727" s="1518"/>
      <c r="EC727" s="1518"/>
      <c r="ED727" s="1518"/>
      <c r="EE727" s="1518">
        <f t="shared" si="28"/>
        <v>0</v>
      </c>
      <c r="EF727" s="1518"/>
      <c r="EG727" s="1518"/>
      <c r="EH727" s="1518"/>
      <c r="EI727" s="1518"/>
      <c r="EJ727" s="1518">
        <f t="shared" si="29"/>
        <v>0</v>
      </c>
      <c r="EK727" s="1518"/>
      <c r="EL727" s="1518"/>
      <c r="EM727" s="1518"/>
      <c r="EN727" s="1518"/>
      <c r="EO727" s="1518">
        <f t="shared" si="30"/>
        <v>0</v>
      </c>
      <c r="EP727" s="1518"/>
      <c r="EQ727" s="1518"/>
      <c r="ER727" s="1518"/>
      <c r="ES727" s="1518"/>
      <c r="ET727" s="1518">
        <f t="shared" si="31"/>
        <v>0</v>
      </c>
      <c r="EU727" s="1518"/>
      <c r="EV727" s="1518"/>
      <c r="EW727" s="1518"/>
      <c r="EX727" s="1518"/>
      <c r="EY727" s="4"/>
      <c r="EZ727" s="1516">
        <f t="shared" si="32"/>
        <v>1024</v>
      </c>
      <c r="FA727" s="1520"/>
      <c r="FB727" s="1520"/>
      <c r="FC727" s="1520"/>
      <c r="FD727" s="1517"/>
      <c r="FE727" s="1516" t="str">
        <f t="shared" si="33"/>
        <v/>
      </c>
      <c r="FF727" s="1520"/>
      <c r="FG727" s="1520"/>
      <c r="FH727" s="1520"/>
      <c r="FI727" s="1517"/>
      <c r="FJ727" s="1516" t="str">
        <f t="shared" si="34"/>
        <v/>
      </c>
      <c r="FK727" s="1520"/>
      <c r="FL727" s="1520"/>
      <c r="FM727" s="1520"/>
      <c r="FN727" s="1517"/>
      <c r="FO727" s="1516" t="str">
        <f t="shared" si="35"/>
        <v/>
      </c>
      <c r="FP727" s="1520"/>
      <c r="FQ727" s="1520"/>
      <c r="FR727" s="1520"/>
      <c r="FS727" s="1517"/>
      <c r="FT727" s="1516" t="str">
        <f t="shared" si="36"/>
        <v/>
      </c>
      <c r="FU727" s="1520"/>
      <c r="FV727" s="1520"/>
      <c r="FW727" s="1520"/>
      <c r="FX727" s="1517"/>
      <c r="FY727" s="1516" t="str">
        <f t="shared" si="37"/>
        <v/>
      </c>
      <c r="FZ727" s="1520"/>
      <c r="GA727" s="1520"/>
      <c r="GB727" s="1520"/>
      <c r="GC727" s="1517"/>
    </row>
    <row r="728" spans="1:185" ht="13" customHeight="1">
      <c r="A728" s="4"/>
      <c r="B728" s="1364" t="s">
        <v>324</v>
      </c>
      <c r="C728" s="1365" t="s">
        <v>324</v>
      </c>
      <c r="D728" s="1365" t="s">
        <v>324</v>
      </c>
      <c r="E728" s="1365" t="s">
        <v>324</v>
      </c>
      <c r="F728" s="1366" t="s">
        <v>324</v>
      </c>
      <c r="G728" s="1358">
        <v>9</v>
      </c>
      <c r="H728" s="1359"/>
      <c r="I728" s="1359"/>
      <c r="J728" s="1360"/>
      <c r="K728" s="1361">
        <v>222</v>
      </c>
      <c r="L728" s="1362"/>
      <c r="M728" s="1362"/>
      <c r="N728" s="1363"/>
      <c r="O728" s="1403">
        <v>1303</v>
      </c>
      <c r="P728" s="1404"/>
      <c r="Q728" s="1404"/>
      <c r="R728" s="1404"/>
      <c r="S728" s="1405"/>
      <c r="T728" s="1403">
        <v>95</v>
      </c>
      <c r="U728" s="1404"/>
      <c r="V728" s="1404"/>
      <c r="W728" s="1405"/>
      <c r="X728" s="1406">
        <f t="shared" si="10"/>
        <v>1398</v>
      </c>
      <c r="Y728" s="1402"/>
      <c r="Z728" s="1402"/>
      <c r="AA728" s="1402"/>
      <c r="AB728" s="1407"/>
      <c r="AC728" s="1408">
        <v>0.5</v>
      </c>
      <c r="AD728" s="1409"/>
      <c r="AE728" s="1409"/>
      <c r="AF728" s="1409"/>
      <c r="AG728" s="1410"/>
      <c r="AH728" s="1486">
        <f t="shared" si="38"/>
        <v>0.5</v>
      </c>
      <c r="AI728" s="1487"/>
      <c r="AJ728" s="1488"/>
      <c r="AK728" s="1364" t="s">
        <v>591</v>
      </c>
      <c r="AL728" s="1365"/>
      <c r="AM728" s="1365"/>
      <c r="AN728" s="1365"/>
      <c r="AO728" s="1366"/>
      <c r="AP728" s="3"/>
      <c r="AQ728" s="3"/>
      <c r="AR728" s="3"/>
      <c r="AS728" s="3"/>
      <c r="AZ728" s="118">
        <f t="shared" si="11"/>
        <v>2796</v>
      </c>
      <c r="BA728" s="3"/>
      <c r="BB728" s="3"/>
      <c r="BC728" s="3"/>
      <c r="BD728" s="3"/>
      <c r="BE728" s="204"/>
      <c r="BF728" s="294">
        <f t="shared" si="12"/>
        <v>9</v>
      </c>
      <c r="BG728" s="297">
        <f t="shared" si="13"/>
        <v>9.4736842105263161E-2</v>
      </c>
      <c r="BH728" s="298">
        <f t="shared" si="14"/>
        <v>4.736842105263158E-2</v>
      </c>
      <c r="BI728" s="3"/>
      <c r="BJ728" s="3"/>
      <c r="BK728" s="3"/>
      <c r="BL728" s="3"/>
      <c r="BM728" s="3"/>
      <c r="BN728" s="3"/>
      <c r="BS728" s="294">
        <f t="shared" si="15"/>
        <v>9</v>
      </c>
      <c r="BT728" s="297">
        <f t="shared" si="16"/>
        <v>9.4736842105263161E-2</v>
      </c>
      <c r="BU728" s="298">
        <f t="shared" si="17"/>
        <v>4.736842105263158E-2</v>
      </c>
      <c r="CC728" s="3"/>
      <c r="CD728" s="3"/>
      <c r="CE728" s="3"/>
      <c r="CF728" s="3"/>
      <c r="CG728" s="1516">
        <f t="shared" si="39"/>
        <v>1</v>
      </c>
      <c r="CH728" s="1517"/>
      <c r="CI728" s="1521">
        <f t="shared" si="40"/>
        <v>9</v>
      </c>
      <c r="CJ728" s="1522"/>
      <c r="CK728" s="1516">
        <f t="shared" si="18"/>
        <v>0</v>
      </c>
      <c r="CL728" s="1517"/>
      <c r="CM728" s="1521">
        <f t="shared" si="19"/>
        <v>0</v>
      </c>
      <c r="CN728" s="1522"/>
      <c r="CO728" s="3"/>
      <c r="CP728" s="1523">
        <f t="shared" si="20"/>
        <v>9</v>
      </c>
      <c r="CQ728" s="1524"/>
      <c r="CR728" s="1524"/>
      <c r="CS728" s="1524"/>
      <c r="CT728" s="1525"/>
      <c r="CU728" s="1519">
        <f t="shared" si="21"/>
        <v>0</v>
      </c>
      <c r="CV728" s="1519"/>
      <c r="CW728" s="1519"/>
      <c r="CX728" s="1519"/>
      <c r="CY728" s="1519"/>
      <c r="CZ728" s="1519">
        <f t="shared" si="22"/>
        <v>0</v>
      </c>
      <c r="DA728" s="1519"/>
      <c r="DB728" s="1519"/>
      <c r="DC728" s="1519"/>
      <c r="DD728" s="1519"/>
      <c r="DE728" s="1519">
        <f t="shared" si="23"/>
        <v>0</v>
      </c>
      <c r="DF728" s="1519"/>
      <c r="DG728" s="1519"/>
      <c r="DH728" s="1519"/>
      <c r="DI728" s="1519"/>
      <c r="DJ728" s="1519">
        <f t="shared" si="24"/>
        <v>0</v>
      </c>
      <c r="DK728" s="1519"/>
      <c r="DL728" s="1519"/>
      <c r="DM728" s="1519"/>
      <c r="DN728" s="1519"/>
      <c r="DO728" s="1519">
        <f t="shared" si="25"/>
        <v>0</v>
      </c>
      <c r="DP728" s="1519"/>
      <c r="DQ728" s="1519"/>
      <c r="DR728" s="1519"/>
      <c r="DS728" s="1519"/>
      <c r="DT728" s="6"/>
      <c r="DU728" s="1518">
        <f t="shared" si="26"/>
        <v>0</v>
      </c>
      <c r="DV728" s="1518"/>
      <c r="DW728" s="1518"/>
      <c r="DX728" s="1518"/>
      <c r="DY728" s="1518"/>
      <c r="DZ728" s="1518">
        <f t="shared" si="27"/>
        <v>0</v>
      </c>
      <c r="EA728" s="1518"/>
      <c r="EB728" s="1518"/>
      <c r="EC728" s="1518"/>
      <c r="ED728" s="1518"/>
      <c r="EE728" s="1518">
        <f t="shared" si="28"/>
        <v>0</v>
      </c>
      <c r="EF728" s="1518"/>
      <c r="EG728" s="1518"/>
      <c r="EH728" s="1518"/>
      <c r="EI728" s="1518"/>
      <c r="EJ728" s="1518">
        <f t="shared" si="29"/>
        <v>0</v>
      </c>
      <c r="EK728" s="1518"/>
      <c r="EL728" s="1518"/>
      <c r="EM728" s="1518"/>
      <c r="EN728" s="1518"/>
      <c r="EO728" s="1518">
        <f t="shared" si="30"/>
        <v>0</v>
      </c>
      <c r="EP728" s="1518"/>
      <c r="EQ728" s="1518"/>
      <c r="ER728" s="1518"/>
      <c r="ES728" s="1518"/>
      <c r="ET728" s="1518">
        <f t="shared" si="31"/>
        <v>0</v>
      </c>
      <c r="EU728" s="1518"/>
      <c r="EV728" s="1518"/>
      <c r="EW728" s="1518"/>
      <c r="EX728" s="1518"/>
      <c r="EZ728" s="1516">
        <f t="shared" si="32"/>
        <v>1303</v>
      </c>
      <c r="FA728" s="1520"/>
      <c r="FB728" s="1520"/>
      <c r="FC728" s="1520"/>
      <c r="FD728" s="1517"/>
      <c r="FE728" s="1516" t="str">
        <f t="shared" si="33"/>
        <v/>
      </c>
      <c r="FF728" s="1520"/>
      <c r="FG728" s="1520"/>
      <c r="FH728" s="1520"/>
      <c r="FI728" s="1517"/>
      <c r="FJ728" s="1516" t="str">
        <f t="shared" si="34"/>
        <v/>
      </c>
      <c r="FK728" s="1520"/>
      <c r="FL728" s="1520"/>
      <c r="FM728" s="1520"/>
      <c r="FN728" s="1517"/>
      <c r="FO728" s="1516" t="str">
        <f t="shared" si="35"/>
        <v/>
      </c>
      <c r="FP728" s="1520"/>
      <c r="FQ728" s="1520"/>
      <c r="FR728" s="1520"/>
      <c r="FS728" s="1517"/>
      <c r="FT728" s="1516" t="str">
        <f t="shared" si="36"/>
        <v/>
      </c>
      <c r="FU728" s="1520"/>
      <c r="FV728" s="1520"/>
      <c r="FW728" s="1520"/>
      <c r="FX728" s="1517"/>
      <c r="FY728" s="1516" t="str">
        <f t="shared" si="37"/>
        <v/>
      </c>
      <c r="FZ728" s="1520"/>
      <c r="GA728" s="1520"/>
      <c r="GB728" s="1520"/>
      <c r="GC728" s="1517"/>
    </row>
    <row r="729" spans="1:185" ht="13" customHeight="1">
      <c r="B729" s="1364" t="s">
        <v>324</v>
      </c>
      <c r="C729" s="1365" t="s">
        <v>324</v>
      </c>
      <c r="D729" s="1365" t="s">
        <v>324</v>
      </c>
      <c r="E729" s="1365" t="s">
        <v>324</v>
      </c>
      <c r="F729" s="1366" t="s">
        <v>324</v>
      </c>
      <c r="G729" s="1358">
        <v>3</v>
      </c>
      <c r="H729" s="1359"/>
      <c r="I729" s="1359"/>
      <c r="J729" s="1360"/>
      <c r="K729" s="1361">
        <v>300</v>
      </c>
      <c r="L729" s="1362"/>
      <c r="M729" s="1362"/>
      <c r="N729" s="1363"/>
      <c r="O729" s="1403">
        <v>1583</v>
      </c>
      <c r="P729" s="1404"/>
      <c r="Q729" s="1404"/>
      <c r="R729" s="1404"/>
      <c r="S729" s="1405"/>
      <c r="T729" s="1403">
        <v>95</v>
      </c>
      <c r="U729" s="1404"/>
      <c r="V729" s="1404"/>
      <c r="W729" s="1405"/>
      <c r="X729" s="1406">
        <f t="shared" si="10"/>
        <v>1678</v>
      </c>
      <c r="Y729" s="1402"/>
      <c r="Z729" s="1402"/>
      <c r="AA729" s="1402"/>
      <c r="AB729" s="1407"/>
      <c r="AC729" s="1408">
        <v>0.6</v>
      </c>
      <c r="AD729" s="1409"/>
      <c r="AE729" s="1409"/>
      <c r="AF729" s="1409"/>
      <c r="AG729" s="1410"/>
      <c r="AH729" s="1486">
        <f t="shared" si="38"/>
        <v>0.60014306151645203</v>
      </c>
      <c r="AI729" s="1487"/>
      <c r="AJ729" s="1488"/>
      <c r="AK729" s="1364" t="s">
        <v>591</v>
      </c>
      <c r="AL729" s="1365"/>
      <c r="AM729" s="1365"/>
      <c r="AN729" s="1365"/>
      <c r="AO729" s="1366"/>
      <c r="AP729" s="3"/>
      <c r="AQ729" s="3"/>
      <c r="AR729" s="3"/>
      <c r="AS729" s="3"/>
      <c r="AY729" s="116"/>
      <c r="AZ729" s="118">
        <f t="shared" si="11"/>
        <v>2796</v>
      </c>
      <c r="BA729" s="3"/>
      <c r="BB729" s="3"/>
      <c r="BC729" s="3"/>
      <c r="BD729" s="3"/>
      <c r="BE729" s="204"/>
      <c r="BF729" s="294">
        <f t="shared" si="12"/>
        <v>3</v>
      </c>
      <c r="BG729" s="297">
        <f t="shared" si="13"/>
        <v>3.1578947368421054E-2</v>
      </c>
      <c r="BH729" s="298">
        <f t="shared" si="14"/>
        <v>1.8947368421052633E-2</v>
      </c>
      <c r="BI729" s="3"/>
      <c r="BJ729" s="3"/>
      <c r="BK729" s="3"/>
      <c r="BL729" s="3"/>
      <c r="BM729" s="3"/>
      <c r="BN729" s="3"/>
      <c r="BS729" s="294">
        <f t="shared" si="15"/>
        <v>3</v>
      </c>
      <c r="BT729" s="297">
        <f t="shared" si="16"/>
        <v>3.1578947368421054E-2</v>
      </c>
      <c r="BU729" s="298">
        <f t="shared" si="17"/>
        <v>1.8951886153151118E-2</v>
      </c>
      <c r="CC729" s="3"/>
      <c r="CD729" s="3"/>
      <c r="CE729" s="3"/>
      <c r="CF729" s="3"/>
      <c r="CG729" s="1516">
        <f t="shared" si="39"/>
        <v>0</v>
      </c>
      <c r="CH729" s="1517"/>
      <c r="CI729" s="1521">
        <f t="shared" si="40"/>
        <v>0</v>
      </c>
      <c r="CJ729" s="1522"/>
      <c r="CK729" s="1516">
        <f t="shared" si="18"/>
        <v>0</v>
      </c>
      <c r="CL729" s="1517"/>
      <c r="CM729" s="1521">
        <f t="shared" si="19"/>
        <v>0</v>
      </c>
      <c r="CN729" s="1522"/>
      <c r="CO729" s="3"/>
      <c r="CP729" s="1523">
        <f t="shared" si="20"/>
        <v>3</v>
      </c>
      <c r="CQ729" s="1524"/>
      <c r="CR729" s="1524"/>
      <c r="CS729" s="1524"/>
      <c r="CT729" s="1525"/>
      <c r="CU729" s="1519">
        <f t="shared" si="21"/>
        <v>0</v>
      </c>
      <c r="CV729" s="1519"/>
      <c r="CW729" s="1519"/>
      <c r="CX729" s="1519"/>
      <c r="CY729" s="1519"/>
      <c r="CZ729" s="1519">
        <f t="shared" si="22"/>
        <v>0</v>
      </c>
      <c r="DA729" s="1519"/>
      <c r="DB729" s="1519"/>
      <c r="DC729" s="1519"/>
      <c r="DD729" s="1519"/>
      <c r="DE729" s="1519">
        <f t="shared" si="23"/>
        <v>0</v>
      </c>
      <c r="DF729" s="1519"/>
      <c r="DG729" s="1519"/>
      <c r="DH729" s="1519"/>
      <c r="DI729" s="1519"/>
      <c r="DJ729" s="1519">
        <f t="shared" si="24"/>
        <v>0</v>
      </c>
      <c r="DK729" s="1519"/>
      <c r="DL729" s="1519"/>
      <c r="DM729" s="1519"/>
      <c r="DN729" s="1519"/>
      <c r="DO729" s="1519">
        <f t="shared" si="25"/>
        <v>0</v>
      </c>
      <c r="DP729" s="1519"/>
      <c r="DQ729" s="1519"/>
      <c r="DR729" s="1519"/>
      <c r="DS729" s="1519"/>
      <c r="DT729" s="6"/>
      <c r="DU729" s="1518">
        <f t="shared" si="26"/>
        <v>0</v>
      </c>
      <c r="DV729" s="1518"/>
      <c r="DW729" s="1518"/>
      <c r="DX729" s="1518"/>
      <c r="DY729" s="1518"/>
      <c r="DZ729" s="1518">
        <f t="shared" si="27"/>
        <v>0</v>
      </c>
      <c r="EA729" s="1518"/>
      <c r="EB729" s="1518"/>
      <c r="EC729" s="1518"/>
      <c r="ED729" s="1518"/>
      <c r="EE729" s="1518">
        <f t="shared" si="28"/>
        <v>0</v>
      </c>
      <c r="EF729" s="1518"/>
      <c r="EG729" s="1518"/>
      <c r="EH729" s="1518"/>
      <c r="EI729" s="1518"/>
      <c r="EJ729" s="1518">
        <f t="shared" si="29"/>
        <v>0</v>
      </c>
      <c r="EK729" s="1518"/>
      <c r="EL729" s="1518"/>
      <c r="EM729" s="1518"/>
      <c r="EN729" s="1518"/>
      <c r="EO729" s="1518">
        <f t="shared" si="30"/>
        <v>0</v>
      </c>
      <c r="EP729" s="1518"/>
      <c r="EQ729" s="1518"/>
      <c r="ER729" s="1518"/>
      <c r="ES729" s="1518"/>
      <c r="ET729" s="1518">
        <f t="shared" si="31"/>
        <v>0</v>
      </c>
      <c r="EU729" s="1518"/>
      <c r="EV729" s="1518"/>
      <c r="EW729" s="1518"/>
      <c r="EX729" s="1518"/>
      <c r="EZ729" s="1516">
        <f t="shared" si="32"/>
        <v>1583</v>
      </c>
      <c r="FA729" s="1520"/>
      <c r="FB729" s="1520"/>
      <c r="FC729" s="1520"/>
      <c r="FD729" s="1517"/>
      <c r="FE729" s="1516" t="str">
        <f t="shared" si="33"/>
        <v/>
      </c>
      <c r="FF729" s="1520"/>
      <c r="FG729" s="1520"/>
      <c r="FH729" s="1520"/>
      <c r="FI729" s="1517"/>
      <c r="FJ729" s="1516" t="str">
        <f t="shared" si="34"/>
        <v/>
      </c>
      <c r="FK729" s="1520"/>
      <c r="FL729" s="1520"/>
      <c r="FM729" s="1520"/>
      <c r="FN729" s="1517"/>
      <c r="FO729" s="1516" t="str">
        <f t="shared" si="35"/>
        <v/>
      </c>
      <c r="FP729" s="1520"/>
      <c r="FQ729" s="1520"/>
      <c r="FR729" s="1520"/>
      <c r="FS729" s="1517"/>
      <c r="FT729" s="1516" t="str">
        <f t="shared" si="36"/>
        <v/>
      </c>
      <c r="FU729" s="1520"/>
      <c r="FV729" s="1520"/>
      <c r="FW729" s="1520"/>
      <c r="FX729" s="1517"/>
      <c r="FY729" s="1516" t="str">
        <f t="shared" si="37"/>
        <v/>
      </c>
      <c r="FZ729" s="1520"/>
      <c r="GA729" s="1520"/>
      <c r="GB729" s="1520"/>
      <c r="GC729" s="1517"/>
    </row>
    <row r="730" spans="1:185" ht="13" customHeight="1">
      <c r="B730" s="1364" t="s">
        <v>163</v>
      </c>
      <c r="C730" s="1365" t="s">
        <v>2731</v>
      </c>
      <c r="D730" s="1365" t="s">
        <v>2731</v>
      </c>
      <c r="E730" s="1365" t="s">
        <v>2731</v>
      </c>
      <c r="F730" s="1366" t="s">
        <v>2731</v>
      </c>
      <c r="G730" s="1358">
        <v>2</v>
      </c>
      <c r="H730" s="1359"/>
      <c r="I730" s="1359"/>
      <c r="J730" s="1360"/>
      <c r="K730" s="1361">
        <v>705</v>
      </c>
      <c r="L730" s="1362"/>
      <c r="M730" s="1362"/>
      <c r="N730" s="1363"/>
      <c r="O730" s="1403">
        <v>923</v>
      </c>
      <c r="P730" s="1404"/>
      <c r="Q730" s="1404"/>
      <c r="R730" s="1404"/>
      <c r="S730" s="1405"/>
      <c r="T730" s="1403">
        <v>156</v>
      </c>
      <c r="U730" s="1404"/>
      <c r="V730" s="1404"/>
      <c r="W730" s="1405"/>
      <c r="X730" s="1406">
        <f t="shared" si="10"/>
        <v>1079</v>
      </c>
      <c r="Y730" s="1402"/>
      <c r="Z730" s="1402"/>
      <c r="AA730" s="1402"/>
      <c r="AB730" s="1407"/>
      <c r="AC730" s="1408">
        <v>0.3</v>
      </c>
      <c r="AD730" s="1409"/>
      <c r="AE730" s="1409"/>
      <c r="AF730" s="1409"/>
      <c r="AG730" s="1410"/>
      <c r="AH730" s="1486">
        <f t="shared" si="38"/>
        <v>0.30005561735261399</v>
      </c>
      <c r="AI730" s="1487"/>
      <c r="AJ730" s="1488"/>
      <c r="AK730" s="1364" t="s">
        <v>591</v>
      </c>
      <c r="AL730" s="1365"/>
      <c r="AM730" s="1365"/>
      <c r="AN730" s="1365"/>
      <c r="AO730" s="1366"/>
      <c r="AP730" s="3"/>
      <c r="AQ730" s="3"/>
      <c r="AR730" s="3"/>
      <c r="AS730" s="3"/>
      <c r="AY730" s="116"/>
      <c r="AZ730" s="118">
        <f t="shared" si="11"/>
        <v>3596</v>
      </c>
      <c r="BA730" s="3"/>
      <c r="BB730" s="3"/>
      <c r="BC730" s="3"/>
      <c r="BD730" s="3"/>
      <c r="BE730" s="204"/>
      <c r="BF730" s="294">
        <f t="shared" si="12"/>
        <v>2</v>
      </c>
      <c r="BG730" s="297">
        <f t="shared" si="13"/>
        <v>2.1052631578947368E-2</v>
      </c>
      <c r="BH730" s="298">
        <f t="shared" si="14"/>
        <v>6.3157894736842104E-3</v>
      </c>
      <c r="BI730" s="3"/>
      <c r="BJ730" s="3"/>
      <c r="BK730" s="3"/>
      <c r="BL730" s="3"/>
      <c r="BM730" s="3"/>
      <c r="BN730" s="3"/>
      <c r="BS730" s="294">
        <f t="shared" si="15"/>
        <v>2</v>
      </c>
      <c r="BT730" s="297">
        <f t="shared" si="16"/>
        <v>2.1052631578947368E-2</v>
      </c>
      <c r="BU730" s="298">
        <f t="shared" si="17"/>
        <v>6.3169603653181888E-3</v>
      </c>
      <c r="CC730" s="3"/>
      <c r="CD730" s="3"/>
      <c r="CE730" s="3"/>
      <c r="CF730" s="3"/>
      <c r="CG730" s="1516">
        <f t="shared" si="39"/>
        <v>0</v>
      </c>
      <c r="CH730" s="1517"/>
      <c r="CI730" s="1521">
        <f t="shared" si="40"/>
        <v>0</v>
      </c>
      <c r="CJ730" s="1522"/>
      <c r="CK730" s="1516">
        <f t="shared" si="18"/>
        <v>1</v>
      </c>
      <c r="CL730" s="1517"/>
      <c r="CM730" s="1521">
        <f t="shared" si="19"/>
        <v>2</v>
      </c>
      <c r="CN730" s="1522"/>
      <c r="CO730" s="3"/>
      <c r="CP730" s="1523">
        <f t="shared" si="20"/>
        <v>0</v>
      </c>
      <c r="CQ730" s="1524"/>
      <c r="CR730" s="1524"/>
      <c r="CS730" s="1524"/>
      <c r="CT730" s="1525"/>
      <c r="CU730" s="1519">
        <f t="shared" si="21"/>
        <v>0</v>
      </c>
      <c r="CV730" s="1519"/>
      <c r="CW730" s="1519"/>
      <c r="CX730" s="1519"/>
      <c r="CY730" s="1519"/>
      <c r="CZ730" s="1519">
        <f t="shared" si="22"/>
        <v>2</v>
      </c>
      <c r="DA730" s="1519"/>
      <c r="DB730" s="1519"/>
      <c r="DC730" s="1519"/>
      <c r="DD730" s="1519"/>
      <c r="DE730" s="1519">
        <f t="shared" si="23"/>
        <v>0</v>
      </c>
      <c r="DF730" s="1519"/>
      <c r="DG730" s="1519"/>
      <c r="DH730" s="1519"/>
      <c r="DI730" s="1519"/>
      <c r="DJ730" s="1519">
        <f t="shared" si="24"/>
        <v>0</v>
      </c>
      <c r="DK730" s="1519"/>
      <c r="DL730" s="1519"/>
      <c r="DM730" s="1519"/>
      <c r="DN730" s="1519"/>
      <c r="DO730" s="1519">
        <f t="shared" si="25"/>
        <v>0</v>
      </c>
      <c r="DP730" s="1519"/>
      <c r="DQ730" s="1519"/>
      <c r="DR730" s="1519"/>
      <c r="DS730" s="1519"/>
      <c r="DT730" s="6"/>
      <c r="DU730" s="1518">
        <f t="shared" si="26"/>
        <v>0</v>
      </c>
      <c r="DV730" s="1518"/>
      <c r="DW730" s="1518"/>
      <c r="DX730" s="1518"/>
      <c r="DY730" s="1518"/>
      <c r="DZ730" s="1518">
        <f t="shared" si="27"/>
        <v>0</v>
      </c>
      <c r="EA730" s="1518"/>
      <c r="EB730" s="1518"/>
      <c r="EC730" s="1518"/>
      <c r="ED730" s="1518"/>
      <c r="EE730" s="1518">
        <f t="shared" si="28"/>
        <v>2</v>
      </c>
      <c r="EF730" s="1518"/>
      <c r="EG730" s="1518"/>
      <c r="EH730" s="1518"/>
      <c r="EI730" s="1518"/>
      <c r="EJ730" s="1518">
        <f t="shared" si="29"/>
        <v>0</v>
      </c>
      <c r="EK730" s="1518"/>
      <c r="EL730" s="1518"/>
      <c r="EM730" s="1518"/>
      <c r="EN730" s="1518"/>
      <c r="EO730" s="1518">
        <f t="shared" si="30"/>
        <v>0</v>
      </c>
      <c r="EP730" s="1518"/>
      <c r="EQ730" s="1518"/>
      <c r="ER730" s="1518"/>
      <c r="ES730" s="1518"/>
      <c r="ET730" s="1518">
        <f t="shared" si="31"/>
        <v>0</v>
      </c>
      <c r="EU730" s="1518"/>
      <c r="EV730" s="1518"/>
      <c r="EW730" s="1518"/>
      <c r="EX730" s="1518"/>
      <c r="EZ730" s="1516" t="str">
        <f t="shared" si="32"/>
        <v/>
      </c>
      <c r="FA730" s="1520"/>
      <c r="FB730" s="1520"/>
      <c r="FC730" s="1520"/>
      <c r="FD730" s="1517"/>
      <c r="FE730" s="1516" t="str">
        <f t="shared" si="33"/>
        <v/>
      </c>
      <c r="FF730" s="1520"/>
      <c r="FG730" s="1520"/>
      <c r="FH730" s="1520"/>
      <c r="FI730" s="1517"/>
      <c r="FJ730" s="1516">
        <f t="shared" si="34"/>
        <v>923</v>
      </c>
      <c r="FK730" s="1520"/>
      <c r="FL730" s="1520"/>
      <c r="FM730" s="1520"/>
      <c r="FN730" s="1517"/>
      <c r="FO730" s="1516" t="str">
        <f t="shared" si="35"/>
        <v/>
      </c>
      <c r="FP730" s="1520"/>
      <c r="FQ730" s="1520"/>
      <c r="FR730" s="1520"/>
      <c r="FS730" s="1517"/>
      <c r="FT730" s="1516" t="str">
        <f t="shared" si="36"/>
        <v/>
      </c>
      <c r="FU730" s="1520"/>
      <c r="FV730" s="1520"/>
      <c r="FW730" s="1520"/>
      <c r="FX730" s="1517"/>
      <c r="FY730" s="1516" t="str">
        <f t="shared" si="37"/>
        <v/>
      </c>
      <c r="FZ730" s="1520"/>
      <c r="GA730" s="1520"/>
      <c r="GB730" s="1520"/>
      <c r="GC730" s="1517"/>
    </row>
    <row r="731" spans="1:185" ht="13" customHeight="1">
      <c r="B731" s="1364" t="s">
        <v>163</v>
      </c>
      <c r="C731" s="1365" t="s">
        <v>2731</v>
      </c>
      <c r="D731" s="1365" t="s">
        <v>2731</v>
      </c>
      <c r="E731" s="1365" t="s">
        <v>2731</v>
      </c>
      <c r="F731" s="1366" t="s">
        <v>2731</v>
      </c>
      <c r="G731" s="1358">
        <v>2</v>
      </c>
      <c r="H731" s="1359"/>
      <c r="I731" s="1359"/>
      <c r="J731" s="1360"/>
      <c r="K731" s="1361">
        <v>705</v>
      </c>
      <c r="L731" s="1362"/>
      <c r="M731" s="1362"/>
      <c r="N731" s="1363"/>
      <c r="O731" s="1403">
        <v>1283</v>
      </c>
      <c r="P731" s="1404"/>
      <c r="Q731" s="1404"/>
      <c r="R731" s="1404"/>
      <c r="S731" s="1405"/>
      <c r="T731" s="1403">
        <v>156</v>
      </c>
      <c r="U731" s="1404"/>
      <c r="V731" s="1404"/>
      <c r="W731" s="1405"/>
      <c r="X731" s="1406">
        <f t="shared" si="10"/>
        <v>1439</v>
      </c>
      <c r="Y731" s="1402"/>
      <c r="Z731" s="1402"/>
      <c r="AA731" s="1402"/>
      <c r="AB731" s="1407"/>
      <c r="AC731" s="1408">
        <v>0.4</v>
      </c>
      <c r="AD731" s="1409"/>
      <c r="AE731" s="1409"/>
      <c r="AF731" s="1409"/>
      <c r="AG731" s="1410"/>
      <c r="AH731" s="1486">
        <f t="shared" si="38"/>
        <v>0.40016685205784203</v>
      </c>
      <c r="AI731" s="1487"/>
      <c r="AJ731" s="1488"/>
      <c r="AK731" s="1364" t="s">
        <v>591</v>
      </c>
      <c r="AL731" s="1365"/>
      <c r="AM731" s="1365"/>
      <c r="AN731" s="1365"/>
      <c r="AO731" s="1366"/>
      <c r="AP731" s="3"/>
      <c r="AQ731" s="3"/>
      <c r="AR731" s="3"/>
      <c r="AS731" s="3"/>
      <c r="AY731" s="116"/>
      <c r="AZ731" s="118">
        <f t="shared" si="11"/>
        <v>3596</v>
      </c>
      <c r="BA731" s="3"/>
      <c r="BB731" s="3"/>
      <c r="BC731" s="3"/>
      <c r="BD731" s="3"/>
      <c r="BE731" s="204"/>
      <c r="BF731" s="294">
        <f t="shared" si="12"/>
        <v>2</v>
      </c>
      <c r="BG731" s="297">
        <f t="shared" si="13"/>
        <v>2.1052631578947368E-2</v>
      </c>
      <c r="BH731" s="298">
        <f t="shared" si="14"/>
        <v>8.4210526315789472E-3</v>
      </c>
      <c r="BI731" s="3"/>
      <c r="BJ731" s="3"/>
      <c r="BK731" s="3"/>
      <c r="BL731" s="3"/>
      <c r="BM731" s="3"/>
      <c r="BN731" s="3"/>
      <c r="BS731" s="294">
        <f t="shared" si="15"/>
        <v>2</v>
      </c>
      <c r="BT731" s="297">
        <f t="shared" si="16"/>
        <v>2.1052631578947368E-2</v>
      </c>
      <c r="BU731" s="298">
        <f t="shared" si="17"/>
        <v>8.4245653064808843E-3</v>
      </c>
      <c r="CC731" s="3"/>
      <c r="CD731" s="3"/>
      <c r="CE731" s="3"/>
      <c r="CF731" s="3"/>
      <c r="CG731" s="1516">
        <f t="shared" si="39"/>
        <v>1</v>
      </c>
      <c r="CH731" s="1517"/>
      <c r="CI731" s="1521">
        <f t="shared" si="40"/>
        <v>2</v>
      </c>
      <c r="CJ731" s="1522"/>
      <c r="CK731" s="1516">
        <f t="shared" si="18"/>
        <v>0</v>
      </c>
      <c r="CL731" s="1517"/>
      <c r="CM731" s="1521">
        <f t="shared" si="19"/>
        <v>0</v>
      </c>
      <c r="CN731" s="1522"/>
      <c r="CO731" s="3"/>
      <c r="CP731" s="1523">
        <f t="shared" si="20"/>
        <v>0</v>
      </c>
      <c r="CQ731" s="1524"/>
      <c r="CR731" s="1524"/>
      <c r="CS731" s="1524"/>
      <c r="CT731" s="1525"/>
      <c r="CU731" s="1519">
        <f t="shared" si="21"/>
        <v>0</v>
      </c>
      <c r="CV731" s="1519"/>
      <c r="CW731" s="1519"/>
      <c r="CX731" s="1519"/>
      <c r="CY731" s="1519"/>
      <c r="CZ731" s="1519">
        <f t="shared" si="22"/>
        <v>2</v>
      </c>
      <c r="DA731" s="1519"/>
      <c r="DB731" s="1519"/>
      <c r="DC731" s="1519"/>
      <c r="DD731" s="1519"/>
      <c r="DE731" s="1519">
        <f t="shared" si="23"/>
        <v>0</v>
      </c>
      <c r="DF731" s="1519"/>
      <c r="DG731" s="1519"/>
      <c r="DH731" s="1519"/>
      <c r="DI731" s="1519"/>
      <c r="DJ731" s="1519">
        <f t="shared" si="24"/>
        <v>0</v>
      </c>
      <c r="DK731" s="1519"/>
      <c r="DL731" s="1519"/>
      <c r="DM731" s="1519"/>
      <c r="DN731" s="1519"/>
      <c r="DO731" s="1519">
        <f t="shared" si="25"/>
        <v>0</v>
      </c>
      <c r="DP731" s="1519"/>
      <c r="DQ731" s="1519"/>
      <c r="DR731" s="1519"/>
      <c r="DS731" s="1519"/>
      <c r="DT731" s="6"/>
      <c r="DU731" s="1518">
        <f t="shared" si="26"/>
        <v>0</v>
      </c>
      <c r="DV731" s="1518"/>
      <c r="DW731" s="1518"/>
      <c r="DX731" s="1518"/>
      <c r="DY731" s="1518"/>
      <c r="DZ731" s="1518">
        <f t="shared" si="27"/>
        <v>0</v>
      </c>
      <c r="EA731" s="1518"/>
      <c r="EB731" s="1518"/>
      <c r="EC731" s="1518"/>
      <c r="ED731" s="1518"/>
      <c r="EE731" s="1518">
        <f t="shared" si="28"/>
        <v>0</v>
      </c>
      <c r="EF731" s="1518"/>
      <c r="EG731" s="1518"/>
      <c r="EH731" s="1518"/>
      <c r="EI731" s="1518"/>
      <c r="EJ731" s="1518">
        <f t="shared" si="29"/>
        <v>0</v>
      </c>
      <c r="EK731" s="1518"/>
      <c r="EL731" s="1518"/>
      <c r="EM731" s="1518"/>
      <c r="EN731" s="1518"/>
      <c r="EO731" s="1518">
        <f t="shared" si="30"/>
        <v>0</v>
      </c>
      <c r="EP731" s="1518"/>
      <c r="EQ731" s="1518"/>
      <c r="ER731" s="1518"/>
      <c r="ES731" s="1518"/>
      <c r="ET731" s="1518">
        <f t="shared" si="31"/>
        <v>0</v>
      </c>
      <c r="EU731" s="1518"/>
      <c r="EV731" s="1518"/>
      <c r="EW731" s="1518"/>
      <c r="EX731" s="1518"/>
      <c r="EZ731" s="1516" t="str">
        <f t="shared" si="32"/>
        <v/>
      </c>
      <c r="FA731" s="1520"/>
      <c r="FB731" s="1520"/>
      <c r="FC731" s="1520"/>
      <c r="FD731" s="1517"/>
      <c r="FE731" s="1516" t="str">
        <f t="shared" si="33"/>
        <v/>
      </c>
      <c r="FF731" s="1520"/>
      <c r="FG731" s="1520"/>
      <c r="FH731" s="1520"/>
      <c r="FI731" s="1517"/>
      <c r="FJ731" s="1516">
        <f t="shared" si="34"/>
        <v>1283</v>
      </c>
      <c r="FK731" s="1520"/>
      <c r="FL731" s="1520"/>
      <c r="FM731" s="1520"/>
      <c r="FN731" s="1517"/>
      <c r="FO731" s="1516" t="str">
        <f t="shared" si="35"/>
        <v/>
      </c>
      <c r="FP731" s="1520"/>
      <c r="FQ731" s="1520"/>
      <c r="FR731" s="1520"/>
      <c r="FS731" s="1517"/>
      <c r="FT731" s="1516" t="str">
        <f t="shared" si="36"/>
        <v/>
      </c>
      <c r="FU731" s="1520"/>
      <c r="FV731" s="1520"/>
      <c r="FW731" s="1520"/>
      <c r="FX731" s="1517"/>
      <c r="FY731" s="1516" t="str">
        <f t="shared" si="37"/>
        <v/>
      </c>
      <c r="FZ731" s="1520"/>
      <c r="GA731" s="1520"/>
      <c r="GB731" s="1520"/>
      <c r="GC731" s="1517"/>
    </row>
    <row r="732" spans="1:185" ht="13" customHeight="1">
      <c r="B732" s="1364" t="s">
        <v>163</v>
      </c>
      <c r="C732" s="1365" t="s">
        <v>2731</v>
      </c>
      <c r="D732" s="1365" t="s">
        <v>2731</v>
      </c>
      <c r="E732" s="1365" t="s">
        <v>2731</v>
      </c>
      <c r="F732" s="1366" t="s">
        <v>2731</v>
      </c>
      <c r="G732" s="1358">
        <v>4</v>
      </c>
      <c r="H732" s="1359"/>
      <c r="I732" s="1359"/>
      <c r="J732" s="1360"/>
      <c r="K732" s="1361">
        <v>705</v>
      </c>
      <c r="L732" s="1362"/>
      <c r="M732" s="1362"/>
      <c r="N732" s="1363"/>
      <c r="O732" s="1403">
        <v>1642</v>
      </c>
      <c r="P732" s="1404"/>
      <c r="Q732" s="1404"/>
      <c r="R732" s="1404"/>
      <c r="S732" s="1405"/>
      <c r="T732" s="1403">
        <v>156</v>
      </c>
      <c r="U732" s="1404"/>
      <c r="V732" s="1404"/>
      <c r="W732" s="1405"/>
      <c r="X732" s="1406">
        <f t="shared" si="10"/>
        <v>1798</v>
      </c>
      <c r="Y732" s="1402"/>
      <c r="Z732" s="1402"/>
      <c r="AA732" s="1402"/>
      <c r="AB732" s="1407"/>
      <c r="AC732" s="1408">
        <v>0.5</v>
      </c>
      <c r="AD732" s="1409"/>
      <c r="AE732" s="1409"/>
      <c r="AF732" s="1409"/>
      <c r="AG732" s="1410"/>
      <c r="AH732" s="1486">
        <f t="shared" si="38"/>
        <v>0.5</v>
      </c>
      <c r="AI732" s="1487"/>
      <c r="AJ732" s="1488"/>
      <c r="AK732" s="1364" t="s">
        <v>591</v>
      </c>
      <c r="AL732" s="1365"/>
      <c r="AM732" s="1365"/>
      <c r="AN732" s="1365"/>
      <c r="AO732" s="1366"/>
      <c r="AP732" s="3"/>
      <c r="AQ732" s="3"/>
      <c r="AR732" s="3"/>
      <c r="AS732" s="3"/>
      <c r="AY732" s="116"/>
      <c r="AZ732" s="118">
        <f t="shared" si="11"/>
        <v>3596</v>
      </c>
      <c r="BA732" s="3"/>
      <c r="BB732" s="3"/>
      <c r="BC732" s="3"/>
      <c r="BD732" s="3"/>
      <c r="BE732" s="204"/>
      <c r="BF732" s="294">
        <f t="shared" si="12"/>
        <v>4</v>
      </c>
      <c r="BG732" s="297">
        <f t="shared" si="13"/>
        <v>4.2105263157894736E-2</v>
      </c>
      <c r="BH732" s="298">
        <f t="shared" si="14"/>
        <v>2.1052631578947368E-2</v>
      </c>
      <c r="BI732" s="3"/>
      <c r="BJ732" s="3"/>
      <c r="BK732" s="3"/>
      <c r="BL732" s="3"/>
      <c r="BM732" s="3"/>
      <c r="BN732" s="3"/>
      <c r="BS732" s="294">
        <f t="shared" si="15"/>
        <v>4</v>
      </c>
      <c r="BT732" s="297">
        <f t="shared" si="16"/>
        <v>4.2105263157894736E-2</v>
      </c>
      <c r="BU732" s="298">
        <f t="shared" si="17"/>
        <v>2.1052631578947368E-2</v>
      </c>
      <c r="CC732" s="3"/>
      <c r="CE732" s="3"/>
      <c r="CF732" s="3"/>
      <c r="CG732" s="1516">
        <f t="shared" si="39"/>
        <v>1</v>
      </c>
      <c r="CH732" s="1517"/>
      <c r="CI732" s="1521">
        <f t="shared" si="40"/>
        <v>4</v>
      </c>
      <c r="CJ732" s="1522"/>
      <c r="CK732" s="1516">
        <f t="shared" si="18"/>
        <v>0</v>
      </c>
      <c r="CL732" s="1517"/>
      <c r="CM732" s="1521">
        <f t="shared" si="19"/>
        <v>0</v>
      </c>
      <c r="CN732" s="1522"/>
      <c r="CO732" s="3"/>
      <c r="CP732" s="1523">
        <f t="shared" si="20"/>
        <v>0</v>
      </c>
      <c r="CQ732" s="1524"/>
      <c r="CR732" s="1524"/>
      <c r="CS732" s="1524"/>
      <c r="CT732" s="1525"/>
      <c r="CU732" s="1519">
        <f t="shared" si="21"/>
        <v>0</v>
      </c>
      <c r="CV732" s="1519"/>
      <c r="CW732" s="1519"/>
      <c r="CX732" s="1519"/>
      <c r="CY732" s="1519"/>
      <c r="CZ732" s="1519">
        <f t="shared" si="22"/>
        <v>4</v>
      </c>
      <c r="DA732" s="1519"/>
      <c r="DB732" s="1519"/>
      <c r="DC732" s="1519"/>
      <c r="DD732" s="1519"/>
      <c r="DE732" s="1519">
        <f t="shared" si="23"/>
        <v>0</v>
      </c>
      <c r="DF732" s="1519"/>
      <c r="DG732" s="1519"/>
      <c r="DH732" s="1519"/>
      <c r="DI732" s="1519"/>
      <c r="DJ732" s="1519">
        <f t="shared" si="24"/>
        <v>0</v>
      </c>
      <c r="DK732" s="1519"/>
      <c r="DL732" s="1519"/>
      <c r="DM732" s="1519"/>
      <c r="DN732" s="1519"/>
      <c r="DO732" s="1519">
        <f t="shared" si="25"/>
        <v>0</v>
      </c>
      <c r="DP732" s="1519"/>
      <c r="DQ732" s="1519"/>
      <c r="DR732" s="1519"/>
      <c r="DS732" s="1519"/>
      <c r="DT732" s="6"/>
      <c r="DU732" s="1518">
        <f t="shared" si="26"/>
        <v>0</v>
      </c>
      <c r="DV732" s="1518"/>
      <c r="DW732" s="1518"/>
      <c r="DX732" s="1518"/>
      <c r="DY732" s="1518"/>
      <c r="DZ732" s="1518">
        <f t="shared" si="27"/>
        <v>0</v>
      </c>
      <c r="EA732" s="1518"/>
      <c r="EB732" s="1518"/>
      <c r="EC732" s="1518"/>
      <c r="ED732" s="1518"/>
      <c r="EE732" s="1518">
        <f t="shared" si="28"/>
        <v>0</v>
      </c>
      <c r="EF732" s="1518"/>
      <c r="EG732" s="1518"/>
      <c r="EH732" s="1518"/>
      <c r="EI732" s="1518"/>
      <c r="EJ732" s="1518">
        <f t="shared" si="29"/>
        <v>0</v>
      </c>
      <c r="EK732" s="1518"/>
      <c r="EL732" s="1518"/>
      <c r="EM732" s="1518"/>
      <c r="EN732" s="1518"/>
      <c r="EO732" s="1518">
        <f t="shared" si="30"/>
        <v>0</v>
      </c>
      <c r="EP732" s="1518"/>
      <c r="EQ732" s="1518"/>
      <c r="ER732" s="1518"/>
      <c r="ES732" s="1518"/>
      <c r="ET732" s="1518">
        <f t="shared" si="31"/>
        <v>0</v>
      </c>
      <c r="EU732" s="1518"/>
      <c r="EV732" s="1518"/>
      <c r="EW732" s="1518"/>
      <c r="EX732" s="1518"/>
      <c r="EZ732" s="1516" t="str">
        <f t="shared" si="32"/>
        <v/>
      </c>
      <c r="FA732" s="1520"/>
      <c r="FB732" s="1520"/>
      <c r="FC732" s="1520"/>
      <c r="FD732" s="1517"/>
      <c r="FE732" s="1516" t="str">
        <f t="shared" si="33"/>
        <v/>
      </c>
      <c r="FF732" s="1520"/>
      <c r="FG732" s="1520"/>
      <c r="FH732" s="1520"/>
      <c r="FI732" s="1517"/>
      <c r="FJ732" s="1516">
        <f t="shared" si="34"/>
        <v>1642</v>
      </c>
      <c r="FK732" s="1520"/>
      <c r="FL732" s="1520"/>
      <c r="FM732" s="1520"/>
      <c r="FN732" s="1517"/>
      <c r="FO732" s="1516" t="str">
        <f t="shared" si="35"/>
        <v/>
      </c>
      <c r="FP732" s="1520"/>
      <c r="FQ732" s="1520"/>
      <c r="FR732" s="1520"/>
      <c r="FS732" s="1517"/>
      <c r="FT732" s="1516" t="str">
        <f t="shared" si="36"/>
        <v/>
      </c>
      <c r="FU732" s="1520"/>
      <c r="FV732" s="1520"/>
      <c r="FW732" s="1520"/>
      <c r="FX732" s="1517"/>
      <c r="FY732" s="1516" t="str">
        <f t="shared" si="37"/>
        <v/>
      </c>
      <c r="FZ732" s="1520"/>
      <c r="GA732" s="1520"/>
      <c r="GB732" s="1520"/>
      <c r="GC732" s="1517"/>
    </row>
    <row r="733" spans="1:185" ht="13" customHeight="1">
      <c r="B733" s="1364" t="s">
        <v>163</v>
      </c>
      <c r="C733" s="1365" t="s">
        <v>2731</v>
      </c>
      <c r="D733" s="1365" t="s">
        <v>2731</v>
      </c>
      <c r="E733" s="1365" t="s">
        <v>2731</v>
      </c>
      <c r="F733" s="1366" t="s">
        <v>2731</v>
      </c>
      <c r="G733" s="1358">
        <v>4</v>
      </c>
      <c r="H733" s="1359"/>
      <c r="I733" s="1359"/>
      <c r="J733" s="1360"/>
      <c r="K733" s="1361">
        <v>705</v>
      </c>
      <c r="L733" s="1362"/>
      <c r="M733" s="1362"/>
      <c r="N733" s="1363"/>
      <c r="O733" s="1403">
        <v>2002</v>
      </c>
      <c r="P733" s="1404"/>
      <c r="Q733" s="1404"/>
      <c r="R733" s="1404"/>
      <c r="S733" s="1405"/>
      <c r="T733" s="1403">
        <v>156</v>
      </c>
      <c r="U733" s="1404"/>
      <c r="V733" s="1404"/>
      <c r="W733" s="1405"/>
      <c r="X733" s="1406">
        <f t="shared" si="10"/>
        <v>2158</v>
      </c>
      <c r="Y733" s="1402"/>
      <c r="Z733" s="1402"/>
      <c r="AA733" s="1402"/>
      <c r="AB733" s="1407"/>
      <c r="AC733" s="1408">
        <v>0.6</v>
      </c>
      <c r="AD733" s="1409"/>
      <c r="AE733" s="1409"/>
      <c r="AF733" s="1409"/>
      <c r="AG733" s="1410"/>
      <c r="AH733" s="1486">
        <f t="shared" si="38"/>
        <v>0.60011123470522798</v>
      </c>
      <c r="AI733" s="1487"/>
      <c r="AJ733" s="1488"/>
      <c r="AK733" s="1364" t="s">
        <v>591</v>
      </c>
      <c r="AL733" s="1365"/>
      <c r="AM733" s="1365"/>
      <c r="AN733" s="1365"/>
      <c r="AO733" s="1366"/>
      <c r="AP733" s="3"/>
      <c r="AQ733" s="3"/>
      <c r="AR733" s="3"/>
      <c r="AS733" s="3"/>
      <c r="AY733" s="1080"/>
      <c r="AZ733" s="118">
        <f t="shared" si="11"/>
        <v>3596</v>
      </c>
      <c r="BA733" s="3"/>
      <c r="BB733" s="3"/>
      <c r="BC733" s="3"/>
      <c r="BD733" s="3"/>
      <c r="BE733" s="204"/>
      <c r="BF733" s="294">
        <f t="shared" si="12"/>
        <v>4</v>
      </c>
      <c r="BG733" s="297">
        <f t="shared" si="13"/>
        <v>4.2105263157894736E-2</v>
      </c>
      <c r="BH733" s="298">
        <f t="shared" si="14"/>
        <v>2.5263157894736842E-2</v>
      </c>
      <c r="BI733" s="3"/>
      <c r="BJ733" s="3"/>
      <c r="BK733" s="3"/>
      <c r="BL733" s="3"/>
      <c r="BM733" s="3"/>
      <c r="BN733" s="3"/>
      <c r="BS733" s="294">
        <f t="shared" si="15"/>
        <v>4</v>
      </c>
      <c r="BT733" s="297">
        <f t="shared" si="16"/>
        <v>4.2105263157894736E-2</v>
      </c>
      <c r="BU733" s="298">
        <f t="shared" si="17"/>
        <v>2.5267841461272755E-2</v>
      </c>
      <c r="BV733" s="292"/>
      <c r="BW733" s="3"/>
      <c r="BX733" s="3"/>
      <c r="BY733" s="3"/>
      <c r="BZ733" s="3"/>
      <c r="CA733" s="3"/>
      <c r="CB733" s="3"/>
      <c r="CC733" s="3"/>
      <c r="CE733" s="3"/>
      <c r="CF733" s="3"/>
      <c r="CG733" s="1516">
        <f t="shared" si="39"/>
        <v>0</v>
      </c>
      <c r="CH733" s="1517"/>
      <c r="CI733" s="1521">
        <f t="shared" si="40"/>
        <v>0</v>
      </c>
      <c r="CJ733" s="1522"/>
      <c r="CK733" s="1516">
        <f t="shared" si="18"/>
        <v>0</v>
      </c>
      <c r="CL733" s="1517"/>
      <c r="CM733" s="1521">
        <f t="shared" si="19"/>
        <v>0</v>
      </c>
      <c r="CN733" s="1522"/>
      <c r="CO733" s="3"/>
      <c r="CP733" s="1523">
        <f t="shared" si="20"/>
        <v>0</v>
      </c>
      <c r="CQ733" s="1524"/>
      <c r="CR733" s="1524"/>
      <c r="CS733" s="1524"/>
      <c r="CT733" s="1525"/>
      <c r="CU733" s="1519">
        <f t="shared" si="21"/>
        <v>0</v>
      </c>
      <c r="CV733" s="1519"/>
      <c r="CW733" s="1519"/>
      <c r="CX733" s="1519"/>
      <c r="CY733" s="1519"/>
      <c r="CZ733" s="1519">
        <f t="shared" si="22"/>
        <v>4</v>
      </c>
      <c r="DA733" s="1519"/>
      <c r="DB733" s="1519"/>
      <c r="DC733" s="1519"/>
      <c r="DD733" s="1519"/>
      <c r="DE733" s="1519">
        <f t="shared" si="23"/>
        <v>0</v>
      </c>
      <c r="DF733" s="1519"/>
      <c r="DG733" s="1519"/>
      <c r="DH733" s="1519"/>
      <c r="DI733" s="1519"/>
      <c r="DJ733" s="1519">
        <f t="shared" si="24"/>
        <v>0</v>
      </c>
      <c r="DK733" s="1519"/>
      <c r="DL733" s="1519"/>
      <c r="DM733" s="1519"/>
      <c r="DN733" s="1519"/>
      <c r="DO733" s="1519">
        <f t="shared" si="25"/>
        <v>0</v>
      </c>
      <c r="DP733" s="1519"/>
      <c r="DQ733" s="1519"/>
      <c r="DR733" s="1519"/>
      <c r="DS733" s="1519"/>
      <c r="DT733" s="6"/>
      <c r="DU733" s="1518">
        <f t="shared" si="26"/>
        <v>0</v>
      </c>
      <c r="DV733" s="1518"/>
      <c r="DW733" s="1518"/>
      <c r="DX733" s="1518"/>
      <c r="DY733" s="1518"/>
      <c r="DZ733" s="1518">
        <f t="shared" si="27"/>
        <v>0</v>
      </c>
      <c r="EA733" s="1518"/>
      <c r="EB733" s="1518"/>
      <c r="EC733" s="1518"/>
      <c r="ED733" s="1518"/>
      <c r="EE733" s="1518">
        <f t="shared" si="28"/>
        <v>0</v>
      </c>
      <c r="EF733" s="1518"/>
      <c r="EG733" s="1518"/>
      <c r="EH733" s="1518"/>
      <c r="EI733" s="1518"/>
      <c r="EJ733" s="1518">
        <f t="shared" si="29"/>
        <v>0</v>
      </c>
      <c r="EK733" s="1518"/>
      <c r="EL733" s="1518"/>
      <c r="EM733" s="1518"/>
      <c r="EN733" s="1518"/>
      <c r="EO733" s="1518">
        <f t="shared" si="30"/>
        <v>0</v>
      </c>
      <c r="EP733" s="1518"/>
      <c r="EQ733" s="1518"/>
      <c r="ER733" s="1518"/>
      <c r="ES733" s="1518"/>
      <c r="ET733" s="1518">
        <f t="shared" si="31"/>
        <v>0</v>
      </c>
      <c r="EU733" s="1518"/>
      <c r="EV733" s="1518"/>
      <c r="EW733" s="1518"/>
      <c r="EX733" s="1518"/>
      <c r="EZ733" s="1516" t="str">
        <f t="shared" si="32"/>
        <v/>
      </c>
      <c r="FA733" s="1520"/>
      <c r="FB733" s="1520"/>
      <c r="FC733" s="1520"/>
      <c r="FD733" s="1517"/>
      <c r="FE733" s="1516" t="str">
        <f t="shared" si="33"/>
        <v/>
      </c>
      <c r="FF733" s="1520"/>
      <c r="FG733" s="1520"/>
      <c r="FH733" s="1520"/>
      <c r="FI733" s="1517"/>
      <c r="FJ733" s="1516">
        <f t="shared" si="34"/>
        <v>2002</v>
      </c>
      <c r="FK733" s="1520"/>
      <c r="FL733" s="1520"/>
      <c r="FM733" s="1520"/>
      <c r="FN733" s="1517"/>
      <c r="FO733" s="1516" t="str">
        <f t="shared" si="35"/>
        <v/>
      </c>
      <c r="FP733" s="1520"/>
      <c r="FQ733" s="1520"/>
      <c r="FR733" s="1520"/>
      <c r="FS733" s="1517"/>
      <c r="FT733" s="1516" t="str">
        <f t="shared" si="36"/>
        <v/>
      </c>
      <c r="FU733" s="1520"/>
      <c r="FV733" s="1520"/>
      <c r="FW733" s="1520"/>
      <c r="FX733" s="1517"/>
      <c r="FY733" s="1516" t="str">
        <f t="shared" si="37"/>
        <v/>
      </c>
      <c r="FZ733" s="1520"/>
      <c r="GA733" s="1520"/>
      <c r="GB733" s="1520"/>
      <c r="GC733" s="1517"/>
    </row>
    <row r="734" spans="1:185" ht="13" customHeight="1">
      <c r="B734" s="1364" t="s">
        <v>163</v>
      </c>
      <c r="C734" s="1365" t="s">
        <v>2731</v>
      </c>
      <c r="D734" s="1365" t="s">
        <v>2731</v>
      </c>
      <c r="E734" s="1365" t="s">
        <v>2731</v>
      </c>
      <c r="F734" s="1366" t="s">
        <v>2731</v>
      </c>
      <c r="G734" s="1358">
        <v>6</v>
      </c>
      <c r="H734" s="1359"/>
      <c r="I734" s="1359"/>
      <c r="J734" s="1360"/>
      <c r="K734" s="1361">
        <v>705</v>
      </c>
      <c r="L734" s="1362"/>
      <c r="M734" s="1362"/>
      <c r="N734" s="1363"/>
      <c r="O734" s="1403">
        <v>2362</v>
      </c>
      <c r="P734" s="1404"/>
      <c r="Q734" s="1404"/>
      <c r="R734" s="1404"/>
      <c r="S734" s="1405"/>
      <c r="T734" s="1403">
        <v>156</v>
      </c>
      <c r="U734" s="1404"/>
      <c r="V734" s="1404"/>
      <c r="W734" s="1405"/>
      <c r="X734" s="1406">
        <f t="shared" si="10"/>
        <v>2518</v>
      </c>
      <c r="Y734" s="1402"/>
      <c r="Z734" s="1402"/>
      <c r="AA734" s="1402"/>
      <c r="AB734" s="1407"/>
      <c r="AC734" s="1408">
        <v>0.7</v>
      </c>
      <c r="AD734" s="1409"/>
      <c r="AE734" s="1409"/>
      <c r="AF734" s="1409"/>
      <c r="AG734" s="1410"/>
      <c r="AH734" s="1486">
        <f t="shared" si="38"/>
        <v>0.70022246941045607</v>
      </c>
      <c r="AI734" s="1487"/>
      <c r="AJ734" s="1488"/>
      <c r="AK734" s="1364" t="s">
        <v>591</v>
      </c>
      <c r="AL734" s="1365"/>
      <c r="AM734" s="1365"/>
      <c r="AN734" s="1365"/>
      <c r="AO734" s="1366"/>
      <c r="AP734" s="3"/>
      <c r="AQ734" s="3"/>
      <c r="AR734" s="3"/>
      <c r="AS734" s="3"/>
      <c r="AY734" s="1080"/>
      <c r="AZ734" s="118">
        <f t="shared" si="11"/>
        <v>3596</v>
      </c>
      <c r="BA734" s="3"/>
      <c r="BB734" s="3"/>
      <c r="BC734" s="3"/>
      <c r="BD734" s="3"/>
      <c r="BE734" s="204"/>
      <c r="BF734" s="294">
        <f t="shared" si="12"/>
        <v>6</v>
      </c>
      <c r="BG734" s="297">
        <f t="shared" si="13"/>
        <v>6.3157894736842107E-2</v>
      </c>
      <c r="BH734" s="298">
        <f t="shared" si="14"/>
        <v>4.4210526315789471E-2</v>
      </c>
      <c r="BI734" s="3"/>
      <c r="BJ734" s="3"/>
      <c r="BK734" s="3"/>
      <c r="BL734" s="3"/>
      <c r="BM734" s="3"/>
      <c r="BN734" s="3"/>
      <c r="BS734" s="294">
        <f t="shared" si="15"/>
        <v>6</v>
      </c>
      <c r="BT734" s="297">
        <f t="shared" si="16"/>
        <v>6.3157894736842107E-2</v>
      </c>
      <c r="BU734" s="298">
        <f t="shared" si="17"/>
        <v>4.4224577015397226E-2</v>
      </c>
      <c r="BV734" s="3"/>
      <c r="BW734" s="3"/>
      <c r="BX734" s="3"/>
      <c r="BY734" s="3"/>
      <c r="BZ734" s="3"/>
      <c r="CA734" s="3"/>
      <c r="CB734" s="3"/>
      <c r="CC734" s="3"/>
      <c r="CE734" s="3"/>
      <c r="CF734" s="3"/>
      <c r="CG734" s="1516">
        <f t="shared" si="39"/>
        <v>0</v>
      </c>
      <c r="CH734" s="1517"/>
      <c r="CI734" s="1521">
        <f t="shared" si="40"/>
        <v>0</v>
      </c>
      <c r="CJ734" s="1522"/>
      <c r="CK734" s="1516">
        <f t="shared" si="18"/>
        <v>0</v>
      </c>
      <c r="CL734" s="1517"/>
      <c r="CM734" s="1521">
        <f t="shared" si="19"/>
        <v>0</v>
      </c>
      <c r="CN734" s="1522"/>
      <c r="CO734" s="3"/>
      <c r="CP734" s="1523">
        <f t="shared" si="20"/>
        <v>0</v>
      </c>
      <c r="CQ734" s="1524"/>
      <c r="CR734" s="1524"/>
      <c r="CS734" s="1524"/>
      <c r="CT734" s="1525"/>
      <c r="CU734" s="1519">
        <f t="shared" si="21"/>
        <v>0</v>
      </c>
      <c r="CV734" s="1519"/>
      <c r="CW734" s="1519"/>
      <c r="CX734" s="1519"/>
      <c r="CY734" s="1519"/>
      <c r="CZ734" s="1519">
        <f t="shared" si="22"/>
        <v>6</v>
      </c>
      <c r="DA734" s="1519"/>
      <c r="DB734" s="1519"/>
      <c r="DC734" s="1519"/>
      <c r="DD734" s="1519"/>
      <c r="DE734" s="1519">
        <f t="shared" si="23"/>
        <v>0</v>
      </c>
      <c r="DF734" s="1519"/>
      <c r="DG734" s="1519"/>
      <c r="DH734" s="1519"/>
      <c r="DI734" s="1519"/>
      <c r="DJ734" s="1519">
        <f t="shared" si="24"/>
        <v>0</v>
      </c>
      <c r="DK734" s="1519"/>
      <c r="DL734" s="1519"/>
      <c r="DM734" s="1519"/>
      <c r="DN734" s="1519"/>
      <c r="DO734" s="1519">
        <f t="shared" si="25"/>
        <v>0</v>
      </c>
      <c r="DP734" s="1519"/>
      <c r="DQ734" s="1519"/>
      <c r="DR734" s="1519"/>
      <c r="DS734" s="1519"/>
      <c r="DT734" s="6"/>
      <c r="DU734" s="1518">
        <f t="shared" si="26"/>
        <v>0</v>
      </c>
      <c r="DV734" s="1518"/>
      <c r="DW734" s="1518"/>
      <c r="DX734" s="1518"/>
      <c r="DY734" s="1518"/>
      <c r="DZ734" s="1518">
        <f t="shared" si="27"/>
        <v>0</v>
      </c>
      <c r="EA734" s="1518"/>
      <c r="EB734" s="1518"/>
      <c r="EC734" s="1518"/>
      <c r="ED734" s="1518"/>
      <c r="EE734" s="1518">
        <f t="shared" si="28"/>
        <v>0</v>
      </c>
      <c r="EF734" s="1518"/>
      <c r="EG734" s="1518"/>
      <c r="EH734" s="1518"/>
      <c r="EI734" s="1518"/>
      <c r="EJ734" s="1518">
        <f t="shared" si="29"/>
        <v>0</v>
      </c>
      <c r="EK734" s="1518"/>
      <c r="EL734" s="1518"/>
      <c r="EM734" s="1518"/>
      <c r="EN734" s="1518"/>
      <c r="EO734" s="1518">
        <f t="shared" si="30"/>
        <v>0</v>
      </c>
      <c r="EP734" s="1518"/>
      <c r="EQ734" s="1518"/>
      <c r="ER734" s="1518"/>
      <c r="ES734" s="1518"/>
      <c r="ET734" s="1518">
        <f t="shared" si="31"/>
        <v>0</v>
      </c>
      <c r="EU734" s="1518"/>
      <c r="EV734" s="1518"/>
      <c r="EW734" s="1518"/>
      <c r="EX734" s="1518"/>
      <c r="EY734" s="4"/>
      <c r="EZ734" s="1516" t="str">
        <f t="shared" si="32"/>
        <v/>
      </c>
      <c r="FA734" s="1520"/>
      <c r="FB734" s="1520"/>
      <c r="FC734" s="1520"/>
      <c r="FD734" s="1517"/>
      <c r="FE734" s="1516" t="str">
        <f t="shared" si="33"/>
        <v/>
      </c>
      <c r="FF734" s="1520"/>
      <c r="FG734" s="1520"/>
      <c r="FH734" s="1520"/>
      <c r="FI734" s="1517"/>
      <c r="FJ734" s="1516">
        <f t="shared" si="34"/>
        <v>2362</v>
      </c>
      <c r="FK734" s="1520"/>
      <c r="FL734" s="1520"/>
      <c r="FM734" s="1520"/>
      <c r="FN734" s="1517"/>
      <c r="FO734" s="1516" t="str">
        <f t="shared" si="35"/>
        <v/>
      </c>
      <c r="FP734" s="1520"/>
      <c r="FQ734" s="1520"/>
      <c r="FR734" s="1520"/>
      <c r="FS734" s="1517"/>
      <c r="FT734" s="1516" t="str">
        <f t="shared" si="36"/>
        <v/>
      </c>
      <c r="FU734" s="1520"/>
      <c r="FV734" s="1520"/>
      <c r="FW734" s="1520"/>
      <c r="FX734" s="1517"/>
      <c r="FY734" s="1516" t="str">
        <f t="shared" si="37"/>
        <v/>
      </c>
      <c r="FZ734" s="1520"/>
      <c r="GA734" s="1520"/>
      <c r="GB734" s="1520"/>
      <c r="GC734" s="1517"/>
    </row>
    <row r="735" spans="1:185" ht="13" customHeight="1">
      <c r="A735" s="4"/>
      <c r="B735" s="1364" t="s">
        <v>163</v>
      </c>
      <c r="C735" s="1365" t="s">
        <v>2731</v>
      </c>
      <c r="D735" s="1365" t="s">
        <v>2731</v>
      </c>
      <c r="E735" s="1365" t="s">
        <v>2731</v>
      </c>
      <c r="F735" s="1366" t="s">
        <v>2731</v>
      </c>
      <c r="G735" s="1358">
        <v>6</v>
      </c>
      <c r="H735" s="1359"/>
      <c r="I735" s="1359"/>
      <c r="J735" s="1360"/>
      <c r="K735" s="1361">
        <v>705</v>
      </c>
      <c r="L735" s="1362"/>
      <c r="M735" s="1362"/>
      <c r="N735" s="1363"/>
      <c r="O735" s="1403">
        <v>2722</v>
      </c>
      <c r="P735" s="1404"/>
      <c r="Q735" s="1404"/>
      <c r="R735" s="1404"/>
      <c r="S735" s="1405"/>
      <c r="T735" s="1403">
        <v>156</v>
      </c>
      <c r="U735" s="1404"/>
      <c r="V735" s="1404"/>
      <c r="W735" s="1405"/>
      <c r="X735" s="1406">
        <f t="shared" si="10"/>
        <v>2878</v>
      </c>
      <c r="Y735" s="1402"/>
      <c r="Z735" s="1402"/>
      <c r="AA735" s="1402"/>
      <c r="AB735" s="1407"/>
      <c r="AC735" s="1408">
        <v>0.8</v>
      </c>
      <c r="AD735" s="1409"/>
      <c r="AE735" s="1409"/>
      <c r="AF735" s="1409"/>
      <c r="AG735" s="1410"/>
      <c r="AH735" s="1486">
        <f t="shared" si="38"/>
        <v>0.80033370411568405</v>
      </c>
      <c r="AI735" s="1487"/>
      <c r="AJ735" s="1488"/>
      <c r="AK735" s="1364" t="s">
        <v>591</v>
      </c>
      <c r="AL735" s="1365"/>
      <c r="AM735" s="1365"/>
      <c r="AN735" s="1365"/>
      <c r="AO735" s="1366"/>
      <c r="AP735" s="3"/>
      <c r="AQ735" s="3"/>
      <c r="AR735" s="3"/>
      <c r="AS735" s="3"/>
      <c r="AY735" s="1080"/>
      <c r="AZ735" s="118">
        <f t="shared" si="11"/>
        <v>3596</v>
      </c>
      <c r="BA735" s="3"/>
      <c r="BB735" s="3"/>
      <c r="BC735" s="3"/>
      <c r="BD735" s="3"/>
      <c r="BE735" s="204"/>
      <c r="BF735" s="294">
        <f t="shared" si="12"/>
        <v>6</v>
      </c>
      <c r="BG735" s="297">
        <f t="shared" si="13"/>
        <v>6.3157894736842107E-2</v>
      </c>
      <c r="BH735" s="298">
        <f t="shared" si="14"/>
        <v>5.052631578947369E-2</v>
      </c>
      <c r="BI735" s="3"/>
      <c r="BJ735" s="3"/>
      <c r="BK735" s="3"/>
      <c r="BL735" s="3"/>
      <c r="BM735" s="3"/>
      <c r="BN735" s="3"/>
      <c r="BS735" s="294">
        <f t="shared" si="15"/>
        <v>6</v>
      </c>
      <c r="BT735" s="297">
        <f t="shared" si="16"/>
        <v>6.3157894736842107E-2</v>
      </c>
      <c r="BU735" s="298">
        <f t="shared" si="17"/>
        <v>5.0547391838885312E-2</v>
      </c>
      <c r="BV735" s="3"/>
      <c r="BW735" s="3"/>
      <c r="BX735" s="3"/>
      <c r="BY735" s="3"/>
      <c r="BZ735" s="3"/>
      <c r="CA735" s="3"/>
      <c r="CB735" s="3"/>
      <c r="CC735" s="3"/>
      <c r="CE735" s="3"/>
      <c r="CF735" s="3"/>
      <c r="CG735" s="1516">
        <f t="shared" si="39"/>
        <v>0</v>
      </c>
      <c r="CH735" s="1517"/>
      <c r="CI735" s="1521">
        <f t="shared" si="40"/>
        <v>0</v>
      </c>
      <c r="CJ735" s="1522"/>
      <c r="CK735" s="1516">
        <f t="shared" si="18"/>
        <v>0</v>
      </c>
      <c r="CL735" s="1517"/>
      <c r="CM735" s="1521">
        <f t="shared" si="19"/>
        <v>0</v>
      </c>
      <c r="CN735" s="1522"/>
      <c r="CO735" s="3"/>
      <c r="CP735" s="1523">
        <f t="shared" si="20"/>
        <v>0</v>
      </c>
      <c r="CQ735" s="1524"/>
      <c r="CR735" s="1524"/>
      <c r="CS735" s="1524"/>
      <c r="CT735" s="1525"/>
      <c r="CU735" s="1519">
        <f t="shared" si="21"/>
        <v>0</v>
      </c>
      <c r="CV735" s="1519"/>
      <c r="CW735" s="1519"/>
      <c r="CX735" s="1519"/>
      <c r="CY735" s="1519"/>
      <c r="CZ735" s="1519">
        <f t="shared" si="22"/>
        <v>6</v>
      </c>
      <c r="DA735" s="1519"/>
      <c r="DB735" s="1519"/>
      <c r="DC735" s="1519"/>
      <c r="DD735" s="1519"/>
      <c r="DE735" s="1519">
        <f t="shared" si="23"/>
        <v>0</v>
      </c>
      <c r="DF735" s="1519"/>
      <c r="DG735" s="1519"/>
      <c r="DH735" s="1519"/>
      <c r="DI735" s="1519"/>
      <c r="DJ735" s="1519">
        <f t="shared" si="24"/>
        <v>0</v>
      </c>
      <c r="DK735" s="1519"/>
      <c r="DL735" s="1519"/>
      <c r="DM735" s="1519"/>
      <c r="DN735" s="1519"/>
      <c r="DO735" s="1519">
        <f t="shared" si="25"/>
        <v>0</v>
      </c>
      <c r="DP735" s="1519"/>
      <c r="DQ735" s="1519"/>
      <c r="DR735" s="1519"/>
      <c r="DS735" s="1519"/>
      <c r="DT735" s="6"/>
      <c r="DU735" s="1518">
        <f t="shared" si="26"/>
        <v>0</v>
      </c>
      <c r="DV735" s="1518"/>
      <c r="DW735" s="1518"/>
      <c r="DX735" s="1518"/>
      <c r="DY735" s="1518"/>
      <c r="DZ735" s="1518">
        <f t="shared" si="27"/>
        <v>0</v>
      </c>
      <c r="EA735" s="1518"/>
      <c r="EB735" s="1518"/>
      <c r="EC735" s="1518"/>
      <c r="ED735" s="1518"/>
      <c r="EE735" s="1518">
        <f t="shared" si="28"/>
        <v>0</v>
      </c>
      <c r="EF735" s="1518"/>
      <c r="EG735" s="1518"/>
      <c r="EH735" s="1518"/>
      <c r="EI735" s="1518"/>
      <c r="EJ735" s="1518">
        <f t="shared" si="29"/>
        <v>0</v>
      </c>
      <c r="EK735" s="1518"/>
      <c r="EL735" s="1518"/>
      <c r="EM735" s="1518"/>
      <c r="EN735" s="1518"/>
      <c r="EO735" s="1518">
        <f t="shared" si="30"/>
        <v>0</v>
      </c>
      <c r="EP735" s="1518"/>
      <c r="EQ735" s="1518"/>
      <c r="ER735" s="1518"/>
      <c r="ES735" s="1518"/>
      <c r="ET735" s="1518">
        <f t="shared" si="31"/>
        <v>0</v>
      </c>
      <c r="EU735" s="1518"/>
      <c r="EV735" s="1518"/>
      <c r="EW735" s="1518"/>
      <c r="EX735" s="1518"/>
      <c r="EY735" s="4"/>
      <c r="EZ735" s="1516" t="str">
        <f t="shared" si="32"/>
        <v/>
      </c>
      <c r="FA735" s="1520"/>
      <c r="FB735" s="1520"/>
      <c r="FC735" s="1520"/>
      <c r="FD735" s="1517"/>
      <c r="FE735" s="1516" t="str">
        <f t="shared" si="33"/>
        <v/>
      </c>
      <c r="FF735" s="1520"/>
      <c r="FG735" s="1520"/>
      <c r="FH735" s="1520"/>
      <c r="FI735" s="1517"/>
      <c r="FJ735" s="1516">
        <f t="shared" si="34"/>
        <v>2722</v>
      </c>
      <c r="FK735" s="1520"/>
      <c r="FL735" s="1520"/>
      <c r="FM735" s="1520"/>
      <c r="FN735" s="1517"/>
      <c r="FO735" s="1516" t="str">
        <f t="shared" si="35"/>
        <v/>
      </c>
      <c r="FP735" s="1520"/>
      <c r="FQ735" s="1520"/>
      <c r="FR735" s="1520"/>
      <c r="FS735" s="1517"/>
      <c r="FT735" s="1516" t="str">
        <f t="shared" si="36"/>
        <v/>
      </c>
      <c r="FU735" s="1520"/>
      <c r="FV735" s="1520"/>
      <c r="FW735" s="1520"/>
      <c r="FX735" s="1517"/>
      <c r="FY735" s="1516" t="str">
        <f t="shared" si="37"/>
        <v/>
      </c>
      <c r="FZ735" s="1520"/>
      <c r="GA735" s="1520"/>
      <c r="GB735" s="1520"/>
      <c r="GC735" s="1517"/>
    </row>
    <row r="736" spans="1:185" ht="13" customHeight="1">
      <c r="A736" s="4"/>
      <c r="B736" s="1364" t="s">
        <v>164</v>
      </c>
      <c r="C736" s="1365" t="s">
        <v>164</v>
      </c>
      <c r="D736" s="1365" t="s">
        <v>164</v>
      </c>
      <c r="E736" s="1365" t="s">
        <v>164</v>
      </c>
      <c r="F736" s="1366" t="s">
        <v>164</v>
      </c>
      <c r="G736" s="1358">
        <v>2</v>
      </c>
      <c r="H736" s="1359"/>
      <c r="I736" s="1359"/>
      <c r="J736" s="1360"/>
      <c r="K736" s="1361">
        <v>976</v>
      </c>
      <c r="L736" s="1362"/>
      <c r="M736" s="1362"/>
      <c r="N736" s="1363"/>
      <c r="O736" s="1403">
        <v>1043</v>
      </c>
      <c r="P736" s="1404"/>
      <c r="Q736" s="1404"/>
      <c r="R736" s="1404"/>
      <c r="S736" s="1405"/>
      <c r="T736" s="1403">
        <v>203</v>
      </c>
      <c r="U736" s="1404"/>
      <c r="V736" s="1404"/>
      <c r="W736" s="1405"/>
      <c r="X736" s="1406">
        <f t="shared" si="10"/>
        <v>1246</v>
      </c>
      <c r="Y736" s="1402"/>
      <c r="Z736" s="1402"/>
      <c r="AA736" s="1402"/>
      <c r="AB736" s="1407"/>
      <c r="AC736" s="1408">
        <v>0.3</v>
      </c>
      <c r="AD736" s="1409"/>
      <c r="AE736" s="1409"/>
      <c r="AF736" s="1409"/>
      <c r="AG736" s="1410"/>
      <c r="AH736" s="1486">
        <f t="shared" si="38"/>
        <v>0.29995185363505056</v>
      </c>
      <c r="AI736" s="1487"/>
      <c r="AJ736" s="1488"/>
      <c r="AK736" s="1364" t="s">
        <v>591</v>
      </c>
      <c r="AL736" s="1365"/>
      <c r="AM736" s="1365"/>
      <c r="AN736" s="1365"/>
      <c r="AO736" s="1366"/>
      <c r="AP736" s="3"/>
      <c r="AQ736" s="3"/>
      <c r="AR736" s="3"/>
      <c r="AS736" s="3"/>
      <c r="AY736" s="1080"/>
      <c r="AZ736" s="118">
        <f t="shared" si="11"/>
        <v>4154</v>
      </c>
      <c r="BA736" s="3"/>
      <c r="BB736" s="3"/>
      <c r="BC736" s="3"/>
      <c r="BD736" s="3"/>
      <c r="BE736" s="204"/>
      <c r="BF736" s="294">
        <f t="shared" si="12"/>
        <v>2</v>
      </c>
      <c r="BG736" s="297">
        <f t="shared" si="13"/>
        <v>2.1052631578947368E-2</v>
      </c>
      <c r="BH736" s="298">
        <f t="shared" si="14"/>
        <v>6.3157894736842104E-3</v>
      </c>
      <c r="BI736" s="3"/>
      <c r="BJ736" s="3"/>
      <c r="BK736" s="3"/>
      <c r="BL736" s="3"/>
      <c r="BM736" s="3"/>
      <c r="BN736" s="3"/>
      <c r="BS736" s="294">
        <f t="shared" si="15"/>
        <v>2</v>
      </c>
      <c r="BT736" s="297">
        <f t="shared" si="16"/>
        <v>2.1052631578947368E-2</v>
      </c>
      <c r="BU736" s="298">
        <f t="shared" si="17"/>
        <v>6.3147758660010642E-3</v>
      </c>
      <c r="BV736" s="3"/>
      <c r="BW736" s="3"/>
      <c r="BX736" s="3"/>
      <c r="BY736" s="3"/>
      <c r="BZ736" s="3"/>
      <c r="CA736" s="3"/>
      <c r="CB736" s="3"/>
      <c r="CC736" s="3"/>
      <c r="CE736" s="3"/>
      <c r="CF736" s="3"/>
      <c r="CG736" s="1516">
        <f t="shared" si="39"/>
        <v>0</v>
      </c>
      <c r="CH736" s="1517"/>
      <c r="CI736" s="1521">
        <f t="shared" si="40"/>
        <v>0</v>
      </c>
      <c r="CJ736" s="1522"/>
      <c r="CK736" s="1516">
        <f t="shared" si="18"/>
        <v>1</v>
      </c>
      <c r="CL736" s="1517"/>
      <c r="CM736" s="1521">
        <f t="shared" si="19"/>
        <v>2</v>
      </c>
      <c r="CN736" s="1522"/>
      <c r="CO736" s="3"/>
      <c r="CP736" s="1523">
        <f t="shared" si="20"/>
        <v>0</v>
      </c>
      <c r="CQ736" s="1524"/>
      <c r="CR736" s="1524"/>
      <c r="CS736" s="1524"/>
      <c r="CT736" s="1525"/>
      <c r="CU736" s="1519">
        <f t="shared" si="21"/>
        <v>0</v>
      </c>
      <c r="CV736" s="1519"/>
      <c r="CW736" s="1519"/>
      <c r="CX736" s="1519"/>
      <c r="CY736" s="1519"/>
      <c r="CZ736" s="1519">
        <f t="shared" si="22"/>
        <v>0</v>
      </c>
      <c r="DA736" s="1519"/>
      <c r="DB736" s="1519"/>
      <c r="DC736" s="1519"/>
      <c r="DD736" s="1519"/>
      <c r="DE736" s="1519">
        <f t="shared" si="23"/>
        <v>2</v>
      </c>
      <c r="DF736" s="1519"/>
      <c r="DG736" s="1519"/>
      <c r="DH736" s="1519"/>
      <c r="DI736" s="1519"/>
      <c r="DJ736" s="1519">
        <f t="shared" si="24"/>
        <v>0</v>
      </c>
      <c r="DK736" s="1519"/>
      <c r="DL736" s="1519"/>
      <c r="DM736" s="1519"/>
      <c r="DN736" s="1519"/>
      <c r="DO736" s="1519">
        <f t="shared" si="25"/>
        <v>0</v>
      </c>
      <c r="DP736" s="1519"/>
      <c r="DQ736" s="1519"/>
      <c r="DR736" s="1519"/>
      <c r="DS736" s="1519"/>
      <c r="DT736" s="6"/>
      <c r="DU736" s="1518">
        <f t="shared" si="26"/>
        <v>0</v>
      </c>
      <c r="DV736" s="1518"/>
      <c r="DW736" s="1518"/>
      <c r="DX736" s="1518"/>
      <c r="DY736" s="1518"/>
      <c r="DZ736" s="1518">
        <f t="shared" si="27"/>
        <v>0</v>
      </c>
      <c r="EA736" s="1518"/>
      <c r="EB736" s="1518"/>
      <c r="EC736" s="1518"/>
      <c r="ED736" s="1518"/>
      <c r="EE736" s="1518">
        <f t="shared" si="28"/>
        <v>0</v>
      </c>
      <c r="EF736" s="1518"/>
      <c r="EG736" s="1518"/>
      <c r="EH736" s="1518"/>
      <c r="EI736" s="1518"/>
      <c r="EJ736" s="1518">
        <f t="shared" si="29"/>
        <v>2</v>
      </c>
      <c r="EK736" s="1518"/>
      <c r="EL736" s="1518"/>
      <c r="EM736" s="1518"/>
      <c r="EN736" s="1518"/>
      <c r="EO736" s="1518">
        <f t="shared" si="30"/>
        <v>0</v>
      </c>
      <c r="EP736" s="1518"/>
      <c r="EQ736" s="1518"/>
      <c r="ER736" s="1518"/>
      <c r="ES736" s="1518"/>
      <c r="ET736" s="1518">
        <f t="shared" si="31"/>
        <v>0</v>
      </c>
      <c r="EU736" s="1518"/>
      <c r="EV736" s="1518"/>
      <c r="EW736" s="1518"/>
      <c r="EX736" s="1518"/>
      <c r="EY736" s="4"/>
      <c r="EZ736" s="1516" t="str">
        <f t="shared" si="32"/>
        <v/>
      </c>
      <c r="FA736" s="1520"/>
      <c r="FB736" s="1520"/>
      <c r="FC736" s="1520"/>
      <c r="FD736" s="1517"/>
      <c r="FE736" s="1516" t="str">
        <f t="shared" si="33"/>
        <v/>
      </c>
      <c r="FF736" s="1520"/>
      <c r="FG736" s="1520"/>
      <c r="FH736" s="1520"/>
      <c r="FI736" s="1517"/>
      <c r="FJ736" s="1516" t="str">
        <f t="shared" si="34"/>
        <v/>
      </c>
      <c r="FK736" s="1520"/>
      <c r="FL736" s="1520"/>
      <c r="FM736" s="1520"/>
      <c r="FN736" s="1517"/>
      <c r="FO736" s="1516">
        <f t="shared" si="35"/>
        <v>1043</v>
      </c>
      <c r="FP736" s="1520"/>
      <c r="FQ736" s="1520"/>
      <c r="FR736" s="1520"/>
      <c r="FS736" s="1517"/>
      <c r="FT736" s="1516" t="str">
        <f t="shared" si="36"/>
        <v/>
      </c>
      <c r="FU736" s="1520"/>
      <c r="FV736" s="1520"/>
      <c r="FW736" s="1520"/>
      <c r="FX736" s="1517"/>
      <c r="FY736" s="1516" t="str">
        <f t="shared" si="37"/>
        <v/>
      </c>
      <c r="FZ736" s="1520"/>
      <c r="GA736" s="1520"/>
      <c r="GB736" s="1520"/>
      <c r="GC736" s="1517"/>
    </row>
    <row r="737" spans="1:185" ht="13" customHeight="1">
      <c r="A737" s="4"/>
      <c r="B737" s="1364" t="s">
        <v>164</v>
      </c>
      <c r="C737" s="1365" t="s">
        <v>164</v>
      </c>
      <c r="D737" s="1365" t="s">
        <v>164</v>
      </c>
      <c r="E737" s="1365" t="s">
        <v>164</v>
      </c>
      <c r="F737" s="1366" t="s">
        <v>164</v>
      </c>
      <c r="G737" s="1358">
        <v>2</v>
      </c>
      <c r="H737" s="1359"/>
      <c r="I737" s="1359"/>
      <c r="J737" s="1360"/>
      <c r="K737" s="1361">
        <v>976</v>
      </c>
      <c r="L737" s="1362"/>
      <c r="M737" s="1362"/>
      <c r="N737" s="1363"/>
      <c r="O737" s="1403">
        <v>1459</v>
      </c>
      <c r="P737" s="1404"/>
      <c r="Q737" s="1404"/>
      <c r="R737" s="1404"/>
      <c r="S737" s="1405"/>
      <c r="T737" s="1403">
        <v>203</v>
      </c>
      <c r="U737" s="1404"/>
      <c r="V737" s="1404"/>
      <c r="W737" s="1405"/>
      <c r="X737" s="1406">
        <f t="shared" si="10"/>
        <v>1662</v>
      </c>
      <c r="Y737" s="1402"/>
      <c r="Z737" s="1402"/>
      <c r="AA737" s="1402"/>
      <c r="AB737" s="1407"/>
      <c r="AC737" s="1408">
        <v>0.4</v>
      </c>
      <c r="AD737" s="1409"/>
      <c r="AE737" s="1409"/>
      <c r="AF737" s="1409"/>
      <c r="AG737" s="1410"/>
      <c r="AH737" s="1486">
        <f t="shared" si="38"/>
        <v>0.40009629272989888</v>
      </c>
      <c r="AI737" s="1487"/>
      <c r="AJ737" s="1488"/>
      <c r="AK737" s="1364" t="s">
        <v>591</v>
      </c>
      <c r="AL737" s="1365"/>
      <c r="AM737" s="1365"/>
      <c r="AN737" s="1365"/>
      <c r="AO737" s="1366"/>
      <c r="AP737" s="3"/>
      <c r="AQ737" s="3"/>
      <c r="AR737" s="3"/>
      <c r="AS737" s="3"/>
      <c r="AY737" s="1080"/>
      <c r="AZ737" s="118">
        <f t="shared" si="11"/>
        <v>4154</v>
      </c>
      <c r="BA737" s="3"/>
      <c r="BB737" s="3"/>
      <c r="BC737" s="3"/>
      <c r="BD737" s="3"/>
      <c r="BE737" s="204"/>
      <c r="BF737" s="294">
        <f t="shared" si="12"/>
        <v>2</v>
      </c>
      <c r="BG737" s="297">
        <f t="shared" si="13"/>
        <v>2.1052631578947368E-2</v>
      </c>
      <c r="BH737" s="298">
        <f t="shared" si="14"/>
        <v>8.4210526315789472E-3</v>
      </c>
      <c r="BI737" s="3"/>
      <c r="BJ737" s="3"/>
      <c r="BK737" s="3"/>
      <c r="BL737" s="3"/>
      <c r="BM737" s="3"/>
      <c r="BN737" s="3"/>
      <c r="BS737" s="294">
        <f t="shared" si="15"/>
        <v>2</v>
      </c>
      <c r="BT737" s="297">
        <f t="shared" si="16"/>
        <v>2.1052631578947368E-2</v>
      </c>
      <c r="BU737" s="298">
        <f t="shared" si="17"/>
        <v>8.4230798469452396E-3</v>
      </c>
      <c r="BV737" s="3"/>
      <c r="BW737" s="3"/>
      <c r="BX737" s="3"/>
      <c r="BY737" s="3"/>
      <c r="BZ737" s="3"/>
      <c r="CA737" s="3"/>
      <c r="CB737" s="3"/>
      <c r="CC737" s="3"/>
      <c r="CE737" s="3"/>
      <c r="CF737" s="3"/>
      <c r="CG737" s="1516">
        <f t="shared" si="39"/>
        <v>1</v>
      </c>
      <c r="CH737" s="1517"/>
      <c r="CI737" s="1521">
        <f t="shared" si="40"/>
        <v>2</v>
      </c>
      <c r="CJ737" s="1522"/>
      <c r="CK737" s="1516">
        <f t="shared" si="18"/>
        <v>0</v>
      </c>
      <c r="CL737" s="1517"/>
      <c r="CM737" s="1521">
        <f t="shared" si="19"/>
        <v>0</v>
      </c>
      <c r="CN737" s="1522"/>
      <c r="CO737" s="3"/>
      <c r="CP737" s="1523">
        <f t="shared" si="20"/>
        <v>0</v>
      </c>
      <c r="CQ737" s="1524"/>
      <c r="CR737" s="1524"/>
      <c r="CS737" s="1524"/>
      <c r="CT737" s="1525"/>
      <c r="CU737" s="1519">
        <f t="shared" si="21"/>
        <v>0</v>
      </c>
      <c r="CV737" s="1519"/>
      <c r="CW737" s="1519"/>
      <c r="CX737" s="1519"/>
      <c r="CY737" s="1519"/>
      <c r="CZ737" s="1519">
        <f t="shared" si="22"/>
        <v>0</v>
      </c>
      <c r="DA737" s="1519"/>
      <c r="DB737" s="1519"/>
      <c r="DC737" s="1519"/>
      <c r="DD737" s="1519"/>
      <c r="DE737" s="1519">
        <f t="shared" si="23"/>
        <v>2</v>
      </c>
      <c r="DF737" s="1519"/>
      <c r="DG737" s="1519"/>
      <c r="DH737" s="1519"/>
      <c r="DI737" s="1519"/>
      <c r="DJ737" s="1519">
        <f t="shared" si="24"/>
        <v>0</v>
      </c>
      <c r="DK737" s="1519"/>
      <c r="DL737" s="1519"/>
      <c r="DM737" s="1519"/>
      <c r="DN737" s="1519"/>
      <c r="DO737" s="1519">
        <f t="shared" si="25"/>
        <v>0</v>
      </c>
      <c r="DP737" s="1519"/>
      <c r="DQ737" s="1519"/>
      <c r="DR737" s="1519"/>
      <c r="DS737" s="1519"/>
      <c r="DT737" s="6"/>
      <c r="DU737" s="1518">
        <f t="shared" si="26"/>
        <v>0</v>
      </c>
      <c r="DV737" s="1518"/>
      <c r="DW737" s="1518"/>
      <c r="DX737" s="1518"/>
      <c r="DY737" s="1518"/>
      <c r="DZ737" s="1518">
        <f t="shared" si="27"/>
        <v>0</v>
      </c>
      <c r="EA737" s="1518"/>
      <c r="EB737" s="1518"/>
      <c r="EC737" s="1518"/>
      <c r="ED737" s="1518"/>
      <c r="EE737" s="1518">
        <f t="shared" si="28"/>
        <v>0</v>
      </c>
      <c r="EF737" s="1518"/>
      <c r="EG737" s="1518"/>
      <c r="EH737" s="1518"/>
      <c r="EI737" s="1518"/>
      <c r="EJ737" s="1518">
        <f t="shared" si="29"/>
        <v>0</v>
      </c>
      <c r="EK737" s="1518"/>
      <c r="EL737" s="1518"/>
      <c r="EM737" s="1518"/>
      <c r="EN737" s="1518"/>
      <c r="EO737" s="1518">
        <f t="shared" si="30"/>
        <v>0</v>
      </c>
      <c r="EP737" s="1518"/>
      <c r="EQ737" s="1518"/>
      <c r="ER737" s="1518"/>
      <c r="ES737" s="1518"/>
      <c r="ET737" s="1518">
        <f t="shared" si="31"/>
        <v>0</v>
      </c>
      <c r="EU737" s="1518"/>
      <c r="EV737" s="1518"/>
      <c r="EW737" s="1518"/>
      <c r="EX737" s="1518"/>
      <c r="EZ737" s="1516" t="str">
        <f t="shared" si="32"/>
        <v/>
      </c>
      <c r="FA737" s="1520"/>
      <c r="FB737" s="1520"/>
      <c r="FC737" s="1520"/>
      <c r="FD737" s="1517"/>
      <c r="FE737" s="1516" t="str">
        <f t="shared" si="33"/>
        <v/>
      </c>
      <c r="FF737" s="1520"/>
      <c r="FG737" s="1520"/>
      <c r="FH737" s="1520"/>
      <c r="FI737" s="1517"/>
      <c r="FJ737" s="1516" t="str">
        <f t="shared" si="34"/>
        <v/>
      </c>
      <c r="FK737" s="1520"/>
      <c r="FL737" s="1520"/>
      <c r="FM737" s="1520"/>
      <c r="FN737" s="1517"/>
      <c r="FO737" s="1516">
        <f t="shared" si="35"/>
        <v>1459</v>
      </c>
      <c r="FP737" s="1520"/>
      <c r="FQ737" s="1520"/>
      <c r="FR737" s="1520"/>
      <c r="FS737" s="1517"/>
      <c r="FT737" s="1516" t="str">
        <f t="shared" si="36"/>
        <v/>
      </c>
      <c r="FU737" s="1520"/>
      <c r="FV737" s="1520"/>
      <c r="FW737" s="1520"/>
      <c r="FX737" s="1517"/>
      <c r="FY737" s="1516" t="str">
        <f t="shared" si="37"/>
        <v/>
      </c>
      <c r="FZ737" s="1520"/>
      <c r="GA737" s="1520"/>
      <c r="GB737" s="1520"/>
      <c r="GC737" s="1517"/>
    </row>
    <row r="738" spans="1:185" ht="13" customHeight="1">
      <c r="B738" s="1364" t="s">
        <v>164</v>
      </c>
      <c r="C738" s="1365" t="s">
        <v>164</v>
      </c>
      <c r="D738" s="1365" t="s">
        <v>164</v>
      </c>
      <c r="E738" s="1365" t="s">
        <v>164</v>
      </c>
      <c r="F738" s="1366" t="s">
        <v>164</v>
      </c>
      <c r="G738" s="1358">
        <v>4</v>
      </c>
      <c r="H738" s="1359"/>
      <c r="I738" s="1359"/>
      <c r="J738" s="1360"/>
      <c r="K738" s="1361">
        <v>976</v>
      </c>
      <c r="L738" s="1362"/>
      <c r="M738" s="1362"/>
      <c r="N738" s="1363"/>
      <c r="O738" s="1403">
        <v>1874</v>
      </c>
      <c r="P738" s="1404"/>
      <c r="Q738" s="1404"/>
      <c r="R738" s="1404"/>
      <c r="S738" s="1405"/>
      <c r="T738" s="1403">
        <v>203</v>
      </c>
      <c r="U738" s="1404"/>
      <c r="V738" s="1404"/>
      <c r="W738" s="1405"/>
      <c r="X738" s="1406">
        <f t="shared" si="10"/>
        <v>2077</v>
      </c>
      <c r="Y738" s="1402"/>
      <c r="Z738" s="1402"/>
      <c r="AA738" s="1402"/>
      <c r="AB738" s="1407"/>
      <c r="AC738" s="1408">
        <v>0.5</v>
      </c>
      <c r="AD738" s="1409"/>
      <c r="AE738" s="1409"/>
      <c r="AF738" s="1409"/>
      <c r="AG738" s="1410"/>
      <c r="AH738" s="1486">
        <f t="shared" si="38"/>
        <v>0.5</v>
      </c>
      <c r="AI738" s="1487"/>
      <c r="AJ738" s="1488"/>
      <c r="AK738" s="1364" t="s">
        <v>591</v>
      </c>
      <c r="AL738" s="1365"/>
      <c r="AM738" s="1365"/>
      <c r="AN738" s="1365"/>
      <c r="AO738" s="1366"/>
      <c r="AP738" s="3"/>
      <c r="AQ738" s="3"/>
      <c r="AR738" s="3"/>
      <c r="AS738" s="3"/>
      <c r="AY738" s="1080"/>
      <c r="AZ738" s="118">
        <f t="shared" si="11"/>
        <v>4154</v>
      </c>
      <c r="BA738" s="3"/>
      <c r="BB738" s="3"/>
      <c r="BC738" s="3"/>
      <c r="BD738" s="3"/>
      <c r="BE738" s="204"/>
      <c r="BF738" s="294">
        <f t="shared" si="12"/>
        <v>4</v>
      </c>
      <c r="BG738" s="297">
        <f t="shared" si="13"/>
        <v>4.2105263157894736E-2</v>
      </c>
      <c r="BH738" s="298">
        <f t="shared" si="14"/>
        <v>2.1052631578947368E-2</v>
      </c>
      <c r="BI738" s="3"/>
      <c r="BJ738" s="3"/>
      <c r="BK738" s="3"/>
      <c r="BL738" s="3"/>
      <c r="BM738" s="3"/>
      <c r="BN738" s="3"/>
      <c r="BS738" s="294">
        <f t="shared" si="15"/>
        <v>4</v>
      </c>
      <c r="BT738" s="297">
        <f t="shared" si="16"/>
        <v>4.2105263157894736E-2</v>
      </c>
      <c r="BU738" s="298">
        <f t="shared" si="17"/>
        <v>2.1052631578947368E-2</v>
      </c>
      <c r="BV738" s="3"/>
      <c r="BW738" s="3"/>
      <c r="BX738" s="3"/>
      <c r="BY738" s="3"/>
      <c r="BZ738" s="3"/>
      <c r="CA738" s="3"/>
      <c r="CB738" s="3"/>
      <c r="CC738" s="3"/>
      <c r="CE738" s="3"/>
      <c r="CF738" s="3"/>
      <c r="CG738" s="1516">
        <f t="shared" si="39"/>
        <v>1</v>
      </c>
      <c r="CH738" s="1517"/>
      <c r="CI738" s="1521">
        <f t="shared" si="40"/>
        <v>4</v>
      </c>
      <c r="CJ738" s="1522"/>
      <c r="CK738" s="1516">
        <f t="shared" si="18"/>
        <v>0</v>
      </c>
      <c r="CL738" s="1517"/>
      <c r="CM738" s="1521">
        <f t="shared" si="19"/>
        <v>0</v>
      </c>
      <c r="CN738" s="1522"/>
      <c r="CO738" s="3"/>
      <c r="CP738" s="1523">
        <f t="shared" si="20"/>
        <v>0</v>
      </c>
      <c r="CQ738" s="1524"/>
      <c r="CR738" s="1524"/>
      <c r="CS738" s="1524"/>
      <c r="CT738" s="1525"/>
      <c r="CU738" s="1519">
        <f t="shared" si="21"/>
        <v>0</v>
      </c>
      <c r="CV738" s="1519"/>
      <c r="CW738" s="1519"/>
      <c r="CX738" s="1519"/>
      <c r="CY738" s="1519"/>
      <c r="CZ738" s="1519">
        <f t="shared" si="22"/>
        <v>0</v>
      </c>
      <c r="DA738" s="1519"/>
      <c r="DB738" s="1519"/>
      <c r="DC738" s="1519"/>
      <c r="DD738" s="1519"/>
      <c r="DE738" s="1519">
        <f t="shared" si="23"/>
        <v>4</v>
      </c>
      <c r="DF738" s="1519"/>
      <c r="DG738" s="1519"/>
      <c r="DH738" s="1519"/>
      <c r="DI738" s="1519"/>
      <c r="DJ738" s="1519">
        <f t="shared" si="24"/>
        <v>0</v>
      </c>
      <c r="DK738" s="1519"/>
      <c r="DL738" s="1519"/>
      <c r="DM738" s="1519"/>
      <c r="DN738" s="1519"/>
      <c r="DO738" s="1519">
        <f t="shared" si="25"/>
        <v>0</v>
      </c>
      <c r="DP738" s="1519"/>
      <c r="DQ738" s="1519"/>
      <c r="DR738" s="1519"/>
      <c r="DS738" s="1519"/>
      <c r="DT738" s="6"/>
      <c r="DU738" s="1518">
        <f t="shared" si="26"/>
        <v>0</v>
      </c>
      <c r="DV738" s="1518"/>
      <c r="DW738" s="1518"/>
      <c r="DX738" s="1518"/>
      <c r="DY738" s="1518"/>
      <c r="DZ738" s="1518">
        <f t="shared" si="27"/>
        <v>0</v>
      </c>
      <c r="EA738" s="1518"/>
      <c r="EB738" s="1518"/>
      <c r="EC738" s="1518"/>
      <c r="ED738" s="1518"/>
      <c r="EE738" s="1518">
        <f t="shared" si="28"/>
        <v>0</v>
      </c>
      <c r="EF738" s="1518"/>
      <c r="EG738" s="1518"/>
      <c r="EH738" s="1518"/>
      <c r="EI738" s="1518"/>
      <c r="EJ738" s="1518">
        <f t="shared" si="29"/>
        <v>0</v>
      </c>
      <c r="EK738" s="1518"/>
      <c r="EL738" s="1518"/>
      <c r="EM738" s="1518"/>
      <c r="EN738" s="1518"/>
      <c r="EO738" s="1518">
        <f t="shared" si="30"/>
        <v>0</v>
      </c>
      <c r="EP738" s="1518"/>
      <c r="EQ738" s="1518"/>
      <c r="ER738" s="1518"/>
      <c r="ES738" s="1518"/>
      <c r="ET738" s="1518">
        <f t="shared" si="31"/>
        <v>0</v>
      </c>
      <c r="EU738" s="1518"/>
      <c r="EV738" s="1518"/>
      <c r="EW738" s="1518"/>
      <c r="EX738" s="1518"/>
      <c r="EZ738" s="1516" t="str">
        <f t="shared" si="32"/>
        <v/>
      </c>
      <c r="FA738" s="1520"/>
      <c r="FB738" s="1520"/>
      <c r="FC738" s="1520"/>
      <c r="FD738" s="1517"/>
      <c r="FE738" s="1516" t="str">
        <f t="shared" si="33"/>
        <v/>
      </c>
      <c r="FF738" s="1520"/>
      <c r="FG738" s="1520"/>
      <c r="FH738" s="1520"/>
      <c r="FI738" s="1517"/>
      <c r="FJ738" s="1516" t="str">
        <f t="shared" si="34"/>
        <v/>
      </c>
      <c r="FK738" s="1520"/>
      <c r="FL738" s="1520"/>
      <c r="FM738" s="1520"/>
      <c r="FN738" s="1517"/>
      <c r="FO738" s="1516">
        <f t="shared" si="35"/>
        <v>1874</v>
      </c>
      <c r="FP738" s="1520"/>
      <c r="FQ738" s="1520"/>
      <c r="FR738" s="1520"/>
      <c r="FS738" s="1517"/>
      <c r="FT738" s="1516" t="str">
        <f t="shared" si="36"/>
        <v/>
      </c>
      <c r="FU738" s="1520"/>
      <c r="FV738" s="1520"/>
      <c r="FW738" s="1520"/>
      <c r="FX738" s="1517"/>
      <c r="FY738" s="1516" t="str">
        <f t="shared" si="37"/>
        <v/>
      </c>
      <c r="FZ738" s="1520"/>
      <c r="GA738" s="1520"/>
      <c r="GB738" s="1520"/>
      <c r="GC738" s="1517"/>
    </row>
    <row r="739" spans="1:185" ht="13" customHeight="1">
      <c r="B739" s="1364" t="s">
        <v>164</v>
      </c>
      <c r="C739" s="1365" t="s">
        <v>164</v>
      </c>
      <c r="D739" s="1365" t="s">
        <v>164</v>
      </c>
      <c r="E739" s="1365" t="s">
        <v>164</v>
      </c>
      <c r="F739" s="1366" t="s">
        <v>164</v>
      </c>
      <c r="G739" s="1358">
        <v>4</v>
      </c>
      <c r="H739" s="1359"/>
      <c r="I739" s="1359"/>
      <c r="J739" s="1360"/>
      <c r="K739" s="1361">
        <v>976</v>
      </c>
      <c r="L739" s="1362"/>
      <c r="M739" s="1362"/>
      <c r="N739" s="1363"/>
      <c r="O739" s="1403">
        <v>2290</v>
      </c>
      <c r="P739" s="1404"/>
      <c r="Q739" s="1404"/>
      <c r="R739" s="1404"/>
      <c r="S739" s="1405"/>
      <c r="T739" s="1403">
        <v>203</v>
      </c>
      <c r="U739" s="1404"/>
      <c r="V739" s="1404"/>
      <c r="W739" s="1405"/>
      <c r="X739" s="1406">
        <f t="shared" si="10"/>
        <v>2493</v>
      </c>
      <c r="Y739" s="1402"/>
      <c r="Z739" s="1402"/>
      <c r="AA739" s="1402"/>
      <c r="AB739" s="1407"/>
      <c r="AC739" s="1408">
        <v>0.6</v>
      </c>
      <c r="AD739" s="1409"/>
      <c r="AE739" s="1409"/>
      <c r="AF739" s="1409"/>
      <c r="AG739" s="1410"/>
      <c r="AH739" s="1486">
        <f t="shared" si="38"/>
        <v>0.60014443909484838</v>
      </c>
      <c r="AI739" s="1487"/>
      <c r="AJ739" s="1488"/>
      <c r="AK739" s="1364" t="s">
        <v>591</v>
      </c>
      <c r="AL739" s="1365"/>
      <c r="AM739" s="1365"/>
      <c r="AN739" s="1365"/>
      <c r="AO739" s="1366"/>
      <c r="AP739" s="3"/>
      <c r="AQ739" s="3"/>
      <c r="AR739" s="3"/>
      <c r="AS739" s="3"/>
      <c r="AY739" s="1080"/>
      <c r="AZ739" s="118">
        <f t="shared" si="11"/>
        <v>4154</v>
      </c>
      <c r="BA739" s="3"/>
      <c r="BB739" s="3"/>
      <c r="BC739" s="3"/>
      <c r="BD739" s="3"/>
      <c r="BE739" s="204"/>
      <c r="BF739" s="294">
        <f t="shared" si="12"/>
        <v>4</v>
      </c>
      <c r="BG739" s="297">
        <f t="shared" si="13"/>
        <v>4.2105263157894736E-2</v>
      </c>
      <c r="BH739" s="298">
        <f t="shared" si="14"/>
        <v>2.5263157894736842E-2</v>
      </c>
      <c r="BI739" s="3"/>
      <c r="BJ739" s="3"/>
      <c r="BK739" s="3"/>
      <c r="BL739" s="3"/>
      <c r="BM739" s="3"/>
      <c r="BN739" s="3"/>
      <c r="BS739" s="294">
        <f t="shared" si="15"/>
        <v>4</v>
      </c>
      <c r="BT739" s="297">
        <f t="shared" si="16"/>
        <v>4.2105263157894736E-2</v>
      </c>
      <c r="BU739" s="298">
        <f t="shared" si="17"/>
        <v>2.5269239540835722E-2</v>
      </c>
      <c r="BV739" s="3"/>
      <c r="BW739" s="3"/>
      <c r="BX739" s="3"/>
      <c r="BY739" s="3"/>
      <c r="BZ739" s="3"/>
      <c r="CA739" s="3"/>
      <c r="CB739" s="3"/>
      <c r="CC739" s="3"/>
      <c r="CE739" s="3"/>
      <c r="CF739" s="3"/>
      <c r="CG739" s="1516">
        <f t="shared" si="39"/>
        <v>0</v>
      </c>
      <c r="CH739" s="1517"/>
      <c r="CI739" s="1521">
        <f t="shared" si="40"/>
        <v>0</v>
      </c>
      <c r="CJ739" s="1522"/>
      <c r="CK739" s="1516">
        <f t="shared" si="18"/>
        <v>0</v>
      </c>
      <c r="CL739" s="1517"/>
      <c r="CM739" s="1521">
        <f t="shared" si="19"/>
        <v>0</v>
      </c>
      <c r="CN739" s="1522"/>
      <c r="CO739" s="3"/>
      <c r="CP739" s="1523">
        <f t="shared" si="20"/>
        <v>0</v>
      </c>
      <c r="CQ739" s="1524"/>
      <c r="CR739" s="1524"/>
      <c r="CS739" s="1524"/>
      <c r="CT739" s="1525"/>
      <c r="CU739" s="1519">
        <f t="shared" si="21"/>
        <v>0</v>
      </c>
      <c r="CV739" s="1519"/>
      <c r="CW739" s="1519"/>
      <c r="CX739" s="1519"/>
      <c r="CY739" s="1519"/>
      <c r="CZ739" s="1519">
        <f t="shared" si="22"/>
        <v>0</v>
      </c>
      <c r="DA739" s="1519"/>
      <c r="DB739" s="1519"/>
      <c r="DC739" s="1519"/>
      <c r="DD739" s="1519"/>
      <c r="DE739" s="1519">
        <f t="shared" si="23"/>
        <v>4</v>
      </c>
      <c r="DF739" s="1519"/>
      <c r="DG739" s="1519"/>
      <c r="DH739" s="1519"/>
      <c r="DI739" s="1519"/>
      <c r="DJ739" s="1519">
        <f t="shared" si="24"/>
        <v>0</v>
      </c>
      <c r="DK739" s="1519"/>
      <c r="DL739" s="1519"/>
      <c r="DM739" s="1519"/>
      <c r="DN739" s="1519"/>
      <c r="DO739" s="1519">
        <f t="shared" si="25"/>
        <v>0</v>
      </c>
      <c r="DP739" s="1519"/>
      <c r="DQ739" s="1519"/>
      <c r="DR739" s="1519"/>
      <c r="DS739" s="1519"/>
      <c r="DT739" s="6"/>
      <c r="DU739" s="1518">
        <f t="shared" si="26"/>
        <v>0</v>
      </c>
      <c r="DV739" s="1518"/>
      <c r="DW739" s="1518"/>
      <c r="DX739" s="1518"/>
      <c r="DY739" s="1518"/>
      <c r="DZ739" s="1518">
        <f t="shared" si="27"/>
        <v>0</v>
      </c>
      <c r="EA739" s="1518"/>
      <c r="EB739" s="1518"/>
      <c r="EC739" s="1518"/>
      <c r="ED739" s="1518"/>
      <c r="EE739" s="1518">
        <f t="shared" si="28"/>
        <v>0</v>
      </c>
      <c r="EF739" s="1518"/>
      <c r="EG739" s="1518"/>
      <c r="EH739" s="1518"/>
      <c r="EI739" s="1518"/>
      <c r="EJ739" s="1518">
        <f t="shared" si="29"/>
        <v>0</v>
      </c>
      <c r="EK739" s="1518"/>
      <c r="EL739" s="1518"/>
      <c r="EM739" s="1518"/>
      <c r="EN739" s="1518"/>
      <c r="EO739" s="1518">
        <f t="shared" si="30"/>
        <v>0</v>
      </c>
      <c r="EP739" s="1518"/>
      <c r="EQ739" s="1518"/>
      <c r="ER739" s="1518"/>
      <c r="ES739" s="1518"/>
      <c r="ET739" s="1518">
        <f t="shared" si="31"/>
        <v>0</v>
      </c>
      <c r="EU739" s="1518"/>
      <c r="EV739" s="1518"/>
      <c r="EW739" s="1518"/>
      <c r="EX739" s="1518"/>
      <c r="EZ739" s="1516" t="str">
        <f t="shared" si="32"/>
        <v/>
      </c>
      <c r="FA739" s="1520"/>
      <c r="FB739" s="1520"/>
      <c r="FC739" s="1520"/>
      <c r="FD739" s="1517"/>
      <c r="FE739" s="1516" t="str">
        <f t="shared" si="33"/>
        <v/>
      </c>
      <c r="FF739" s="1520"/>
      <c r="FG739" s="1520"/>
      <c r="FH739" s="1520"/>
      <c r="FI739" s="1517"/>
      <c r="FJ739" s="1516" t="str">
        <f t="shared" si="34"/>
        <v/>
      </c>
      <c r="FK739" s="1520"/>
      <c r="FL739" s="1520"/>
      <c r="FM739" s="1520"/>
      <c r="FN739" s="1517"/>
      <c r="FO739" s="1516">
        <f t="shared" si="35"/>
        <v>2290</v>
      </c>
      <c r="FP739" s="1520"/>
      <c r="FQ739" s="1520"/>
      <c r="FR739" s="1520"/>
      <c r="FS739" s="1517"/>
      <c r="FT739" s="1516" t="str">
        <f t="shared" si="36"/>
        <v/>
      </c>
      <c r="FU739" s="1520"/>
      <c r="FV739" s="1520"/>
      <c r="FW739" s="1520"/>
      <c r="FX739" s="1517"/>
      <c r="FY739" s="1516" t="str">
        <f t="shared" si="37"/>
        <v/>
      </c>
      <c r="FZ739" s="1520"/>
      <c r="GA739" s="1520"/>
      <c r="GB739" s="1520"/>
      <c r="GC739" s="1517"/>
    </row>
    <row r="740" spans="1:185" ht="13" customHeight="1">
      <c r="B740" s="1364" t="s">
        <v>164</v>
      </c>
      <c r="C740" s="1365" t="s">
        <v>164</v>
      </c>
      <c r="D740" s="1365" t="s">
        <v>164</v>
      </c>
      <c r="E740" s="1365" t="s">
        <v>164</v>
      </c>
      <c r="F740" s="1366" t="s">
        <v>164</v>
      </c>
      <c r="G740" s="1358">
        <v>6</v>
      </c>
      <c r="H740" s="1359"/>
      <c r="I740" s="1359"/>
      <c r="J740" s="1360"/>
      <c r="K740" s="1361">
        <v>976</v>
      </c>
      <c r="L740" s="1362"/>
      <c r="M740" s="1362"/>
      <c r="N740" s="1363"/>
      <c r="O740" s="1403">
        <v>2705</v>
      </c>
      <c r="P740" s="1404"/>
      <c r="Q740" s="1404"/>
      <c r="R740" s="1404"/>
      <c r="S740" s="1405"/>
      <c r="T740" s="1403">
        <v>203</v>
      </c>
      <c r="U740" s="1404"/>
      <c r="V740" s="1404"/>
      <c r="W740" s="1405"/>
      <c r="X740" s="1406">
        <f t="shared" si="10"/>
        <v>2908</v>
      </c>
      <c r="Y740" s="1402"/>
      <c r="Z740" s="1402"/>
      <c r="AA740" s="1402"/>
      <c r="AB740" s="1407"/>
      <c r="AC740" s="1408">
        <v>0.7</v>
      </c>
      <c r="AD740" s="1409"/>
      <c r="AE740" s="1409"/>
      <c r="AF740" s="1409"/>
      <c r="AG740" s="1410"/>
      <c r="AH740" s="1486">
        <f t="shared" si="38"/>
        <v>0.7000481463649495</v>
      </c>
      <c r="AI740" s="1487"/>
      <c r="AJ740" s="1488"/>
      <c r="AK740" s="1364" t="s">
        <v>591</v>
      </c>
      <c r="AL740" s="1365"/>
      <c r="AM740" s="1365"/>
      <c r="AN740" s="1365"/>
      <c r="AO740" s="1366"/>
      <c r="AP740" s="3"/>
      <c r="AQ740" s="3"/>
      <c r="AR740" s="3"/>
      <c r="AS740" s="3"/>
      <c r="AY740" s="1080"/>
      <c r="AZ740" s="118">
        <f t="shared" si="11"/>
        <v>4154</v>
      </c>
      <c r="BA740" s="3"/>
      <c r="BB740" s="3"/>
      <c r="BC740" s="3"/>
      <c r="BD740" s="3"/>
      <c r="BE740" s="204"/>
      <c r="BF740" s="294">
        <f t="shared" si="12"/>
        <v>6</v>
      </c>
      <c r="BG740" s="297">
        <f t="shared" si="13"/>
        <v>6.3157894736842107E-2</v>
      </c>
      <c r="BH740" s="298">
        <f t="shared" si="14"/>
        <v>4.4210526315789471E-2</v>
      </c>
      <c r="BI740" s="3"/>
      <c r="BJ740" s="3"/>
      <c r="BK740" s="3"/>
      <c r="BL740" s="3"/>
      <c r="BM740" s="3"/>
      <c r="BN740" s="3"/>
      <c r="BS740" s="294">
        <f t="shared" si="15"/>
        <v>6</v>
      </c>
      <c r="BT740" s="297">
        <f t="shared" si="16"/>
        <v>6.3157894736842107E-2</v>
      </c>
      <c r="BU740" s="298">
        <f t="shared" si="17"/>
        <v>4.4213567138838915E-2</v>
      </c>
      <c r="BV740" s="3"/>
      <c r="BW740" s="3"/>
      <c r="BX740" s="3"/>
      <c r="BY740" s="3"/>
      <c r="BZ740" s="3"/>
      <c r="CA740" s="3"/>
      <c r="CB740" s="3"/>
      <c r="CC740" s="3"/>
      <c r="CE740" s="3"/>
      <c r="CF740" s="3"/>
      <c r="CG740" s="1516">
        <f t="shared" si="39"/>
        <v>0</v>
      </c>
      <c r="CH740" s="1517"/>
      <c r="CI740" s="1521">
        <f t="shared" si="40"/>
        <v>0</v>
      </c>
      <c r="CJ740" s="1522"/>
      <c r="CK740" s="1516">
        <f t="shared" si="18"/>
        <v>0</v>
      </c>
      <c r="CL740" s="1517"/>
      <c r="CM740" s="1521">
        <f t="shared" si="19"/>
        <v>0</v>
      </c>
      <c r="CN740" s="1522"/>
      <c r="CO740" s="3"/>
      <c r="CP740" s="1523">
        <f t="shared" si="20"/>
        <v>0</v>
      </c>
      <c r="CQ740" s="1524"/>
      <c r="CR740" s="1524"/>
      <c r="CS740" s="1524"/>
      <c r="CT740" s="1525"/>
      <c r="CU740" s="1519">
        <f t="shared" si="21"/>
        <v>0</v>
      </c>
      <c r="CV740" s="1519"/>
      <c r="CW740" s="1519"/>
      <c r="CX740" s="1519"/>
      <c r="CY740" s="1519"/>
      <c r="CZ740" s="1519">
        <f t="shared" si="22"/>
        <v>0</v>
      </c>
      <c r="DA740" s="1519"/>
      <c r="DB740" s="1519"/>
      <c r="DC740" s="1519"/>
      <c r="DD740" s="1519"/>
      <c r="DE740" s="1519">
        <f t="shared" si="23"/>
        <v>6</v>
      </c>
      <c r="DF740" s="1519"/>
      <c r="DG740" s="1519"/>
      <c r="DH740" s="1519"/>
      <c r="DI740" s="1519"/>
      <c r="DJ740" s="1519">
        <f t="shared" si="24"/>
        <v>0</v>
      </c>
      <c r="DK740" s="1519"/>
      <c r="DL740" s="1519"/>
      <c r="DM740" s="1519"/>
      <c r="DN740" s="1519"/>
      <c r="DO740" s="1519">
        <f t="shared" si="25"/>
        <v>0</v>
      </c>
      <c r="DP740" s="1519"/>
      <c r="DQ740" s="1519"/>
      <c r="DR740" s="1519"/>
      <c r="DS740" s="1519"/>
      <c r="DT740" s="6"/>
      <c r="DU740" s="1518">
        <f t="shared" si="26"/>
        <v>0</v>
      </c>
      <c r="DV740" s="1518"/>
      <c r="DW740" s="1518"/>
      <c r="DX740" s="1518"/>
      <c r="DY740" s="1518"/>
      <c r="DZ740" s="1518">
        <f t="shared" si="27"/>
        <v>0</v>
      </c>
      <c r="EA740" s="1518"/>
      <c r="EB740" s="1518"/>
      <c r="EC740" s="1518"/>
      <c r="ED740" s="1518"/>
      <c r="EE740" s="1518">
        <f t="shared" si="28"/>
        <v>0</v>
      </c>
      <c r="EF740" s="1518"/>
      <c r="EG740" s="1518"/>
      <c r="EH740" s="1518"/>
      <c r="EI740" s="1518"/>
      <c r="EJ740" s="1518">
        <f t="shared" si="29"/>
        <v>0</v>
      </c>
      <c r="EK740" s="1518"/>
      <c r="EL740" s="1518"/>
      <c r="EM740" s="1518"/>
      <c r="EN740" s="1518"/>
      <c r="EO740" s="1518">
        <f t="shared" si="30"/>
        <v>0</v>
      </c>
      <c r="EP740" s="1518"/>
      <c r="EQ740" s="1518"/>
      <c r="ER740" s="1518"/>
      <c r="ES740" s="1518"/>
      <c r="ET740" s="1518">
        <f t="shared" si="31"/>
        <v>0</v>
      </c>
      <c r="EU740" s="1518"/>
      <c r="EV740" s="1518"/>
      <c r="EW740" s="1518"/>
      <c r="EX740" s="1518"/>
      <c r="EZ740" s="1516" t="str">
        <f t="shared" si="32"/>
        <v/>
      </c>
      <c r="FA740" s="1520"/>
      <c r="FB740" s="1520"/>
      <c r="FC740" s="1520"/>
      <c r="FD740" s="1517"/>
      <c r="FE740" s="1516" t="str">
        <f t="shared" si="33"/>
        <v/>
      </c>
      <c r="FF740" s="1520"/>
      <c r="FG740" s="1520"/>
      <c r="FH740" s="1520"/>
      <c r="FI740" s="1517"/>
      <c r="FJ740" s="1516" t="str">
        <f t="shared" si="34"/>
        <v/>
      </c>
      <c r="FK740" s="1520"/>
      <c r="FL740" s="1520"/>
      <c r="FM740" s="1520"/>
      <c r="FN740" s="1517"/>
      <c r="FO740" s="1516">
        <f t="shared" si="35"/>
        <v>2705</v>
      </c>
      <c r="FP740" s="1520"/>
      <c r="FQ740" s="1520"/>
      <c r="FR740" s="1520"/>
      <c r="FS740" s="1517"/>
      <c r="FT740" s="1516" t="str">
        <f t="shared" si="36"/>
        <v/>
      </c>
      <c r="FU740" s="1520"/>
      <c r="FV740" s="1520"/>
      <c r="FW740" s="1520"/>
      <c r="FX740" s="1517"/>
      <c r="FY740" s="1516" t="str">
        <f t="shared" si="37"/>
        <v/>
      </c>
      <c r="FZ740" s="1520"/>
      <c r="GA740" s="1520"/>
      <c r="GB740" s="1520"/>
      <c r="GC740" s="1517"/>
    </row>
    <row r="741" spans="1:185" ht="13" customHeight="1">
      <c r="B741" s="1364" t="s">
        <v>164</v>
      </c>
      <c r="C741" s="1365" t="s">
        <v>164</v>
      </c>
      <c r="D741" s="1365" t="s">
        <v>164</v>
      </c>
      <c r="E741" s="1365" t="s">
        <v>164</v>
      </c>
      <c r="F741" s="1366" t="s">
        <v>164</v>
      </c>
      <c r="G741" s="1358">
        <v>6</v>
      </c>
      <c r="H741" s="1359"/>
      <c r="I741" s="1359"/>
      <c r="J741" s="1360"/>
      <c r="K741" s="1361">
        <v>396</v>
      </c>
      <c r="L741" s="1362"/>
      <c r="M741" s="1362"/>
      <c r="N741" s="1363"/>
      <c r="O741" s="1403">
        <v>3121</v>
      </c>
      <c r="P741" s="1404"/>
      <c r="Q741" s="1404"/>
      <c r="R741" s="1404"/>
      <c r="S741" s="1405"/>
      <c r="T741" s="1403">
        <v>203</v>
      </c>
      <c r="U741" s="1404"/>
      <c r="V741" s="1404"/>
      <c r="W741" s="1405"/>
      <c r="X741" s="1406">
        <f t="shared" si="10"/>
        <v>3324</v>
      </c>
      <c r="Y741" s="1402"/>
      <c r="Z741" s="1402"/>
      <c r="AA741" s="1402"/>
      <c r="AB741" s="1407"/>
      <c r="AC741" s="1408">
        <v>0.8</v>
      </c>
      <c r="AD741" s="1409"/>
      <c r="AE741" s="1409"/>
      <c r="AF741" s="1409"/>
      <c r="AG741" s="1410"/>
      <c r="AH741" s="1486">
        <f t="shared" si="38"/>
        <v>0.80019258545979777</v>
      </c>
      <c r="AI741" s="1487"/>
      <c r="AJ741" s="1488"/>
      <c r="AK741" s="1364" t="s">
        <v>591</v>
      </c>
      <c r="AL741" s="1365"/>
      <c r="AM741" s="1365"/>
      <c r="AN741" s="1365"/>
      <c r="AO741" s="1366"/>
      <c r="AP741" s="3"/>
      <c r="AQ741" s="3"/>
      <c r="AR741" s="3"/>
      <c r="AS741" s="3"/>
      <c r="AY741" s="1080"/>
      <c r="AZ741" s="118">
        <f t="shared" si="11"/>
        <v>4154</v>
      </c>
      <c r="BA741" s="3"/>
      <c r="BB741" s="3"/>
      <c r="BC741" s="3"/>
      <c r="BD741" s="3"/>
      <c r="BE741" s="204"/>
      <c r="BF741" s="294">
        <f t="shared" si="12"/>
        <v>6</v>
      </c>
      <c r="BG741" s="297">
        <f t="shared" si="13"/>
        <v>6.3157894736842107E-2</v>
      </c>
      <c r="BH741" s="298">
        <f t="shared" si="14"/>
        <v>5.052631578947369E-2</v>
      </c>
      <c r="BI741" s="3"/>
      <c r="BJ741" s="3"/>
      <c r="BK741" s="3"/>
      <c r="BL741" s="3"/>
      <c r="BM741" s="3"/>
      <c r="BN741" s="3"/>
      <c r="BS741" s="294">
        <f t="shared" si="15"/>
        <v>6</v>
      </c>
      <c r="BT741" s="297">
        <f t="shared" si="16"/>
        <v>6.3157894736842107E-2</v>
      </c>
      <c r="BU741" s="298">
        <f t="shared" si="17"/>
        <v>5.0538479081671438E-2</v>
      </c>
      <c r="BV741" s="3"/>
      <c r="BW741" s="3"/>
      <c r="BX741" s="3"/>
      <c r="BY741" s="3"/>
      <c r="BZ741" s="3"/>
      <c r="CA741" s="3"/>
      <c r="CB741" s="3"/>
      <c r="CC741" s="3"/>
      <c r="CE741" s="3"/>
      <c r="CF741" s="3"/>
      <c r="CG741" s="1516">
        <f t="shared" si="39"/>
        <v>0</v>
      </c>
      <c r="CH741" s="1517"/>
      <c r="CI741" s="1521">
        <f t="shared" si="40"/>
        <v>0</v>
      </c>
      <c r="CJ741" s="1522"/>
      <c r="CK741" s="1516">
        <f t="shared" si="18"/>
        <v>0</v>
      </c>
      <c r="CL741" s="1517"/>
      <c r="CM741" s="1521">
        <f t="shared" si="19"/>
        <v>0</v>
      </c>
      <c r="CN741" s="1522"/>
      <c r="CO741" s="3"/>
      <c r="CP741" s="1523">
        <f t="shared" si="20"/>
        <v>0</v>
      </c>
      <c r="CQ741" s="1524"/>
      <c r="CR741" s="1524"/>
      <c r="CS741" s="1524"/>
      <c r="CT741" s="1525"/>
      <c r="CU741" s="1519">
        <f t="shared" si="21"/>
        <v>0</v>
      </c>
      <c r="CV741" s="1519"/>
      <c r="CW741" s="1519"/>
      <c r="CX741" s="1519"/>
      <c r="CY741" s="1519"/>
      <c r="CZ741" s="1519">
        <f t="shared" si="22"/>
        <v>0</v>
      </c>
      <c r="DA741" s="1519"/>
      <c r="DB741" s="1519"/>
      <c r="DC741" s="1519"/>
      <c r="DD741" s="1519"/>
      <c r="DE741" s="1519">
        <f t="shared" si="23"/>
        <v>6</v>
      </c>
      <c r="DF741" s="1519"/>
      <c r="DG741" s="1519"/>
      <c r="DH741" s="1519"/>
      <c r="DI741" s="1519"/>
      <c r="DJ741" s="1519">
        <f t="shared" si="24"/>
        <v>0</v>
      </c>
      <c r="DK741" s="1519"/>
      <c r="DL741" s="1519"/>
      <c r="DM741" s="1519"/>
      <c r="DN741" s="1519"/>
      <c r="DO741" s="1519">
        <f t="shared" si="25"/>
        <v>0</v>
      </c>
      <c r="DP741" s="1519"/>
      <c r="DQ741" s="1519"/>
      <c r="DR741" s="1519"/>
      <c r="DS741" s="1519"/>
      <c r="DT741" s="6"/>
      <c r="DU741" s="1518">
        <f t="shared" si="26"/>
        <v>0</v>
      </c>
      <c r="DV741" s="1518"/>
      <c r="DW741" s="1518"/>
      <c r="DX741" s="1518"/>
      <c r="DY741" s="1518"/>
      <c r="DZ741" s="1518">
        <f t="shared" si="27"/>
        <v>0</v>
      </c>
      <c r="EA741" s="1518"/>
      <c r="EB741" s="1518"/>
      <c r="EC741" s="1518"/>
      <c r="ED741" s="1518"/>
      <c r="EE741" s="1518">
        <f t="shared" si="28"/>
        <v>0</v>
      </c>
      <c r="EF741" s="1518"/>
      <c r="EG741" s="1518"/>
      <c r="EH741" s="1518"/>
      <c r="EI741" s="1518"/>
      <c r="EJ741" s="1518">
        <f t="shared" si="29"/>
        <v>0</v>
      </c>
      <c r="EK741" s="1518"/>
      <c r="EL741" s="1518"/>
      <c r="EM741" s="1518"/>
      <c r="EN741" s="1518"/>
      <c r="EO741" s="1518">
        <f t="shared" si="30"/>
        <v>0</v>
      </c>
      <c r="EP741" s="1518"/>
      <c r="EQ741" s="1518"/>
      <c r="ER741" s="1518"/>
      <c r="ES741" s="1518"/>
      <c r="ET741" s="1518">
        <f t="shared" si="31"/>
        <v>0</v>
      </c>
      <c r="EU741" s="1518"/>
      <c r="EV741" s="1518"/>
      <c r="EW741" s="1518"/>
      <c r="EX741" s="1518"/>
      <c r="EZ741" s="1516" t="str">
        <f t="shared" si="32"/>
        <v/>
      </c>
      <c r="FA741" s="1520"/>
      <c r="FB741" s="1520"/>
      <c r="FC741" s="1520"/>
      <c r="FD741" s="1517"/>
      <c r="FE741" s="1516" t="str">
        <f t="shared" si="33"/>
        <v/>
      </c>
      <c r="FF741" s="1520"/>
      <c r="FG741" s="1520"/>
      <c r="FH741" s="1520"/>
      <c r="FI741" s="1517"/>
      <c r="FJ741" s="1516" t="str">
        <f t="shared" si="34"/>
        <v/>
      </c>
      <c r="FK741" s="1520"/>
      <c r="FL741" s="1520"/>
      <c r="FM741" s="1520"/>
      <c r="FN741" s="1517"/>
      <c r="FO741" s="1516">
        <f t="shared" si="35"/>
        <v>3121</v>
      </c>
      <c r="FP741" s="1520"/>
      <c r="FQ741" s="1520"/>
      <c r="FR741" s="1520"/>
      <c r="FS741" s="1517"/>
      <c r="FT741" s="1516" t="str">
        <f t="shared" si="36"/>
        <v/>
      </c>
      <c r="FU741" s="1520"/>
      <c r="FV741" s="1520"/>
      <c r="FW741" s="1520"/>
      <c r="FX741" s="1517"/>
      <c r="FY741" s="1516" t="str">
        <f t="shared" si="37"/>
        <v/>
      </c>
      <c r="FZ741" s="1520"/>
      <c r="GA741" s="1520"/>
      <c r="GB741" s="1520"/>
      <c r="GC741" s="1517"/>
    </row>
    <row r="742" spans="1:185" ht="13" customHeight="1">
      <c r="B742" s="1364"/>
      <c r="C742" s="1365"/>
      <c r="D742" s="1365"/>
      <c r="E742" s="1365"/>
      <c r="F742" s="1366"/>
      <c r="G742" s="1358"/>
      <c r="H742" s="1359"/>
      <c r="I742" s="1359"/>
      <c r="J742" s="1360"/>
      <c r="K742" s="1361"/>
      <c r="L742" s="1362"/>
      <c r="M742" s="1362"/>
      <c r="N742" s="1363"/>
      <c r="O742" s="1403"/>
      <c r="P742" s="1404"/>
      <c r="Q742" s="1404"/>
      <c r="R742" s="1404"/>
      <c r="S742" s="1405"/>
      <c r="T742" s="1403"/>
      <c r="U742" s="1404"/>
      <c r="V742" s="1404"/>
      <c r="W742" s="1405"/>
      <c r="X742" s="1406">
        <f t="shared" si="10"/>
        <v>0</v>
      </c>
      <c r="Y742" s="1402"/>
      <c r="Z742" s="1402"/>
      <c r="AA742" s="1402"/>
      <c r="AB742" s="1407"/>
      <c r="AC742" s="1408"/>
      <c r="AD742" s="1409"/>
      <c r="AE742" s="1409"/>
      <c r="AF742" s="1409"/>
      <c r="AG742" s="1410"/>
      <c r="AH742" s="1486" t="str">
        <f t="shared" si="38"/>
        <v/>
      </c>
      <c r="AI742" s="1487"/>
      <c r="AJ742" s="1488"/>
      <c r="AK742" s="1364" t="s">
        <v>591</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16">
        <f t="shared" si="39"/>
        <v>0</v>
      </c>
      <c r="CH742" s="1517"/>
      <c r="CI742" s="1521">
        <f t="shared" si="40"/>
        <v>0</v>
      </c>
      <c r="CJ742" s="1522"/>
      <c r="CK742" s="1516">
        <f t="shared" si="18"/>
        <v>0</v>
      </c>
      <c r="CL742" s="1517"/>
      <c r="CM742" s="1521">
        <f t="shared" si="19"/>
        <v>0</v>
      </c>
      <c r="CN742" s="1522"/>
      <c r="CO742" s="3"/>
      <c r="CP742" s="1523">
        <f t="shared" si="20"/>
        <v>0</v>
      </c>
      <c r="CQ742" s="1524"/>
      <c r="CR742" s="1524"/>
      <c r="CS742" s="1524"/>
      <c r="CT742" s="1525"/>
      <c r="CU742" s="1519">
        <f t="shared" si="21"/>
        <v>0</v>
      </c>
      <c r="CV742" s="1519"/>
      <c r="CW742" s="1519"/>
      <c r="CX742" s="1519"/>
      <c r="CY742" s="1519"/>
      <c r="CZ742" s="1519">
        <f t="shared" si="22"/>
        <v>0</v>
      </c>
      <c r="DA742" s="1519"/>
      <c r="DB742" s="1519"/>
      <c r="DC742" s="1519"/>
      <c r="DD742" s="1519"/>
      <c r="DE742" s="1519">
        <f t="shared" si="23"/>
        <v>0</v>
      </c>
      <c r="DF742" s="1519"/>
      <c r="DG742" s="1519"/>
      <c r="DH742" s="1519"/>
      <c r="DI742" s="1519"/>
      <c r="DJ742" s="1519">
        <f t="shared" si="24"/>
        <v>0</v>
      </c>
      <c r="DK742" s="1519"/>
      <c r="DL742" s="1519"/>
      <c r="DM742" s="1519"/>
      <c r="DN742" s="1519"/>
      <c r="DO742" s="1519">
        <f t="shared" si="25"/>
        <v>0</v>
      </c>
      <c r="DP742" s="1519"/>
      <c r="DQ742" s="1519"/>
      <c r="DR742" s="1519"/>
      <c r="DS742" s="1519"/>
      <c r="DT742" s="6"/>
      <c r="DU742" s="1518">
        <f t="shared" si="26"/>
        <v>0</v>
      </c>
      <c r="DV742" s="1518"/>
      <c r="DW742" s="1518"/>
      <c r="DX742" s="1518"/>
      <c r="DY742" s="1518"/>
      <c r="DZ742" s="1518">
        <f t="shared" si="27"/>
        <v>0</v>
      </c>
      <c r="EA742" s="1518"/>
      <c r="EB742" s="1518"/>
      <c r="EC742" s="1518"/>
      <c r="ED742" s="1518"/>
      <c r="EE742" s="1518">
        <f t="shared" si="28"/>
        <v>0</v>
      </c>
      <c r="EF742" s="1518"/>
      <c r="EG742" s="1518"/>
      <c r="EH742" s="1518"/>
      <c r="EI742" s="1518"/>
      <c r="EJ742" s="1518">
        <f t="shared" si="29"/>
        <v>0</v>
      </c>
      <c r="EK742" s="1518"/>
      <c r="EL742" s="1518"/>
      <c r="EM742" s="1518"/>
      <c r="EN742" s="1518"/>
      <c r="EO742" s="1518">
        <f t="shared" si="30"/>
        <v>0</v>
      </c>
      <c r="EP742" s="1518"/>
      <c r="EQ742" s="1518"/>
      <c r="ER742" s="1518"/>
      <c r="ES742" s="1518"/>
      <c r="ET742" s="1518">
        <f t="shared" si="31"/>
        <v>0</v>
      </c>
      <c r="EU742" s="1518"/>
      <c r="EV742" s="1518"/>
      <c r="EW742" s="1518"/>
      <c r="EX742" s="1518"/>
      <c r="EZ742" s="1516" t="str">
        <f t="shared" si="32"/>
        <v/>
      </c>
      <c r="FA742" s="1520"/>
      <c r="FB742" s="1520"/>
      <c r="FC742" s="1520"/>
      <c r="FD742" s="1517"/>
      <c r="FE742" s="1516" t="str">
        <f t="shared" si="33"/>
        <v/>
      </c>
      <c r="FF742" s="1520"/>
      <c r="FG742" s="1520"/>
      <c r="FH742" s="1520"/>
      <c r="FI742" s="1517"/>
      <c r="FJ742" s="1516" t="str">
        <f t="shared" si="34"/>
        <v/>
      </c>
      <c r="FK742" s="1520"/>
      <c r="FL742" s="1520"/>
      <c r="FM742" s="1520"/>
      <c r="FN742" s="1517"/>
      <c r="FO742" s="1516" t="str">
        <f t="shared" si="35"/>
        <v/>
      </c>
      <c r="FP742" s="1520"/>
      <c r="FQ742" s="1520"/>
      <c r="FR742" s="1520"/>
      <c r="FS742" s="1517"/>
      <c r="FT742" s="1516" t="str">
        <f t="shared" si="36"/>
        <v/>
      </c>
      <c r="FU742" s="1520"/>
      <c r="FV742" s="1520"/>
      <c r="FW742" s="1520"/>
      <c r="FX742" s="1517"/>
      <c r="FY742" s="1516" t="str">
        <f t="shared" si="37"/>
        <v/>
      </c>
      <c r="FZ742" s="1520"/>
      <c r="GA742" s="1520"/>
      <c r="GB742" s="1520"/>
      <c r="GC742" s="1517"/>
    </row>
    <row r="743" spans="1:185" ht="13" customHeight="1">
      <c r="B743" s="1364"/>
      <c r="C743" s="1365"/>
      <c r="D743" s="1365"/>
      <c r="E743" s="1365"/>
      <c r="F743" s="1366"/>
      <c r="G743" s="1358"/>
      <c r="H743" s="1359"/>
      <c r="I743" s="1359"/>
      <c r="J743" s="1360"/>
      <c r="K743" s="1361"/>
      <c r="L743" s="1362"/>
      <c r="M743" s="1362"/>
      <c r="N743" s="1363"/>
      <c r="O743" s="1403"/>
      <c r="P743" s="1404"/>
      <c r="Q743" s="1404"/>
      <c r="R743" s="1404"/>
      <c r="S743" s="1405"/>
      <c r="T743" s="1403"/>
      <c r="U743" s="1404"/>
      <c r="V743" s="1404"/>
      <c r="W743" s="1405"/>
      <c r="X743" s="1406">
        <f t="shared" si="10"/>
        <v>0</v>
      </c>
      <c r="Y743" s="1402"/>
      <c r="Z743" s="1402"/>
      <c r="AA743" s="1402"/>
      <c r="AB743" s="1407"/>
      <c r="AC743" s="1408"/>
      <c r="AD743" s="1409"/>
      <c r="AE743" s="1409"/>
      <c r="AF743" s="1409"/>
      <c r="AG743" s="1410"/>
      <c r="AH743" s="1486" t="str">
        <f t="shared" si="38"/>
        <v/>
      </c>
      <c r="AI743" s="1487"/>
      <c r="AJ743" s="1488"/>
      <c r="AK743" s="1364" t="s">
        <v>591</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16">
        <f t="shared" si="39"/>
        <v>0</v>
      </c>
      <c r="CH743" s="1517"/>
      <c r="CI743" s="1521">
        <f t="shared" si="40"/>
        <v>0</v>
      </c>
      <c r="CJ743" s="1522"/>
      <c r="CK743" s="1516">
        <f t="shared" si="18"/>
        <v>0</v>
      </c>
      <c r="CL743" s="1517"/>
      <c r="CM743" s="1521">
        <f t="shared" si="19"/>
        <v>0</v>
      </c>
      <c r="CN743" s="1522"/>
      <c r="CO743" s="3"/>
      <c r="CP743" s="1523">
        <f t="shared" si="20"/>
        <v>0</v>
      </c>
      <c r="CQ743" s="1524"/>
      <c r="CR743" s="1524"/>
      <c r="CS743" s="1524"/>
      <c r="CT743" s="1525"/>
      <c r="CU743" s="1519">
        <f t="shared" si="21"/>
        <v>0</v>
      </c>
      <c r="CV743" s="1519"/>
      <c r="CW743" s="1519"/>
      <c r="CX743" s="1519"/>
      <c r="CY743" s="1519"/>
      <c r="CZ743" s="1519">
        <f t="shared" si="22"/>
        <v>0</v>
      </c>
      <c r="DA743" s="1519"/>
      <c r="DB743" s="1519"/>
      <c r="DC743" s="1519"/>
      <c r="DD743" s="1519"/>
      <c r="DE743" s="1519">
        <f t="shared" si="23"/>
        <v>0</v>
      </c>
      <c r="DF743" s="1519"/>
      <c r="DG743" s="1519"/>
      <c r="DH743" s="1519"/>
      <c r="DI743" s="1519"/>
      <c r="DJ743" s="1519">
        <f t="shared" si="24"/>
        <v>0</v>
      </c>
      <c r="DK743" s="1519"/>
      <c r="DL743" s="1519"/>
      <c r="DM743" s="1519"/>
      <c r="DN743" s="1519"/>
      <c r="DO743" s="1519">
        <f t="shared" si="25"/>
        <v>0</v>
      </c>
      <c r="DP743" s="1519"/>
      <c r="DQ743" s="1519"/>
      <c r="DR743" s="1519"/>
      <c r="DS743" s="1519"/>
      <c r="DT743" s="6"/>
      <c r="DU743" s="1518">
        <f t="shared" si="26"/>
        <v>0</v>
      </c>
      <c r="DV743" s="1518"/>
      <c r="DW743" s="1518"/>
      <c r="DX743" s="1518"/>
      <c r="DY743" s="1518"/>
      <c r="DZ743" s="1518">
        <f t="shared" si="27"/>
        <v>0</v>
      </c>
      <c r="EA743" s="1518"/>
      <c r="EB743" s="1518"/>
      <c r="EC743" s="1518"/>
      <c r="ED743" s="1518"/>
      <c r="EE743" s="1518">
        <f t="shared" si="28"/>
        <v>0</v>
      </c>
      <c r="EF743" s="1518"/>
      <c r="EG743" s="1518"/>
      <c r="EH743" s="1518"/>
      <c r="EI743" s="1518"/>
      <c r="EJ743" s="1518">
        <f t="shared" si="29"/>
        <v>0</v>
      </c>
      <c r="EK743" s="1518"/>
      <c r="EL743" s="1518"/>
      <c r="EM743" s="1518"/>
      <c r="EN743" s="1518"/>
      <c r="EO743" s="1518">
        <f t="shared" si="30"/>
        <v>0</v>
      </c>
      <c r="EP743" s="1518"/>
      <c r="EQ743" s="1518"/>
      <c r="ER743" s="1518"/>
      <c r="ES743" s="1518"/>
      <c r="ET743" s="1518">
        <f t="shared" si="31"/>
        <v>0</v>
      </c>
      <c r="EU743" s="1518"/>
      <c r="EV743" s="1518"/>
      <c r="EW743" s="1518"/>
      <c r="EX743" s="1518"/>
      <c r="EZ743" s="1516" t="str">
        <f t="shared" si="32"/>
        <v/>
      </c>
      <c r="FA743" s="1520"/>
      <c r="FB743" s="1520"/>
      <c r="FC743" s="1520"/>
      <c r="FD743" s="1517"/>
      <c r="FE743" s="1516" t="str">
        <f t="shared" si="33"/>
        <v/>
      </c>
      <c r="FF743" s="1520"/>
      <c r="FG743" s="1520"/>
      <c r="FH743" s="1520"/>
      <c r="FI743" s="1517"/>
      <c r="FJ743" s="1516" t="str">
        <f t="shared" si="34"/>
        <v/>
      </c>
      <c r="FK743" s="1520"/>
      <c r="FL743" s="1520"/>
      <c r="FM743" s="1520"/>
      <c r="FN743" s="1517"/>
      <c r="FO743" s="1516" t="str">
        <f t="shared" si="35"/>
        <v/>
      </c>
      <c r="FP743" s="1520"/>
      <c r="FQ743" s="1520"/>
      <c r="FR743" s="1520"/>
      <c r="FS743" s="1517"/>
      <c r="FT743" s="1516" t="str">
        <f t="shared" si="36"/>
        <v/>
      </c>
      <c r="FU743" s="1520"/>
      <c r="FV743" s="1520"/>
      <c r="FW743" s="1520"/>
      <c r="FX743" s="1517"/>
      <c r="FY743" s="1516" t="str">
        <f t="shared" si="37"/>
        <v/>
      </c>
      <c r="FZ743" s="1520"/>
      <c r="GA743" s="1520"/>
      <c r="GB743" s="1520"/>
      <c r="GC743" s="1517"/>
    </row>
    <row r="744" spans="1:185" ht="13" customHeight="1">
      <c r="B744" s="1364"/>
      <c r="C744" s="1365"/>
      <c r="D744" s="1365"/>
      <c r="E744" s="1365"/>
      <c r="F744" s="1366"/>
      <c r="G744" s="1358"/>
      <c r="H744" s="1359"/>
      <c r="I744" s="1359"/>
      <c r="J744" s="1360"/>
      <c r="K744" s="1361"/>
      <c r="L744" s="1362"/>
      <c r="M744" s="1362"/>
      <c r="N744" s="1363"/>
      <c r="O744" s="1403"/>
      <c r="P744" s="1404"/>
      <c r="Q744" s="1404"/>
      <c r="R744" s="1404"/>
      <c r="S744" s="1405"/>
      <c r="T744" s="1403"/>
      <c r="U744" s="1404"/>
      <c r="V744" s="1404"/>
      <c r="W744" s="1405"/>
      <c r="X744" s="1406">
        <f t="shared" si="10"/>
        <v>0</v>
      </c>
      <c r="Y744" s="1402"/>
      <c r="Z744" s="1402"/>
      <c r="AA744" s="1402"/>
      <c r="AB744" s="1407"/>
      <c r="AC744" s="1408"/>
      <c r="AD744" s="1409"/>
      <c r="AE744" s="1409"/>
      <c r="AF744" s="1409"/>
      <c r="AG744" s="1410"/>
      <c r="AH744" s="1486" t="str">
        <f t="shared" si="38"/>
        <v/>
      </c>
      <c r="AI744" s="1487"/>
      <c r="AJ744" s="1488"/>
      <c r="AK744" s="1364" t="s">
        <v>591</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16">
        <f t="shared" si="39"/>
        <v>0</v>
      </c>
      <c r="CH744" s="1517"/>
      <c r="CI744" s="1521">
        <f t="shared" si="40"/>
        <v>0</v>
      </c>
      <c r="CJ744" s="1522"/>
      <c r="CK744" s="1516">
        <f t="shared" si="18"/>
        <v>0</v>
      </c>
      <c r="CL744" s="1517"/>
      <c r="CM744" s="1521">
        <f t="shared" si="19"/>
        <v>0</v>
      </c>
      <c r="CN744" s="1522"/>
      <c r="CO744" s="3"/>
      <c r="CP744" s="1523">
        <f t="shared" si="20"/>
        <v>0</v>
      </c>
      <c r="CQ744" s="1524"/>
      <c r="CR744" s="1524"/>
      <c r="CS744" s="1524"/>
      <c r="CT744" s="1525"/>
      <c r="CU744" s="1519">
        <f t="shared" si="21"/>
        <v>0</v>
      </c>
      <c r="CV744" s="1519"/>
      <c r="CW744" s="1519"/>
      <c r="CX744" s="1519"/>
      <c r="CY744" s="1519"/>
      <c r="CZ744" s="1519">
        <f t="shared" si="22"/>
        <v>0</v>
      </c>
      <c r="DA744" s="1519"/>
      <c r="DB744" s="1519"/>
      <c r="DC744" s="1519"/>
      <c r="DD744" s="1519"/>
      <c r="DE744" s="1519">
        <f t="shared" si="23"/>
        <v>0</v>
      </c>
      <c r="DF744" s="1519"/>
      <c r="DG744" s="1519"/>
      <c r="DH744" s="1519"/>
      <c r="DI744" s="1519"/>
      <c r="DJ744" s="1519">
        <f t="shared" si="24"/>
        <v>0</v>
      </c>
      <c r="DK744" s="1519"/>
      <c r="DL744" s="1519"/>
      <c r="DM744" s="1519"/>
      <c r="DN744" s="1519"/>
      <c r="DO744" s="1519">
        <f t="shared" si="25"/>
        <v>0</v>
      </c>
      <c r="DP744" s="1519"/>
      <c r="DQ744" s="1519"/>
      <c r="DR744" s="1519"/>
      <c r="DS744" s="1519"/>
      <c r="DT744" s="6"/>
      <c r="DU744" s="1518">
        <f t="shared" si="26"/>
        <v>0</v>
      </c>
      <c r="DV744" s="1518"/>
      <c r="DW744" s="1518"/>
      <c r="DX744" s="1518"/>
      <c r="DY744" s="1518"/>
      <c r="DZ744" s="1518">
        <f t="shared" si="27"/>
        <v>0</v>
      </c>
      <c r="EA744" s="1518"/>
      <c r="EB744" s="1518"/>
      <c r="EC744" s="1518"/>
      <c r="ED744" s="1518"/>
      <c r="EE744" s="1518">
        <f t="shared" si="28"/>
        <v>0</v>
      </c>
      <c r="EF744" s="1518"/>
      <c r="EG744" s="1518"/>
      <c r="EH744" s="1518"/>
      <c r="EI744" s="1518"/>
      <c r="EJ744" s="1518">
        <f t="shared" si="29"/>
        <v>0</v>
      </c>
      <c r="EK744" s="1518"/>
      <c r="EL744" s="1518"/>
      <c r="EM744" s="1518"/>
      <c r="EN744" s="1518"/>
      <c r="EO744" s="1518">
        <f t="shared" si="30"/>
        <v>0</v>
      </c>
      <c r="EP744" s="1518"/>
      <c r="EQ744" s="1518"/>
      <c r="ER744" s="1518"/>
      <c r="ES744" s="1518"/>
      <c r="ET744" s="1518">
        <f t="shared" si="31"/>
        <v>0</v>
      </c>
      <c r="EU744" s="1518"/>
      <c r="EV744" s="1518"/>
      <c r="EW744" s="1518"/>
      <c r="EX744" s="1518"/>
      <c r="EZ744" s="1516" t="str">
        <f t="shared" si="32"/>
        <v/>
      </c>
      <c r="FA744" s="1520"/>
      <c r="FB744" s="1520"/>
      <c r="FC744" s="1520"/>
      <c r="FD744" s="1517"/>
      <c r="FE744" s="1516" t="str">
        <f t="shared" si="33"/>
        <v/>
      </c>
      <c r="FF744" s="1520"/>
      <c r="FG744" s="1520"/>
      <c r="FH744" s="1520"/>
      <c r="FI744" s="1517"/>
      <c r="FJ744" s="1516" t="str">
        <f t="shared" si="34"/>
        <v/>
      </c>
      <c r="FK744" s="1520"/>
      <c r="FL744" s="1520"/>
      <c r="FM744" s="1520"/>
      <c r="FN744" s="1517"/>
      <c r="FO744" s="1516" t="str">
        <f t="shared" si="35"/>
        <v/>
      </c>
      <c r="FP744" s="1520"/>
      <c r="FQ744" s="1520"/>
      <c r="FR744" s="1520"/>
      <c r="FS744" s="1517"/>
      <c r="FT744" s="1516" t="str">
        <f t="shared" si="36"/>
        <v/>
      </c>
      <c r="FU744" s="1520"/>
      <c r="FV744" s="1520"/>
      <c r="FW744" s="1520"/>
      <c r="FX744" s="1517"/>
      <c r="FY744" s="1516" t="str">
        <f t="shared" si="37"/>
        <v/>
      </c>
      <c r="FZ744" s="1520"/>
      <c r="GA744" s="1520"/>
      <c r="GB744" s="1520"/>
      <c r="GC744" s="1517"/>
    </row>
    <row r="745" spans="1:185" ht="13" customHeight="1">
      <c r="B745" s="1364"/>
      <c r="C745" s="1365"/>
      <c r="D745" s="1365"/>
      <c r="E745" s="1365"/>
      <c r="F745" s="1366"/>
      <c r="G745" s="1358"/>
      <c r="H745" s="1359"/>
      <c r="I745" s="1359"/>
      <c r="J745" s="1360"/>
      <c r="K745" s="1361"/>
      <c r="L745" s="1362"/>
      <c r="M745" s="1362"/>
      <c r="N745" s="1363"/>
      <c r="O745" s="1403"/>
      <c r="P745" s="1404"/>
      <c r="Q745" s="1404"/>
      <c r="R745" s="1404"/>
      <c r="S745" s="1405"/>
      <c r="T745" s="1403"/>
      <c r="U745" s="1404"/>
      <c r="V745" s="1404"/>
      <c r="W745" s="1405"/>
      <c r="X745" s="1406">
        <f t="shared" si="10"/>
        <v>0</v>
      </c>
      <c r="Y745" s="1402"/>
      <c r="Z745" s="1402"/>
      <c r="AA745" s="1402"/>
      <c r="AB745" s="1407"/>
      <c r="AC745" s="1408"/>
      <c r="AD745" s="1409"/>
      <c r="AE745" s="1409"/>
      <c r="AF745" s="1409"/>
      <c r="AG745" s="1410"/>
      <c r="AH745" s="1486" t="str">
        <f t="shared" si="38"/>
        <v/>
      </c>
      <c r="AI745" s="1487"/>
      <c r="AJ745" s="1488"/>
      <c r="AK745" s="1364" t="s">
        <v>591</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16">
        <f t="shared" si="39"/>
        <v>0</v>
      </c>
      <c r="CH745" s="1517"/>
      <c r="CI745" s="1521">
        <f t="shared" si="40"/>
        <v>0</v>
      </c>
      <c r="CJ745" s="1522"/>
      <c r="CK745" s="1516">
        <f t="shared" si="18"/>
        <v>0</v>
      </c>
      <c r="CL745" s="1517"/>
      <c r="CM745" s="1521">
        <f t="shared" si="19"/>
        <v>0</v>
      </c>
      <c r="CN745" s="1522"/>
      <c r="CO745" s="3"/>
      <c r="CP745" s="1523">
        <f t="shared" si="20"/>
        <v>0</v>
      </c>
      <c r="CQ745" s="1524"/>
      <c r="CR745" s="1524"/>
      <c r="CS745" s="1524"/>
      <c r="CT745" s="1525"/>
      <c r="CU745" s="1519">
        <f t="shared" si="21"/>
        <v>0</v>
      </c>
      <c r="CV745" s="1519"/>
      <c r="CW745" s="1519"/>
      <c r="CX745" s="1519"/>
      <c r="CY745" s="1519"/>
      <c r="CZ745" s="1519">
        <f t="shared" si="22"/>
        <v>0</v>
      </c>
      <c r="DA745" s="1519"/>
      <c r="DB745" s="1519"/>
      <c r="DC745" s="1519"/>
      <c r="DD745" s="1519"/>
      <c r="DE745" s="1519">
        <f t="shared" si="23"/>
        <v>0</v>
      </c>
      <c r="DF745" s="1519"/>
      <c r="DG745" s="1519"/>
      <c r="DH745" s="1519"/>
      <c r="DI745" s="1519"/>
      <c r="DJ745" s="1519">
        <f t="shared" si="24"/>
        <v>0</v>
      </c>
      <c r="DK745" s="1519"/>
      <c r="DL745" s="1519"/>
      <c r="DM745" s="1519"/>
      <c r="DN745" s="1519"/>
      <c r="DO745" s="1519">
        <f t="shared" si="25"/>
        <v>0</v>
      </c>
      <c r="DP745" s="1519"/>
      <c r="DQ745" s="1519"/>
      <c r="DR745" s="1519"/>
      <c r="DS745" s="1519"/>
      <c r="DT745" s="6"/>
      <c r="DU745" s="1518">
        <f t="shared" si="26"/>
        <v>0</v>
      </c>
      <c r="DV745" s="1518"/>
      <c r="DW745" s="1518"/>
      <c r="DX745" s="1518"/>
      <c r="DY745" s="1518"/>
      <c r="DZ745" s="1518">
        <f t="shared" si="27"/>
        <v>0</v>
      </c>
      <c r="EA745" s="1518"/>
      <c r="EB745" s="1518"/>
      <c r="EC745" s="1518"/>
      <c r="ED745" s="1518"/>
      <c r="EE745" s="1518">
        <f t="shared" si="28"/>
        <v>0</v>
      </c>
      <c r="EF745" s="1518"/>
      <c r="EG745" s="1518"/>
      <c r="EH745" s="1518"/>
      <c r="EI745" s="1518"/>
      <c r="EJ745" s="1518">
        <f t="shared" si="29"/>
        <v>0</v>
      </c>
      <c r="EK745" s="1518"/>
      <c r="EL745" s="1518"/>
      <c r="EM745" s="1518"/>
      <c r="EN745" s="1518"/>
      <c r="EO745" s="1518">
        <f t="shared" si="30"/>
        <v>0</v>
      </c>
      <c r="EP745" s="1518"/>
      <c r="EQ745" s="1518"/>
      <c r="ER745" s="1518"/>
      <c r="ES745" s="1518"/>
      <c r="ET745" s="1518">
        <f t="shared" si="31"/>
        <v>0</v>
      </c>
      <c r="EU745" s="1518"/>
      <c r="EV745" s="1518"/>
      <c r="EW745" s="1518"/>
      <c r="EX745" s="1518"/>
      <c r="EZ745" s="1516" t="str">
        <f t="shared" si="32"/>
        <v/>
      </c>
      <c r="FA745" s="1520"/>
      <c r="FB745" s="1520"/>
      <c r="FC745" s="1520"/>
      <c r="FD745" s="1517"/>
      <c r="FE745" s="1516" t="str">
        <f t="shared" si="33"/>
        <v/>
      </c>
      <c r="FF745" s="1520"/>
      <c r="FG745" s="1520"/>
      <c r="FH745" s="1520"/>
      <c r="FI745" s="1517"/>
      <c r="FJ745" s="1516" t="str">
        <f t="shared" si="34"/>
        <v/>
      </c>
      <c r="FK745" s="1520"/>
      <c r="FL745" s="1520"/>
      <c r="FM745" s="1520"/>
      <c r="FN745" s="1517"/>
      <c r="FO745" s="1516" t="str">
        <f t="shared" si="35"/>
        <v/>
      </c>
      <c r="FP745" s="1520"/>
      <c r="FQ745" s="1520"/>
      <c r="FR745" s="1520"/>
      <c r="FS745" s="1517"/>
      <c r="FT745" s="1516" t="str">
        <f t="shared" si="36"/>
        <v/>
      </c>
      <c r="FU745" s="1520"/>
      <c r="FV745" s="1520"/>
      <c r="FW745" s="1520"/>
      <c r="FX745" s="1517"/>
      <c r="FY745" s="1516" t="str">
        <f t="shared" si="37"/>
        <v/>
      </c>
      <c r="FZ745" s="1520"/>
      <c r="GA745" s="1520"/>
      <c r="GB745" s="1520"/>
      <c r="GC745" s="1517"/>
    </row>
    <row r="746" spans="1:185" ht="13" customHeight="1">
      <c r="B746" s="1364"/>
      <c r="C746" s="1365"/>
      <c r="D746" s="1365"/>
      <c r="E746" s="1365"/>
      <c r="F746" s="1366"/>
      <c r="G746" s="1358"/>
      <c r="H746" s="1359"/>
      <c r="I746" s="1359"/>
      <c r="J746" s="1360"/>
      <c r="K746" s="1361"/>
      <c r="L746" s="1362"/>
      <c r="M746" s="1362"/>
      <c r="N746" s="1363"/>
      <c r="O746" s="1403"/>
      <c r="P746" s="1404"/>
      <c r="Q746" s="1404"/>
      <c r="R746" s="1404"/>
      <c r="S746" s="1405"/>
      <c r="T746" s="1403"/>
      <c r="U746" s="1404"/>
      <c r="V746" s="1404"/>
      <c r="W746" s="1405"/>
      <c r="X746" s="1406">
        <f t="shared" si="10"/>
        <v>0</v>
      </c>
      <c r="Y746" s="1402"/>
      <c r="Z746" s="1402"/>
      <c r="AA746" s="1402"/>
      <c r="AB746" s="1407"/>
      <c r="AC746" s="1408"/>
      <c r="AD746" s="1409"/>
      <c r="AE746" s="1409"/>
      <c r="AF746" s="1409"/>
      <c r="AG746" s="1410"/>
      <c r="AH746" s="1486" t="str">
        <f t="shared" si="38"/>
        <v/>
      </c>
      <c r="AI746" s="1487"/>
      <c r="AJ746" s="1488"/>
      <c r="AK746" s="1364" t="s">
        <v>591</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16">
        <f t="shared" si="39"/>
        <v>0</v>
      </c>
      <c r="CH746" s="1517"/>
      <c r="CI746" s="1521">
        <f t="shared" si="40"/>
        <v>0</v>
      </c>
      <c r="CJ746" s="1522"/>
      <c r="CK746" s="1516">
        <f t="shared" si="18"/>
        <v>0</v>
      </c>
      <c r="CL746" s="1517"/>
      <c r="CM746" s="1521">
        <f t="shared" si="19"/>
        <v>0</v>
      </c>
      <c r="CN746" s="1522"/>
      <c r="CO746" s="3"/>
      <c r="CP746" s="1523">
        <f t="shared" si="20"/>
        <v>0</v>
      </c>
      <c r="CQ746" s="1524"/>
      <c r="CR746" s="1524"/>
      <c r="CS746" s="1524"/>
      <c r="CT746" s="1525"/>
      <c r="CU746" s="1519">
        <f t="shared" si="21"/>
        <v>0</v>
      </c>
      <c r="CV746" s="1519"/>
      <c r="CW746" s="1519"/>
      <c r="CX746" s="1519"/>
      <c r="CY746" s="1519"/>
      <c r="CZ746" s="1519">
        <f t="shared" si="22"/>
        <v>0</v>
      </c>
      <c r="DA746" s="1519"/>
      <c r="DB746" s="1519"/>
      <c r="DC746" s="1519"/>
      <c r="DD746" s="1519"/>
      <c r="DE746" s="1519">
        <f t="shared" si="23"/>
        <v>0</v>
      </c>
      <c r="DF746" s="1519"/>
      <c r="DG746" s="1519"/>
      <c r="DH746" s="1519"/>
      <c r="DI746" s="1519"/>
      <c r="DJ746" s="1519">
        <f t="shared" si="24"/>
        <v>0</v>
      </c>
      <c r="DK746" s="1519"/>
      <c r="DL746" s="1519"/>
      <c r="DM746" s="1519"/>
      <c r="DN746" s="1519"/>
      <c r="DO746" s="1519">
        <f t="shared" si="25"/>
        <v>0</v>
      </c>
      <c r="DP746" s="1519"/>
      <c r="DQ746" s="1519"/>
      <c r="DR746" s="1519"/>
      <c r="DS746" s="1519"/>
      <c r="DT746" s="6"/>
      <c r="DU746" s="1518">
        <f t="shared" si="26"/>
        <v>0</v>
      </c>
      <c r="DV746" s="1518"/>
      <c r="DW746" s="1518"/>
      <c r="DX746" s="1518"/>
      <c r="DY746" s="1518"/>
      <c r="DZ746" s="1518">
        <f t="shared" si="27"/>
        <v>0</v>
      </c>
      <c r="EA746" s="1518"/>
      <c r="EB746" s="1518"/>
      <c r="EC746" s="1518"/>
      <c r="ED746" s="1518"/>
      <c r="EE746" s="1518">
        <f t="shared" si="28"/>
        <v>0</v>
      </c>
      <c r="EF746" s="1518"/>
      <c r="EG746" s="1518"/>
      <c r="EH746" s="1518"/>
      <c r="EI746" s="1518"/>
      <c r="EJ746" s="1518">
        <f t="shared" si="29"/>
        <v>0</v>
      </c>
      <c r="EK746" s="1518"/>
      <c r="EL746" s="1518"/>
      <c r="EM746" s="1518"/>
      <c r="EN746" s="1518"/>
      <c r="EO746" s="1518">
        <f t="shared" si="30"/>
        <v>0</v>
      </c>
      <c r="EP746" s="1518"/>
      <c r="EQ746" s="1518"/>
      <c r="ER746" s="1518"/>
      <c r="ES746" s="1518"/>
      <c r="ET746" s="1518">
        <f t="shared" si="31"/>
        <v>0</v>
      </c>
      <c r="EU746" s="1518"/>
      <c r="EV746" s="1518"/>
      <c r="EW746" s="1518"/>
      <c r="EX746" s="1518"/>
      <c r="EZ746" s="1516" t="str">
        <f t="shared" si="32"/>
        <v/>
      </c>
      <c r="FA746" s="1520"/>
      <c r="FB746" s="1520"/>
      <c r="FC746" s="1520"/>
      <c r="FD746" s="1517"/>
      <c r="FE746" s="1516" t="str">
        <f t="shared" si="33"/>
        <v/>
      </c>
      <c r="FF746" s="1520"/>
      <c r="FG746" s="1520"/>
      <c r="FH746" s="1520"/>
      <c r="FI746" s="1517"/>
      <c r="FJ746" s="1516" t="str">
        <f t="shared" si="34"/>
        <v/>
      </c>
      <c r="FK746" s="1520"/>
      <c r="FL746" s="1520"/>
      <c r="FM746" s="1520"/>
      <c r="FN746" s="1517"/>
      <c r="FO746" s="1516" t="str">
        <f t="shared" si="35"/>
        <v/>
      </c>
      <c r="FP746" s="1520"/>
      <c r="FQ746" s="1520"/>
      <c r="FR746" s="1520"/>
      <c r="FS746" s="1517"/>
      <c r="FT746" s="1516" t="str">
        <f t="shared" si="36"/>
        <v/>
      </c>
      <c r="FU746" s="1520"/>
      <c r="FV746" s="1520"/>
      <c r="FW746" s="1520"/>
      <c r="FX746" s="1517"/>
      <c r="FY746" s="1516" t="str">
        <f t="shared" si="37"/>
        <v/>
      </c>
      <c r="FZ746" s="1520"/>
      <c r="GA746" s="1520"/>
      <c r="GB746" s="1520"/>
      <c r="GC746" s="1517"/>
    </row>
    <row r="747" spans="1:185" ht="13" customHeight="1">
      <c r="B747" s="1364"/>
      <c r="C747" s="1365"/>
      <c r="D747" s="1365"/>
      <c r="E747" s="1365"/>
      <c r="F747" s="1366"/>
      <c r="G747" s="1358"/>
      <c r="H747" s="1359"/>
      <c r="I747" s="1359"/>
      <c r="J747" s="1360"/>
      <c r="K747" s="1361"/>
      <c r="L747" s="1362"/>
      <c r="M747" s="1362"/>
      <c r="N747" s="1363"/>
      <c r="O747" s="1403"/>
      <c r="P747" s="1404"/>
      <c r="Q747" s="1404"/>
      <c r="R747" s="1404"/>
      <c r="S747" s="1405"/>
      <c r="T747" s="1403"/>
      <c r="U747" s="1404"/>
      <c r="V747" s="1404"/>
      <c r="W747" s="1405"/>
      <c r="X747" s="1406">
        <f t="shared" si="10"/>
        <v>0</v>
      </c>
      <c r="Y747" s="1402"/>
      <c r="Z747" s="1402"/>
      <c r="AA747" s="1402"/>
      <c r="AB747" s="1407"/>
      <c r="AC747" s="1408"/>
      <c r="AD747" s="1409"/>
      <c r="AE747" s="1409"/>
      <c r="AF747" s="1409"/>
      <c r="AG747" s="1410"/>
      <c r="AH747" s="1486" t="str">
        <f t="shared" si="38"/>
        <v/>
      </c>
      <c r="AI747" s="1487"/>
      <c r="AJ747" s="1488"/>
      <c r="AK747" s="1364" t="s">
        <v>591</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16">
        <f t="shared" si="39"/>
        <v>0</v>
      </c>
      <c r="CH747" s="1517"/>
      <c r="CI747" s="1521">
        <f t="shared" si="40"/>
        <v>0</v>
      </c>
      <c r="CJ747" s="1522"/>
      <c r="CK747" s="1516">
        <f t="shared" si="18"/>
        <v>0</v>
      </c>
      <c r="CL747" s="1517"/>
      <c r="CM747" s="1521">
        <f t="shared" si="19"/>
        <v>0</v>
      </c>
      <c r="CN747" s="1522"/>
      <c r="CO747" s="3"/>
      <c r="CP747" s="1523">
        <f t="shared" si="20"/>
        <v>0</v>
      </c>
      <c r="CQ747" s="1524"/>
      <c r="CR747" s="1524"/>
      <c r="CS747" s="1524"/>
      <c r="CT747" s="1525"/>
      <c r="CU747" s="1519">
        <f t="shared" si="21"/>
        <v>0</v>
      </c>
      <c r="CV747" s="1519"/>
      <c r="CW747" s="1519"/>
      <c r="CX747" s="1519"/>
      <c r="CY747" s="1519"/>
      <c r="CZ747" s="1519">
        <f t="shared" si="22"/>
        <v>0</v>
      </c>
      <c r="DA747" s="1519"/>
      <c r="DB747" s="1519"/>
      <c r="DC747" s="1519"/>
      <c r="DD747" s="1519"/>
      <c r="DE747" s="1519">
        <f t="shared" si="23"/>
        <v>0</v>
      </c>
      <c r="DF747" s="1519"/>
      <c r="DG747" s="1519"/>
      <c r="DH747" s="1519"/>
      <c r="DI747" s="1519"/>
      <c r="DJ747" s="1519">
        <f t="shared" si="24"/>
        <v>0</v>
      </c>
      <c r="DK747" s="1519"/>
      <c r="DL747" s="1519"/>
      <c r="DM747" s="1519"/>
      <c r="DN747" s="1519"/>
      <c r="DO747" s="1519">
        <f t="shared" si="25"/>
        <v>0</v>
      </c>
      <c r="DP747" s="1519"/>
      <c r="DQ747" s="1519"/>
      <c r="DR747" s="1519"/>
      <c r="DS747" s="1519"/>
      <c r="DT747" s="6"/>
      <c r="DU747" s="1518">
        <f t="shared" si="26"/>
        <v>0</v>
      </c>
      <c r="DV747" s="1518"/>
      <c r="DW747" s="1518"/>
      <c r="DX747" s="1518"/>
      <c r="DY747" s="1518"/>
      <c r="DZ747" s="1518">
        <f t="shared" si="27"/>
        <v>0</v>
      </c>
      <c r="EA747" s="1518"/>
      <c r="EB747" s="1518"/>
      <c r="EC747" s="1518"/>
      <c r="ED747" s="1518"/>
      <c r="EE747" s="1518">
        <f t="shared" si="28"/>
        <v>0</v>
      </c>
      <c r="EF747" s="1518"/>
      <c r="EG747" s="1518"/>
      <c r="EH747" s="1518"/>
      <c r="EI747" s="1518"/>
      <c r="EJ747" s="1518">
        <f t="shared" si="29"/>
        <v>0</v>
      </c>
      <c r="EK747" s="1518"/>
      <c r="EL747" s="1518"/>
      <c r="EM747" s="1518"/>
      <c r="EN747" s="1518"/>
      <c r="EO747" s="1518">
        <f t="shared" si="30"/>
        <v>0</v>
      </c>
      <c r="EP747" s="1518"/>
      <c r="EQ747" s="1518"/>
      <c r="ER747" s="1518"/>
      <c r="ES747" s="1518"/>
      <c r="ET747" s="1518">
        <f t="shared" si="31"/>
        <v>0</v>
      </c>
      <c r="EU747" s="1518"/>
      <c r="EV747" s="1518"/>
      <c r="EW747" s="1518"/>
      <c r="EX747" s="1518"/>
      <c r="EZ747" s="1516" t="str">
        <f t="shared" si="32"/>
        <v/>
      </c>
      <c r="FA747" s="1520"/>
      <c r="FB747" s="1520"/>
      <c r="FC747" s="1520"/>
      <c r="FD747" s="1517"/>
      <c r="FE747" s="1516" t="str">
        <f t="shared" si="33"/>
        <v/>
      </c>
      <c r="FF747" s="1520"/>
      <c r="FG747" s="1520"/>
      <c r="FH747" s="1520"/>
      <c r="FI747" s="1517"/>
      <c r="FJ747" s="1516" t="str">
        <f t="shared" si="34"/>
        <v/>
      </c>
      <c r="FK747" s="1520"/>
      <c r="FL747" s="1520"/>
      <c r="FM747" s="1520"/>
      <c r="FN747" s="1517"/>
      <c r="FO747" s="1516" t="str">
        <f t="shared" si="35"/>
        <v/>
      </c>
      <c r="FP747" s="1520"/>
      <c r="FQ747" s="1520"/>
      <c r="FR747" s="1520"/>
      <c r="FS747" s="1517"/>
      <c r="FT747" s="1516" t="str">
        <f t="shared" si="36"/>
        <v/>
      </c>
      <c r="FU747" s="1520"/>
      <c r="FV747" s="1520"/>
      <c r="FW747" s="1520"/>
      <c r="FX747" s="1517"/>
      <c r="FY747" s="1516" t="str">
        <f t="shared" si="37"/>
        <v/>
      </c>
      <c r="FZ747" s="1520"/>
      <c r="GA747" s="1520"/>
      <c r="GB747" s="1520"/>
      <c r="GC747" s="1517"/>
    </row>
    <row r="748" spans="1:185" ht="13" customHeight="1">
      <c r="B748" s="1364"/>
      <c r="C748" s="1365"/>
      <c r="D748" s="1365"/>
      <c r="E748" s="1365"/>
      <c r="F748" s="1366"/>
      <c r="G748" s="1358"/>
      <c r="H748" s="1359"/>
      <c r="I748" s="1359"/>
      <c r="J748" s="1360"/>
      <c r="K748" s="1361"/>
      <c r="L748" s="1362"/>
      <c r="M748" s="1362"/>
      <c r="N748" s="1363"/>
      <c r="O748" s="1403"/>
      <c r="P748" s="1404"/>
      <c r="Q748" s="1404"/>
      <c r="R748" s="1404"/>
      <c r="S748" s="1405"/>
      <c r="T748" s="1403"/>
      <c r="U748" s="1404"/>
      <c r="V748" s="1404"/>
      <c r="W748" s="1405"/>
      <c r="X748" s="1406">
        <f t="shared" si="10"/>
        <v>0</v>
      </c>
      <c r="Y748" s="1402"/>
      <c r="Z748" s="1402"/>
      <c r="AA748" s="1402"/>
      <c r="AB748" s="1407"/>
      <c r="AC748" s="1408"/>
      <c r="AD748" s="1409"/>
      <c r="AE748" s="1409"/>
      <c r="AF748" s="1409"/>
      <c r="AG748" s="1410"/>
      <c r="AH748" s="1486" t="str">
        <f t="shared" si="38"/>
        <v/>
      </c>
      <c r="AI748" s="1487"/>
      <c r="AJ748" s="1488"/>
      <c r="AK748" s="1364" t="s">
        <v>591</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16">
        <f t="shared" si="39"/>
        <v>0</v>
      </c>
      <c r="CH748" s="1517"/>
      <c r="CI748" s="1521">
        <f t="shared" si="40"/>
        <v>0</v>
      </c>
      <c r="CJ748" s="1522"/>
      <c r="CK748" s="1516">
        <f t="shared" si="18"/>
        <v>0</v>
      </c>
      <c r="CL748" s="1517"/>
      <c r="CM748" s="1521">
        <f t="shared" si="19"/>
        <v>0</v>
      </c>
      <c r="CN748" s="1522"/>
      <c r="CO748" s="3"/>
      <c r="CP748" s="1523">
        <f t="shared" si="20"/>
        <v>0</v>
      </c>
      <c r="CQ748" s="1524"/>
      <c r="CR748" s="1524"/>
      <c r="CS748" s="1524"/>
      <c r="CT748" s="1525"/>
      <c r="CU748" s="1519">
        <f t="shared" si="21"/>
        <v>0</v>
      </c>
      <c r="CV748" s="1519"/>
      <c r="CW748" s="1519"/>
      <c r="CX748" s="1519"/>
      <c r="CY748" s="1519"/>
      <c r="CZ748" s="1519">
        <f t="shared" si="22"/>
        <v>0</v>
      </c>
      <c r="DA748" s="1519"/>
      <c r="DB748" s="1519"/>
      <c r="DC748" s="1519"/>
      <c r="DD748" s="1519"/>
      <c r="DE748" s="1519">
        <f t="shared" si="23"/>
        <v>0</v>
      </c>
      <c r="DF748" s="1519"/>
      <c r="DG748" s="1519"/>
      <c r="DH748" s="1519"/>
      <c r="DI748" s="1519"/>
      <c r="DJ748" s="1519">
        <f t="shared" si="24"/>
        <v>0</v>
      </c>
      <c r="DK748" s="1519"/>
      <c r="DL748" s="1519"/>
      <c r="DM748" s="1519"/>
      <c r="DN748" s="1519"/>
      <c r="DO748" s="1519">
        <f t="shared" si="25"/>
        <v>0</v>
      </c>
      <c r="DP748" s="1519"/>
      <c r="DQ748" s="1519"/>
      <c r="DR748" s="1519"/>
      <c r="DS748" s="1519"/>
      <c r="DT748" s="6"/>
      <c r="DU748" s="1518">
        <f t="shared" si="26"/>
        <v>0</v>
      </c>
      <c r="DV748" s="1518"/>
      <c r="DW748" s="1518"/>
      <c r="DX748" s="1518"/>
      <c r="DY748" s="1518"/>
      <c r="DZ748" s="1518">
        <f t="shared" si="27"/>
        <v>0</v>
      </c>
      <c r="EA748" s="1518"/>
      <c r="EB748" s="1518"/>
      <c r="EC748" s="1518"/>
      <c r="ED748" s="1518"/>
      <c r="EE748" s="1518">
        <f t="shared" si="28"/>
        <v>0</v>
      </c>
      <c r="EF748" s="1518"/>
      <c r="EG748" s="1518"/>
      <c r="EH748" s="1518"/>
      <c r="EI748" s="1518"/>
      <c r="EJ748" s="1518">
        <f t="shared" si="29"/>
        <v>0</v>
      </c>
      <c r="EK748" s="1518"/>
      <c r="EL748" s="1518"/>
      <c r="EM748" s="1518"/>
      <c r="EN748" s="1518"/>
      <c r="EO748" s="1518">
        <f t="shared" si="30"/>
        <v>0</v>
      </c>
      <c r="EP748" s="1518"/>
      <c r="EQ748" s="1518"/>
      <c r="ER748" s="1518"/>
      <c r="ES748" s="1518"/>
      <c r="ET748" s="1518">
        <f t="shared" si="31"/>
        <v>0</v>
      </c>
      <c r="EU748" s="1518"/>
      <c r="EV748" s="1518"/>
      <c r="EW748" s="1518"/>
      <c r="EX748" s="1518"/>
      <c r="EZ748" s="1516" t="str">
        <f t="shared" si="32"/>
        <v/>
      </c>
      <c r="FA748" s="1520"/>
      <c r="FB748" s="1520"/>
      <c r="FC748" s="1520"/>
      <c r="FD748" s="1517"/>
      <c r="FE748" s="1516" t="str">
        <f t="shared" si="33"/>
        <v/>
      </c>
      <c r="FF748" s="1520"/>
      <c r="FG748" s="1520"/>
      <c r="FH748" s="1520"/>
      <c r="FI748" s="1517"/>
      <c r="FJ748" s="1516" t="str">
        <f t="shared" si="34"/>
        <v/>
      </c>
      <c r="FK748" s="1520"/>
      <c r="FL748" s="1520"/>
      <c r="FM748" s="1520"/>
      <c r="FN748" s="1517"/>
      <c r="FO748" s="1516" t="str">
        <f t="shared" si="35"/>
        <v/>
      </c>
      <c r="FP748" s="1520"/>
      <c r="FQ748" s="1520"/>
      <c r="FR748" s="1520"/>
      <c r="FS748" s="1517"/>
      <c r="FT748" s="1516" t="str">
        <f t="shared" si="36"/>
        <v/>
      </c>
      <c r="FU748" s="1520"/>
      <c r="FV748" s="1520"/>
      <c r="FW748" s="1520"/>
      <c r="FX748" s="1517"/>
      <c r="FY748" s="1516" t="str">
        <f t="shared" si="37"/>
        <v/>
      </c>
      <c r="FZ748" s="1520"/>
      <c r="GA748" s="1520"/>
      <c r="GB748" s="1520"/>
      <c r="GC748" s="1517"/>
    </row>
    <row r="749" spans="1:185" ht="13" customHeight="1">
      <c r="B749" s="1364"/>
      <c r="C749" s="1365"/>
      <c r="D749" s="1365"/>
      <c r="E749" s="1365"/>
      <c r="F749" s="1366"/>
      <c r="G749" s="1358"/>
      <c r="H749" s="1359"/>
      <c r="I749" s="1359"/>
      <c r="J749" s="1360"/>
      <c r="K749" s="1361"/>
      <c r="L749" s="1362"/>
      <c r="M749" s="1362"/>
      <c r="N749" s="1363"/>
      <c r="O749" s="1403"/>
      <c r="P749" s="1404"/>
      <c r="Q749" s="1404"/>
      <c r="R749" s="1404"/>
      <c r="S749" s="1405"/>
      <c r="T749" s="1403"/>
      <c r="U749" s="1404"/>
      <c r="V749" s="1404"/>
      <c r="W749" s="1405"/>
      <c r="X749" s="1406">
        <f t="shared" si="10"/>
        <v>0</v>
      </c>
      <c r="Y749" s="1402"/>
      <c r="Z749" s="1402"/>
      <c r="AA749" s="1402"/>
      <c r="AB749" s="1407"/>
      <c r="AC749" s="1408"/>
      <c r="AD749" s="1409"/>
      <c r="AE749" s="1409"/>
      <c r="AF749" s="1409"/>
      <c r="AG749" s="1410"/>
      <c r="AH749" s="1486" t="str">
        <f t="shared" si="38"/>
        <v/>
      </c>
      <c r="AI749" s="1487"/>
      <c r="AJ749" s="1488"/>
      <c r="AK749" s="1364" t="s">
        <v>591</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16">
        <f t="shared" si="39"/>
        <v>0</v>
      </c>
      <c r="CH749" s="1517"/>
      <c r="CI749" s="1521">
        <f t="shared" si="40"/>
        <v>0</v>
      </c>
      <c r="CJ749" s="1522"/>
      <c r="CK749" s="1516">
        <f t="shared" si="18"/>
        <v>0</v>
      </c>
      <c r="CL749" s="1517"/>
      <c r="CM749" s="1521">
        <f t="shared" si="19"/>
        <v>0</v>
      </c>
      <c r="CN749" s="1522"/>
      <c r="CO749" s="3"/>
      <c r="CP749" s="1523">
        <f t="shared" si="20"/>
        <v>0</v>
      </c>
      <c r="CQ749" s="1524"/>
      <c r="CR749" s="1524"/>
      <c r="CS749" s="1524"/>
      <c r="CT749" s="1525"/>
      <c r="CU749" s="1519">
        <f t="shared" si="21"/>
        <v>0</v>
      </c>
      <c r="CV749" s="1519"/>
      <c r="CW749" s="1519"/>
      <c r="CX749" s="1519"/>
      <c r="CY749" s="1519"/>
      <c r="CZ749" s="1519">
        <f t="shared" si="22"/>
        <v>0</v>
      </c>
      <c r="DA749" s="1519"/>
      <c r="DB749" s="1519"/>
      <c r="DC749" s="1519"/>
      <c r="DD749" s="1519"/>
      <c r="DE749" s="1519">
        <f t="shared" si="23"/>
        <v>0</v>
      </c>
      <c r="DF749" s="1519"/>
      <c r="DG749" s="1519"/>
      <c r="DH749" s="1519"/>
      <c r="DI749" s="1519"/>
      <c r="DJ749" s="1519">
        <f t="shared" si="24"/>
        <v>0</v>
      </c>
      <c r="DK749" s="1519"/>
      <c r="DL749" s="1519"/>
      <c r="DM749" s="1519"/>
      <c r="DN749" s="1519"/>
      <c r="DO749" s="1519">
        <f t="shared" si="25"/>
        <v>0</v>
      </c>
      <c r="DP749" s="1519"/>
      <c r="DQ749" s="1519"/>
      <c r="DR749" s="1519"/>
      <c r="DS749" s="1519"/>
      <c r="DT749" s="6"/>
      <c r="DU749" s="1518">
        <f t="shared" si="26"/>
        <v>0</v>
      </c>
      <c r="DV749" s="1518"/>
      <c r="DW749" s="1518"/>
      <c r="DX749" s="1518"/>
      <c r="DY749" s="1518"/>
      <c r="DZ749" s="1518">
        <f t="shared" si="27"/>
        <v>0</v>
      </c>
      <c r="EA749" s="1518"/>
      <c r="EB749" s="1518"/>
      <c r="EC749" s="1518"/>
      <c r="ED749" s="1518"/>
      <c r="EE749" s="1518">
        <f t="shared" si="28"/>
        <v>0</v>
      </c>
      <c r="EF749" s="1518"/>
      <c r="EG749" s="1518"/>
      <c r="EH749" s="1518"/>
      <c r="EI749" s="1518"/>
      <c r="EJ749" s="1518">
        <f t="shared" si="29"/>
        <v>0</v>
      </c>
      <c r="EK749" s="1518"/>
      <c r="EL749" s="1518"/>
      <c r="EM749" s="1518"/>
      <c r="EN749" s="1518"/>
      <c r="EO749" s="1518">
        <f t="shared" si="30"/>
        <v>0</v>
      </c>
      <c r="EP749" s="1518"/>
      <c r="EQ749" s="1518"/>
      <c r="ER749" s="1518"/>
      <c r="ES749" s="1518"/>
      <c r="ET749" s="1518">
        <f t="shared" si="31"/>
        <v>0</v>
      </c>
      <c r="EU749" s="1518"/>
      <c r="EV749" s="1518"/>
      <c r="EW749" s="1518"/>
      <c r="EX749" s="1518"/>
      <c r="EZ749" s="1516" t="str">
        <f t="shared" si="32"/>
        <v/>
      </c>
      <c r="FA749" s="1520"/>
      <c r="FB749" s="1520"/>
      <c r="FC749" s="1520"/>
      <c r="FD749" s="1517"/>
      <c r="FE749" s="1516" t="str">
        <f t="shared" si="33"/>
        <v/>
      </c>
      <c r="FF749" s="1520"/>
      <c r="FG749" s="1520"/>
      <c r="FH749" s="1520"/>
      <c r="FI749" s="1517"/>
      <c r="FJ749" s="1516" t="str">
        <f t="shared" si="34"/>
        <v/>
      </c>
      <c r="FK749" s="1520"/>
      <c r="FL749" s="1520"/>
      <c r="FM749" s="1520"/>
      <c r="FN749" s="1517"/>
      <c r="FO749" s="1516" t="str">
        <f t="shared" si="35"/>
        <v/>
      </c>
      <c r="FP749" s="1520"/>
      <c r="FQ749" s="1520"/>
      <c r="FR749" s="1520"/>
      <c r="FS749" s="1517"/>
      <c r="FT749" s="1516" t="str">
        <f t="shared" si="36"/>
        <v/>
      </c>
      <c r="FU749" s="1520"/>
      <c r="FV749" s="1520"/>
      <c r="FW749" s="1520"/>
      <c r="FX749" s="1517"/>
      <c r="FY749" s="1516" t="str">
        <f t="shared" si="37"/>
        <v/>
      </c>
      <c r="FZ749" s="1520"/>
      <c r="GA749" s="1520"/>
      <c r="GB749" s="1520"/>
      <c r="GC749" s="1517"/>
    </row>
    <row r="750" spans="1:185" ht="13" customHeight="1">
      <c r="B750" s="1364"/>
      <c r="C750" s="1365"/>
      <c r="D750" s="1365"/>
      <c r="E750" s="1365"/>
      <c r="F750" s="1366"/>
      <c r="G750" s="1358"/>
      <c r="H750" s="1359"/>
      <c r="I750" s="1359"/>
      <c r="J750" s="1360"/>
      <c r="K750" s="1361"/>
      <c r="L750" s="1362"/>
      <c r="M750" s="1362"/>
      <c r="N750" s="1363"/>
      <c r="O750" s="1403"/>
      <c r="P750" s="1404"/>
      <c r="Q750" s="1404"/>
      <c r="R750" s="1404"/>
      <c r="S750" s="1405"/>
      <c r="T750" s="1403"/>
      <c r="U750" s="1404"/>
      <c r="V750" s="1404"/>
      <c r="W750" s="1405"/>
      <c r="X750" s="1406">
        <f t="shared" ref="X750:X759" si="41">O750+T750</f>
        <v>0</v>
      </c>
      <c r="Y750" s="1402"/>
      <c r="Z750" s="1402"/>
      <c r="AA750" s="1402"/>
      <c r="AB750" s="1407"/>
      <c r="AC750" s="1408"/>
      <c r="AD750" s="1409"/>
      <c r="AE750" s="1409"/>
      <c r="AF750" s="1409"/>
      <c r="AG750" s="1410"/>
      <c r="AH750" s="1486" t="str">
        <f t="shared" si="38"/>
        <v/>
      </c>
      <c r="AI750" s="1487"/>
      <c r="AJ750" s="1488"/>
      <c r="AK750" s="1364" t="s">
        <v>591</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16">
        <f t="shared" si="39"/>
        <v>0</v>
      </c>
      <c r="CH750" s="1517"/>
      <c r="CI750" s="1521">
        <f t="shared" si="40"/>
        <v>0</v>
      </c>
      <c r="CJ750" s="1522"/>
      <c r="CK750" s="1516">
        <f t="shared" si="18"/>
        <v>0</v>
      </c>
      <c r="CL750" s="1517"/>
      <c r="CM750" s="1521">
        <f t="shared" si="19"/>
        <v>0</v>
      </c>
      <c r="CN750" s="1522"/>
      <c r="CO750" s="3"/>
      <c r="CP750" s="1523">
        <f t="shared" si="20"/>
        <v>0</v>
      </c>
      <c r="CQ750" s="1524"/>
      <c r="CR750" s="1524"/>
      <c r="CS750" s="1524"/>
      <c r="CT750" s="1525"/>
      <c r="CU750" s="1519">
        <f t="shared" si="21"/>
        <v>0</v>
      </c>
      <c r="CV750" s="1519"/>
      <c r="CW750" s="1519"/>
      <c r="CX750" s="1519"/>
      <c r="CY750" s="1519"/>
      <c r="CZ750" s="1519">
        <f t="shared" si="22"/>
        <v>0</v>
      </c>
      <c r="DA750" s="1519"/>
      <c r="DB750" s="1519"/>
      <c r="DC750" s="1519"/>
      <c r="DD750" s="1519"/>
      <c r="DE750" s="1519">
        <f t="shared" si="23"/>
        <v>0</v>
      </c>
      <c r="DF750" s="1519"/>
      <c r="DG750" s="1519"/>
      <c r="DH750" s="1519"/>
      <c r="DI750" s="1519"/>
      <c r="DJ750" s="1519">
        <f t="shared" si="24"/>
        <v>0</v>
      </c>
      <c r="DK750" s="1519"/>
      <c r="DL750" s="1519"/>
      <c r="DM750" s="1519"/>
      <c r="DN750" s="1519"/>
      <c r="DO750" s="1519">
        <f t="shared" si="25"/>
        <v>0</v>
      </c>
      <c r="DP750" s="1519"/>
      <c r="DQ750" s="1519"/>
      <c r="DR750" s="1519"/>
      <c r="DS750" s="1519"/>
      <c r="DT750" s="6"/>
      <c r="DU750" s="1518">
        <f t="shared" si="26"/>
        <v>0</v>
      </c>
      <c r="DV750" s="1518"/>
      <c r="DW750" s="1518"/>
      <c r="DX750" s="1518"/>
      <c r="DY750" s="1518"/>
      <c r="DZ750" s="1518">
        <f t="shared" si="27"/>
        <v>0</v>
      </c>
      <c r="EA750" s="1518"/>
      <c r="EB750" s="1518"/>
      <c r="EC750" s="1518"/>
      <c r="ED750" s="1518"/>
      <c r="EE750" s="1518">
        <f t="shared" si="28"/>
        <v>0</v>
      </c>
      <c r="EF750" s="1518"/>
      <c r="EG750" s="1518"/>
      <c r="EH750" s="1518"/>
      <c r="EI750" s="1518"/>
      <c r="EJ750" s="1518">
        <f t="shared" si="29"/>
        <v>0</v>
      </c>
      <c r="EK750" s="1518"/>
      <c r="EL750" s="1518"/>
      <c r="EM750" s="1518"/>
      <c r="EN750" s="1518"/>
      <c r="EO750" s="1518">
        <f t="shared" si="30"/>
        <v>0</v>
      </c>
      <c r="EP750" s="1518"/>
      <c r="EQ750" s="1518"/>
      <c r="ER750" s="1518"/>
      <c r="ES750" s="1518"/>
      <c r="ET750" s="1518">
        <f t="shared" si="31"/>
        <v>0</v>
      </c>
      <c r="EU750" s="1518"/>
      <c r="EV750" s="1518"/>
      <c r="EW750" s="1518"/>
      <c r="EX750" s="1518"/>
      <c r="EZ750" s="1516" t="str">
        <f t="shared" si="32"/>
        <v/>
      </c>
      <c r="FA750" s="1520"/>
      <c r="FB750" s="1520"/>
      <c r="FC750" s="1520"/>
      <c r="FD750" s="1517"/>
      <c r="FE750" s="1516" t="str">
        <f t="shared" si="33"/>
        <v/>
      </c>
      <c r="FF750" s="1520"/>
      <c r="FG750" s="1520"/>
      <c r="FH750" s="1520"/>
      <c r="FI750" s="1517"/>
      <c r="FJ750" s="1516" t="str">
        <f t="shared" si="34"/>
        <v/>
      </c>
      <c r="FK750" s="1520"/>
      <c r="FL750" s="1520"/>
      <c r="FM750" s="1520"/>
      <c r="FN750" s="1517"/>
      <c r="FO750" s="1516" t="str">
        <f t="shared" si="35"/>
        <v/>
      </c>
      <c r="FP750" s="1520"/>
      <c r="FQ750" s="1520"/>
      <c r="FR750" s="1520"/>
      <c r="FS750" s="1517"/>
      <c r="FT750" s="1516" t="str">
        <f t="shared" si="36"/>
        <v/>
      </c>
      <c r="FU750" s="1520"/>
      <c r="FV750" s="1520"/>
      <c r="FW750" s="1520"/>
      <c r="FX750" s="1517"/>
      <c r="FY750" s="1516" t="str">
        <f t="shared" si="37"/>
        <v/>
      </c>
      <c r="FZ750" s="1520"/>
      <c r="GA750" s="1520"/>
      <c r="GB750" s="1520"/>
      <c r="GC750" s="1517"/>
    </row>
    <row r="751" spans="1:185" s="3" customFormat="1" ht="13" customHeight="1">
      <c r="A751"/>
      <c r="B751" s="1364"/>
      <c r="C751" s="1365"/>
      <c r="D751" s="1365"/>
      <c r="E751" s="1365"/>
      <c r="F751" s="1366"/>
      <c r="G751" s="1358"/>
      <c r="H751" s="1359"/>
      <c r="I751" s="1359"/>
      <c r="J751" s="1360"/>
      <c r="K751" s="1361"/>
      <c r="L751" s="1362"/>
      <c r="M751" s="1362"/>
      <c r="N751" s="1363"/>
      <c r="O751" s="1403"/>
      <c r="P751" s="1404"/>
      <c r="Q751" s="1404"/>
      <c r="R751" s="1404"/>
      <c r="S751" s="1405"/>
      <c r="T751" s="1403"/>
      <c r="U751" s="1404"/>
      <c r="V751" s="1404"/>
      <c r="W751" s="1405"/>
      <c r="X751" s="1406">
        <f t="shared" si="41"/>
        <v>0</v>
      </c>
      <c r="Y751" s="1402"/>
      <c r="Z751" s="1402"/>
      <c r="AA751" s="1402"/>
      <c r="AB751" s="1407"/>
      <c r="AC751" s="1408"/>
      <c r="AD751" s="1409"/>
      <c r="AE751" s="1409"/>
      <c r="AF751" s="1409"/>
      <c r="AG751" s="1410"/>
      <c r="AH751" s="1486" t="str">
        <f t="shared" si="38"/>
        <v/>
      </c>
      <c r="AI751" s="1487"/>
      <c r="AJ751" s="1488"/>
      <c r="AK751" s="1364" t="s">
        <v>591</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16">
        <f t="shared" si="39"/>
        <v>0</v>
      </c>
      <c r="CH751" s="1517"/>
      <c r="CI751" s="1521">
        <f t="shared" si="40"/>
        <v>0</v>
      </c>
      <c r="CJ751" s="1522"/>
      <c r="CK751" s="1516">
        <f t="shared" si="18"/>
        <v>0</v>
      </c>
      <c r="CL751" s="1517"/>
      <c r="CM751" s="1521">
        <f t="shared" si="19"/>
        <v>0</v>
      </c>
      <c r="CN751" s="1522"/>
      <c r="CP751" s="1523">
        <f t="shared" si="20"/>
        <v>0</v>
      </c>
      <c r="CQ751" s="1524"/>
      <c r="CR751" s="1524"/>
      <c r="CS751" s="1524"/>
      <c r="CT751" s="1525"/>
      <c r="CU751" s="1519">
        <f t="shared" si="21"/>
        <v>0</v>
      </c>
      <c r="CV751" s="1519"/>
      <c r="CW751" s="1519"/>
      <c r="CX751" s="1519"/>
      <c r="CY751" s="1519"/>
      <c r="CZ751" s="1519">
        <f t="shared" si="22"/>
        <v>0</v>
      </c>
      <c r="DA751" s="1519"/>
      <c r="DB751" s="1519"/>
      <c r="DC751" s="1519"/>
      <c r="DD751" s="1519"/>
      <c r="DE751" s="1519">
        <f t="shared" si="23"/>
        <v>0</v>
      </c>
      <c r="DF751" s="1519"/>
      <c r="DG751" s="1519"/>
      <c r="DH751" s="1519"/>
      <c r="DI751" s="1519"/>
      <c r="DJ751" s="1519">
        <f t="shared" si="24"/>
        <v>0</v>
      </c>
      <c r="DK751" s="1519"/>
      <c r="DL751" s="1519"/>
      <c r="DM751" s="1519"/>
      <c r="DN751" s="1519"/>
      <c r="DO751" s="1519">
        <f t="shared" si="25"/>
        <v>0</v>
      </c>
      <c r="DP751" s="1519"/>
      <c r="DQ751" s="1519"/>
      <c r="DR751" s="1519"/>
      <c r="DS751" s="1519"/>
      <c r="DT751" s="6"/>
      <c r="DU751" s="1518">
        <f t="shared" si="26"/>
        <v>0</v>
      </c>
      <c r="DV751" s="1518"/>
      <c r="DW751" s="1518"/>
      <c r="DX751" s="1518"/>
      <c r="DY751" s="1518"/>
      <c r="DZ751" s="1518">
        <f t="shared" si="27"/>
        <v>0</v>
      </c>
      <c r="EA751" s="1518"/>
      <c r="EB751" s="1518"/>
      <c r="EC751" s="1518"/>
      <c r="ED751" s="1518"/>
      <c r="EE751" s="1518">
        <f t="shared" si="28"/>
        <v>0</v>
      </c>
      <c r="EF751" s="1518"/>
      <c r="EG751" s="1518"/>
      <c r="EH751" s="1518"/>
      <c r="EI751" s="1518"/>
      <c r="EJ751" s="1518">
        <f t="shared" si="29"/>
        <v>0</v>
      </c>
      <c r="EK751" s="1518"/>
      <c r="EL751" s="1518"/>
      <c r="EM751" s="1518"/>
      <c r="EN751" s="1518"/>
      <c r="EO751" s="1518">
        <f t="shared" si="30"/>
        <v>0</v>
      </c>
      <c r="EP751" s="1518"/>
      <c r="EQ751" s="1518"/>
      <c r="ER751" s="1518"/>
      <c r="ES751" s="1518"/>
      <c r="ET751" s="1518">
        <f t="shared" si="31"/>
        <v>0</v>
      </c>
      <c r="EU751" s="1518"/>
      <c r="EV751" s="1518"/>
      <c r="EW751" s="1518"/>
      <c r="EX751" s="1518"/>
      <c r="EY751"/>
      <c r="EZ751" s="1516" t="str">
        <f t="shared" si="32"/>
        <v/>
      </c>
      <c r="FA751" s="1520"/>
      <c r="FB751" s="1520"/>
      <c r="FC751" s="1520"/>
      <c r="FD751" s="1517"/>
      <c r="FE751" s="1516" t="str">
        <f t="shared" si="33"/>
        <v/>
      </c>
      <c r="FF751" s="1520"/>
      <c r="FG751" s="1520"/>
      <c r="FH751" s="1520"/>
      <c r="FI751" s="1517"/>
      <c r="FJ751" s="1516" t="str">
        <f t="shared" si="34"/>
        <v/>
      </c>
      <c r="FK751" s="1520"/>
      <c r="FL751" s="1520"/>
      <c r="FM751" s="1520"/>
      <c r="FN751" s="1517"/>
      <c r="FO751" s="1516" t="str">
        <f t="shared" si="35"/>
        <v/>
      </c>
      <c r="FP751" s="1520"/>
      <c r="FQ751" s="1520"/>
      <c r="FR751" s="1520"/>
      <c r="FS751" s="1517"/>
      <c r="FT751" s="1516" t="str">
        <f t="shared" si="36"/>
        <v/>
      </c>
      <c r="FU751" s="1520"/>
      <c r="FV751" s="1520"/>
      <c r="FW751" s="1520"/>
      <c r="FX751" s="1517"/>
      <c r="FY751" s="1516" t="str">
        <f t="shared" si="37"/>
        <v/>
      </c>
      <c r="FZ751" s="1520"/>
      <c r="GA751" s="1520"/>
      <c r="GB751" s="1520"/>
      <c r="GC751" s="1517"/>
    </row>
    <row r="752" spans="1:185" ht="13" customHeight="1">
      <c r="B752" s="1364"/>
      <c r="C752" s="1365"/>
      <c r="D752" s="1365"/>
      <c r="E752" s="1365"/>
      <c r="F752" s="1366"/>
      <c r="G752" s="1358"/>
      <c r="H752" s="1359"/>
      <c r="I752" s="1359"/>
      <c r="J752" s="1360"/>
      <c r="K752" s="1361"/>
      <c r="L752" s="1362"/>
      <c r="M752" s="1362"/>
      <c r="N752" s="1363"/>
      <c r="O752" s="1403"/>
      <c r="P752" s="1404"/>
      <c r="Q752" s="1404"/>
      <c r="R752" s="1404"/>
      <c r="S752" s="1405"/>
      <c r="T752" s="1403"/>
      <c r="U752" s="1404"/>
      <c r="V752" s="1404"/>
      <c r="W752" s="1405"/>
      <c r="X752" s="1406">
        <f t="shared" si="41"/>
        <v>0</v>
      </c>
      <c r="Y752" s="1402"/>
      <c r="Z752" s="1402"/>
      <c r="AA752" s="1402"/>
      <c r="AB752" s="1407"/>
      <c r="AC752" s="1408"/>
      <c r="AD752" s="1409"/>
      <c r="AE752" s="1409"/>
      <c r="AF752" s="1409"/>
      <c r="AG752" s="1410"/>
      <c r="AH752" s="1486" t="str">
        <f t="shared" si="38"/>
        <v/>
      </c>
      <c r="AI752" s="1487"/>
      <c r="AJ752" s="1488"/>
      <c r="AK752" s="1364" t="s">
        <v>591</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16">
        <f t="shared" si="39"/>
        <v>0</v>
      </c>
      <c r="CH752" s="1517"/>
      <c r="CI752" s="1521">
        <f t="shared" si="40"/>
        <v>0</v>
      </c>
      <c r="CJ752" s="1522"/>
      <c r="CK752" s="1516">
        <f t="shared" si="18"/>
        <v>0</v>
      </c>
      <c r="CL752" s="1517"/>
      <c r="CM752" s="1521">
        <f t="shared" si="19"/>
        <v>0</v>
      </c>
      <c r="CN752" s="1522"/>
      <c r="CO752" s="3"/>
      <c r="CP752" s="1523">
        <f t="shared" si="20"/>
        <v>0</v>
      </c>
      <c r="CQ752" s="1524"/>
      <c r="CR752" s="1524"/>
      <c r="CS752" s="1524"/>
      <c r="CT752" s="1525"/>
      <c r="CU752" s="1519">
        <f t="shared" si="21"/>
        <v>0</v>
      </c>
      <c r="CV752" s="1519"/>
      <c r="CW752" s="1519"/>
      <c r="CX752" s="1519"/>
      <c r="CY752" s="1519"/>
      <c r="CZ752" s="1519">
        <f t="shared" si="22"/>
        <v>0</v>
      </c>
      <c r="DA752" s="1519"/>
      <c r="DB752" s="1519"/>
      <c r="DC752" s="1519"/>
      <c r="DD752" s="1519"/>
      <c r="DE752" s="1519">
        <f t="shared" si="23"/>
        <v>0</v>
      </c>
      <c r="DF752" s="1519"/>
      <c r="DG752" s="1519"/>
      <c r="DH752" s="1519"/>
      <c r="DI752" s="1519"/>
      <c r="DJ752" s="1519">
        <f t="shared" si="24"/>
        <v>0</v>
      </c>
      <c r="DK752" s="1519"/>
      <c r="DL752" s="1519"/>
      <c r="DM752" s="1519"/>
      <c r="DN752" s="1519"/>
      <c r="DO752" s="1519">
        <f t="shared" si="25"/>
        <v>0</v>
      </c>
      <c r="DP752" s="1519"/>
      <c r="DQ752" s="1519"/>
      <c r="DR752" s="1519"/>
      <c r="DS752" s="1519"/>
      <c r="DT752" s="6"/>
      <c r="DU752" s="1518">
        <f t="shared" si="26"/>
        <v>0</v>
      </c>
      <c r="DV752" s="1518"/>
      <c r="DW752" s="1518"/>
      <c r="DX752" s="1518"/>
      <c r="DY752" s="1518"/>
      <c r="DZ752" s="1518">
        <f t="shared" si="27"/>
        <v>0</v>
      </c>
      <c r="EA752" s="1518"/>
      <c r="EB752" s="1518"/>
      <c r="EC752" s="1518"/>
      <c r="ED752" s="1518"/>
      <c r="EE752" s="1518">
        <f t="shared" si="28"/>
        <v>0</v>
      </c>
      <c r="EF752" s="1518"/>
      <c r="EG752" s="1518"/>
      <c r="EH752" s="1518"/>
      <c r="EI752" s="1518"/>
      <c r="EJ752" s="1518">
        <f t="shared" si="29"/>
        <v>0</v>
      </c>
      <c r="EK752" s="1518"/>
      <c r="EL752" s="1518"/>
      <c r="EM752" s="1518"/>
      <c r="EN752" s="1518"/>
      <c r="EO752" s="1518">
        <f t="shared" si="30"/>
        <v>0</v>
      </c>
      <c r="EP752" s="1518"/>
      <c r="EQ752" s="1518"/>
      <c r="ER752" s="1518"/>
      <c r="ES752" s="1518"/>
      <c r="ET752" s="1518">
        <f t="shared" si="31"/>
        <v>0</v>
      </c>
      <c r="EU752" s="1518"/>
      <c r="EV752" s="1518"/>
      <c r="EW752" s="1518"/>
      <c r="EX752" s="1518"/>
      <c r="EZ752" s="1516" t="str">
        <f t="shared" si="32"/>
        <v/>
      </c>
      <c r="FA752" s="1520"/>
      <c r="FB752" s="1520"/>
      <c r="FC752" s="1520"/>
      <c r="FD752" s="1517"/>
      <c r="FE752" s="1516" t="str">
        <f t="shared" si="33"/>
        <v/>
      </c>
      <c r="FF752" s="1520"/>
      <c r="FG752" s="1520"/>
      <c r="FH752" s="1520"/>
      <c r="FI752" s="1517"/>
      <c r="FJ752" s="1516" t="str">
        <f t="shared" si="34"/>
        <v/>
      </c>
      <c r="FK752" s="1520"/>
      <c r="FL752" s="1520"/>
      <c r="FM752" s="1520"/>
      <c r="FN752" s="1517"/>
      <c r="FO752" s="1516" t="str">
        <f t="shared" si="35"/>
        <v/>
      </c>
      <c r="FP752" s="1520"/>
      <c r="FQ752" s="1520"/>
      <c r="FR752" s="1520"/>
      <c r="FS752" s="1517"/>
      <c r="FT752" s="1516" t="str">
        <f t="shared" si="36"/>
        <v/>
      </c>
      <c r="FU752" s="1520"/>
      <c r="FV752" s="1520"/>
      <c r="FW752" s="1520"/>
      <c r="FX752" s="1517"/>
      <c r="FY752" s="1516" t="str">
        <f t="shared" si="37"/>
        <v/>
      </c>
      <c r="FZ752" s="1520"/>
      <c r="GA752" s="1520"/>
      <c r="GB752" s="1520"/>
      <c r="GC752" s="1517"/>
    </row>
    <row r="753" spans="1:185" ht="13" customHeight="1">
      <c r="B753" s="1364"/>
      <c r="C753" s="1365"/>
      <c r="D753" s="1365"/>
      <c r="E753" s="1365"/>
      <c r="F753" s="1366"/>
      <c r="G753" s="1358"/>
      <c r="H753" s="1359"/>
      <c r="I753" s="1359"/>
      <c r="J753" s="1360"/>
      <c r="K753" s="1361"/>
      <c r="L753" s="1362"/>
      <c r="M753" s="1362"/>
      <c r="N753" s="1363"/>
      <c r="O753" s="1403"/>
      <c r="P753" s="1404"/>
      <c r="Q753" s="1404"/>
      <c r="R753" s="1404"/>
      <c r="S753" s="1405"/>
      <c r="T753" s="1403"/>
      <c r="U753" s="1404"/>
      <c r="V753" s="1404"/>
      <c r="W753" s="1405"/>
      <c r="X753" s="1406">
        <f t="shared" si="41"/>
        <v>0</v>
      </c>
      <c r="Y753" s="1402"/>
      <c r="Z753" s="1402"/>
      <c r="AA753" s="1402"/>
      <c r="AB753" s="1407"/>
      <c r="AC753" s="1408"/>
      <c r="AD753" s="1409"/>
      <c r="AE753" s="1409"/>
      <c r="AF753" s="1409"/>
      <c r="AG753" s="1410"/>
      <c r="AH753" s="1486" t="str">
        <f t="shared" si="38"/>
        <v/>
      </c>
      <c r="AI753" s="1487"/>
      <c r="AJ753" s="1488"/>
      <c r="AK753" s="1364" t="s">
        <v>591</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16">
        <f t="shared" si="39"/>
        <v>0</v>
      </c>
      <c r="CH753" s="1517"/>
      <c r="CI753" s="1521">
        <f t="shared" si="40"/>
        <v>0</v>
      </c>
      <c r="CJ753" s="1522"/>
      <c r="CK753" s="1516">
        <f t="shared" si="18"/>
        <v>0</v>
      </c>
      <c r="CL753" s="1517"/>
      <c r="CM753" s="1521">
        <f t="shared" si="19"/>
        <v>0</v>
      </c>
      <c r="CN753" s="1522"/>
      <c r="CO753" s="3"/>
      <c r="CP753" s="1523">
        <f t="shared" si="20"/>
        <v>0</v>
      </c>
      <c r="CQ753" s="1524"/>
      <c r="CR753" s="1524"/>
      <c r="CS753" s="1524"/>
      <c r="CT753" s="1525"/>
      <c r="CU753" s="1519">
        <f t="shared" si="21"/>
        <v>0</v>
      </c>
      <c r="CV753" s="1519"/>
      <c r="CW753" s="1519"/>
      <c r="CX753" s="1519"/>
      <c r="CY753" s="1519"/>
      <c r="CZ753" s="1519">
        <f t="shared" si="22"/>
        <v>0</v>
      </c>
      <c r="DA753" s="1519"/>
      <c r="DB753" s="1519"/>
      <c r="DC753" s="1519"/>
      <c r="DD753" s="1519"/>
      <c r="DE753" s="1519">
        <f t="shared" si="23"/>
        <v>0</v>
      </c>
      <c r="DF753" s="1519"/>
      <c r="DG753" s="1519"/>
      <c r="DH753" s="1519"/>
      <c r="DI753" s="1519"/>
      <c r="DJ753" s="1519">
        <f t="shared" si="24"/>
        <v>0</v>
      </c>
      <c r="DK753" s="1519"/>
      <c r="DL753" s="1519"/>
      <c r="DM753" s="1519"/>
      <c r="DN753" s="1519"/>
      <c r="DO753" s="1519">
        <f t="shared" si="25"/>
        <v>0</v>
      </c>
      <c r="DP753" s="1519"/>
      <c r="DQ753" s="1519"/>
      <c r="DR753" s="1519"/>
      <c r="DS753" s="1519"/>
      <c r="DT753" s="6"/>
      <c r="DU753" s="1518">
        <f t="shared" si="26"/>
        <v>0</v>
      </c>
      <c r="DV753" s="1518"/>
      <c r="DW753" s="1518"/>
      <c r="DX753" s="1518"/>
      <c r="DY753" s="1518"/>
      <c r="DZ753" s="1518">
        <f t="shared" si="27"/>
        <v>0</v>
      </c>
      <c r="EA753" s="1518"/>
      <c r="EB753" s="1518"/>
      <c r="EC753" s="1518"/>
      <c r="ED753" s="1518"/>
      <c r="EE753" s="1518">
        <f t="shared" si="28"/>
        <v>0</v>
      </c>
      <c r="EF753" s="1518"/>
      <c r="EG753" s="1518"/>
      <c r="EH753" s="1518"/>
      <c r="EI753" s="1518"/>
      <c r="EJ753" s="1518">
        <f t="shared" si="29"/>
        <v>0</v>
      </c>
      <c r="EK753" s="1518"/>
      <c r="EL753" s="1518"/>
      <c r="EM753" s="1518"/>
      <c r="EN753" s="1518"/>
      <c r="EO753" s="1518">
        <f t="shared" si="30"/>
        <v>0</v>
      </c>
      <c r="EP753" s="1518"/>
      <c r="EQ753" s="1518"/>
      <c r="ER753" s="1518"/>
      <c r="ES753" s="1518"/>
      <c r="ET753" s="1518">
        <f t="shared" si="31"/>
        <v>0</v>
      </c>
      <c r="EU753" s="1518"/>
      <c r="EV753" s="1518"/>
      <c r="EW753" s="1518"/>
      <c r="EX753" s="1518"/>
      <c r="EZ753" s="1516" t="str">
        <f t="shared" si="32"/>
        <v/>
      </c>
      <c r="FA753" s="1520"/>
      <c r="FB753" s="1520"/>
      <c r="FC753" s="1520"/>
      <c r="FD753" s="1517"/>
      <c r="FE753" s="1516" t="str">
        <f t="shared" si="33"/>
        <v/>
      </c>
      <c r="FF753" s="1520"/>
      <c r="FG753" s="1520"/>
      <c r="FH753" s="1520"/>
      <c r="FI753" s="1517"/>
      <c r="FJ753" s="1516" t="str">
        <f t="shared" si="34"/>
        <v/>
      </c>
      <c r="FK753" s="1520"/>
      <c r="FL753" s="1520"/>
      <c r="FM753" s="1520"/>
      <c r="FN753" s="1517"/>
      <c r="FO753" s="1516" t="str">
        <f t="shared" si="35"/>
        <v/>
      </c>
      <c r="FP753" s="1520"/>
      <c r="FQ753" s="1520"/>
      <c r="FR753" s="1520"/>
      <c r="FS753" s="1517"/>
      <c r="FT753" s="1516" t="str">
        <f t="shared" si="36"/>
        <v/>
      </c>
      <c r="FU753" s="1520"/>
      <c r="FV753" s="1520"/>
      <c r="FW753" s="1520"/>
      <c r="FX753" s="1517"/>
      <c r="FY753" s="1516" t="str">
        <f t="shared" si="37"/>
        <v/>
      </c>
      <c r="FZ753" s="1520"/>
      <c r="GA753" s="1520"/>
      <c r="GB753" s="1520"/>
      <c r="GC753" s="1517"/>
    </row>
    <row r="754" spans="1:185" ht="13" customHeight="1">
      <c r="B754" s="1364"/>
      <c r="C754" s="1365"/>
      <c r="D754" s="1365"/>
      <c r="E754" s="1365"/>
      <c r="F754" s="1366"/>
      <c r="G754" s="1358"/>
      <c r="H754" s="1359"/>
      <c r="I754" s="1359"/>
      <c r="J754" s="1360"/>
      <c r="K754" s="1361"/>
      <c r="L754" s="1362"/>
      <c r="M754" s="1362"/>
      <c r="N754" s="1363"/>
      <c r="O754" s="1403"/>
      <c r="P754" s="1404"/>
      <c r="Q754" s="1404"/>
      <c r="R754" s="1404"/>
      <c r="S754" s="1405"/>
      <c r="T754" s="1403"/>
      <c r="U754" s="1404"/>
      <c r="V754" s="1404"/>
      <c r="W754" s="1405"/>
      <c r="X754" s="1406">
        <f t="shared" si="41"/>
        <v>0</v>
      </c>
      <c r="Y754" s="1402"/>
      <c r="Z754" s="1402"/>
      <c r="AA754" s="1402"/>
      <c r="AB754" s="1407"/>
      <c r="AC754" s="1408"/>
      <c r="AD754" s="1409"/>
      <c r="AE754" s="1409"/>
      <c r="AF754" s="1409"/>
      <c r="AG754" s="1410"/>
      <c r="AH754" s="1486" t="str">
        <f t="shared" si="38"/>
        <v/>
      </c>
      <c r="AI754" s="1487"/>
      <c r="AJ754" s="1488"/>
      <c r="AK754" s="1364" t="s">
        <v>591</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16">
        <f t="shared" si="39"/>
        <v>0</v>
      </c>
      <c r="CH754" s="1517"/>
      <c r="CI754" s="1521">
        <f t="shared" si="40"/>
        <v>0</v>
      </c>
      <c r="CJ754" s="1522"/>
      <c r="CK754" s="1516">
        <f t="shared" si="18"/>
        <v>0</v>
      </c>
      <c r="CL754" s="1517"/>
      <c r="CM754" s="1521">
        <f t="shared" si="19"/>
        <v>0</v>
      </c>
      <c r="CN754" s="1522"/>
      <c r="CO754" s="3"/>
      <c r="CP754" s="1523">
        <f t="shared" si="20"/>
        <v>0</v>
      </c>
      <c r="CQ754" s="1524"/>
      <c r="CR754" s="1524"/>
      <c r="CS754" s="1524"/>
      <c r="CT754" s="1525"/>
      <c r="CU754" s="1519">
        <f t="shared" si="21"/>
        <v>0</v>
      </c>
      <c r="CV754" s="1519"/>
      <c r="CW754" s="1519"/>
      <c r="CX754" s="1519"/>
      <c r="CY754" s="1519"/>
      <c r="CZ754" s="1519">
        <f t="shared" si="22"/>
        <v>0</v>
      </c>
      <c r="DA754" s="1519"/>
      <c r="DB754" s="1519"/>
      <c r="DC754" s="1519"/>
      <c r="DD754" s="1519"/>
      <c r="DE754" s="1519">
        <f t="shared" si="23"/>
        <v>0</v>
      </c>
      <c r="DF754" s="1519"/>
      <c r="DG754" s="1519"/>
      <c r="DH754" s="1519"/>
      <c r="DI754" s="1519"/>
      <c r="DJ754" s="1519">
        <f t="shared" si="24"/>
        <v>0</v>
      </c>
      <c r="DK754" s="1519"/>
      <c r="DL754" s="1519"/>
      <c r="DM754" s="1519"/>
      <c r="DN754" s="1519"/>
      <c r="DO754" s="1519">
        <f t="shared" si="25"/>
        <v>0</v>
      </c>
      <c r="DP754" s="1519"/>
      <c r="DQ754" s="1519"/>
      <c r="DR754" s="1519"/>
      <c r="DS754" s="1519"/>
      <c r="DT754" s="6"/>
      <c r="DU754" s="1518">
        <f t="shared" si="26"/>
        <v>0</v>
      </c>
      <c r="DV754" s="1518"/>
      <c r="DW754" s="1518"/>
      <c r="DX754" s="1518"/>
      <c r="DY754" s="1518"/>
      <c r="DZ754" s="1518">
        <f t="shared" si="27"/>
        <v>0</v>
      </c>
      <c r="EA754" s="1518"/>
      <c r="EB754" s="1518"/>
      <c r="EC754" s="1518"/>
      <c r="ED754" s="1518"/>
      <c r="EE754" s="1518">
        <f t="shared" si="28"/>
        <v>0</v>
      </c>
      <c r="EF754" s="1518"/>
      <c r="EG754" s="1518"/>
      <c r="EH754" s="1518"/>
      <c r="EI754" s="1518"/>
      <c r="EJ754" s="1518">
        <f t="shared" si="29"/>
        <v>0</v>
      </c>
      <c r="EK754" s="1518"/>
      <c r="EL754" s="1518"/>
      <c r="EM754" s="1518"/>
      <c r="EN754" s="1518"/>
      <c r="EO754" s="1518">
        <f t="shared" si="30"/>
        <v>0</v>
      </c>
      <c r="EP754" s="1518"/>
      <c r="EQ754" s="1518"/>
      <c r="ER754" s="1518"/>
      <c r="ES754" s="1518"/>
      <c r="ET754" s="1518">
        <f t="shared" si="31"/>
        <v>0</v>
      </c>
      <c r="EU754" s="1518"/>
      <c r="EV754" s="1518"/>
      <c r="EW754" s="1518"/>
      <c r="EX754" s="1518"/>
      <c r="EZ754" s="1516" t="str">
        <f t="shared" si="32"/>
        <v/>
      </c>
      <c r="FA754" s="1520"/>
      <c r="FB754" s="1520"/>
      <c r="FC754" s="1520"/>
      <c r="FD754" s="1517"/>
      <c r="FE754" s="1516" t="str">
        <f t="shared" si="33"/>
        <v/>
      </c>
      <c r="FF754" s="1520"/>
      <c r="FG754" s="1520"/>
      <c r="FH754" s="1520"/>
      <c r="FI754" s="1517"/>
      <c r="FJ754" s="1516" t="str">
        <f t="shared" si="34"/>
        <v/>
      </c>
      <c r="FK754" s="1520"/>
      <c r="FL754" s="1520"/>
      <c r="FM754" s="1520"/>
      <c r="FN754" s="1517"/>
      <c r="FO754" s="1516" t="str">
        <f t="shared" si="35"/>
        <v/>
      </c>
      <c r="FP754" s="1520"/>
      <c r="FQ754" s="1520"/>
      <c r="FR754" s="1520"/>
      <c r="FS754" s="1517"/>
      <c r="FT754" s="1516" t="str">
        <f t="shared" si="36"/>
        <v/>
      </c>
      <c r="FU754" s="1520"/>
      <c r="FV754" s="1520"/>
      <c r="FW754" s="1520"/>
      <c r="FX754" s="1517"/>
      <c r="FY754" s="1516" t="str">
        <f t="shared" si="37"/>
        <v/>
      </c>
      <c r="FZ754" s="1520"/>
      <c r="GA754" s="1520"/>
      <c r="GB754" s="1520"/>
      <c r="GC754" s="1517"/>
    </row>
    <row r="755" spans="1:185" ht="13" customHeight="1">
      <c r="B755" s="1364"/>
      <c r="C755" s="1365"/>
      <c r="D755" s="1365"/>
      <c r="E755" s="1365"/>
      <c r="F755" s="1366"/>
      <c r="G755" s="1358"/>
      <c r="H755" s="1359"/>
      <c r="I755" s="1359"/>
      <c r="J755" s="1360"/>
      <c r="K755" s="1361"/>
      <c r="L755" s="1362"/>
      <c r="M755" s="1362"/>
      <c r="N755" s="1363"/>
      <c r="O755" s="1403"/>
      <c r="P755" s="1404"/>
      <c r="Q755" s="1404"/>
      <c r="R755" s="1404"/>
      <c r="S755" s="1405"/>
      <c r="T755" s="1403"/>
      <c r="U755" s="1404"/>
      <c r="V755" s="1404"/>
      <c r="W755" s="1405"/>
      <c r="X755" s="1406">
        <f t="shared" si="41"/>
        <v>0</v>
      </c>
      <c r="Y755" s="1402"/>
      <c r="Z755" s="1402"/>
      <c r="AA755" s="1402"/>
      <c r="AB755" s="1407"/>
      <c r="AC755" s="1408"/>
      <c r="AD755" s="1409"/>
      <c r="AE755" s="1409"/>
      <c r="AF755" s="1409"/>
      <c r="AG755" s="1410"/>
      <c r="AH755" s="1486" t="str">
        <f t="shared" si="38"/>
        <v/>
      </c>
      <c r="AI755" s="1487"/>
      <c r="AJ755" s="1488"/>
      <c r="AK755" s="1364" t="s">
        <v>591</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16">
        <f t="shared" si="39"/>
        <v>0</v>
      </c>
      <c r="CH755" s="1517"/>
      <c r="CI755" s="1521">
        <f t="shared" si="40"/>
        <v>0</v>
      </c>
      <c r="CJ755" s="1522"/>
      <c r="CK755" s="1516">
        <f t="shared" si="18"/>
        <v>0</v>
      </c>
      <c r="CL755" s="1517"/>
      <c r="CM755" s="1521">
        <f t="shared" si="19"/>
        <v>0</v>
      </c>
      <c r="CN755" s="1522"/>
      <c r="CO755" s="3"/>
      <c r="CP755" s="1523">
        <f t="shared" si="20"/>
        <v>0</v>
      </c>
      <c r="CQ755" s="1524"/>
      <c r="CR755" s="1524"/>
      <c r="CS755" s="1524"/>
      <c r="CT755" s="1525"/>
      <c r="CU755" s="1519">
        <f t="shared" si="21"/>
        <v>0</v>
      </c>
      <c r="CV755" s="1519"/>
      <c r="CW755" s="1519"/>
      <c r="CX755" s="1519"/>
      <c r="CY755" s="1519"/>
      <c r="CZ755" s="1519">
        <f t="shared" si="22"/>
        <v>0</v>
      </c>
      <c r="DA755" s="1519"/>
      <c r="DB755" s="1519"/>
      <c r="DC755" s="1519"/>
      <c r="DD755" s="1519"/>
      <c r="DE755" s="1519">
        <f t="shared" si="23"/>
        <v>0</v>
      </c>
      <c r="DF755" s="1519"/>
      <c r="DG755" s="1519"/>
      <c r="DH755" s="1519"/>
      <c r="DI755" s="1519"/>
      <c r="DJ755" s="1519">
        <f t="shared" si="24"/>
        <v>0</v>
      </c>
      <c r="DK755" s="1519"/>
      <c r="DL755" s="1519"/>
      <c r="DM755" s="1519"/>
      <c r="DN755" s="1519"/>
      <c r="DO755" s="1519">
        <f t="shared" si="25"/>
        <v>0</v>
      </c>
      <c r="DP755" s="1519"/>
      <c r="DQ755" s="1519"/>
      <c r="DR755" s="1519"/>
      <c r="DS755" s="1519"/>
      <c r="DT755" s="6"/>
      <c r="DU755" s="1518">
        <f t="shared" si="26"/>
        <v>0</v>
      </c>
      <c r="DV755" s="1518"/>
      <c r="DW755" s="1518"/>
      <c r="DX755" s="1518"/>
      <c r="DY755" s="1518"/>
      <c r="DZ755" s="1518">
        <f t="shared" si="27"/>
        <v>0</v>
      </c>
      <c r="EA755" s="1518"/>
      <c r="EB755" s="1518"/>
      <c r="EC755" s="1518"/>
      <c r="ED755" s="1518"/>
      <c r="EE755" s="1518">
        <f t="shared" si="28"/>
        <v>0</v>
      </c>
      <c r="EF755" s="1518"/>
      <c r="EG755" s="1518"/>
      <c r="EH755" s="1518"/>
      <c r="EI755" s="1518"/>
      <c r="EJ755" s="1518">
        <f t="shared" si="29"/>
        <v>0</v>
      </c>
      <c r="EK755" s="1518"/>
      <c r="EL755" s="1518"/>
      <c r="EM755" s="1518"/>
      <c r="EN755" s="1518"/>
      <c r="EO755" s="1518">
        <f t="shared" si="30"/>
        <v>0</v>
      </c>
      <c r="EP755" s="1518"/>
      <c r="EQ755" s="1518"/>
      <c r="ER755" s="1518"/>
      <c r="ES755" s="1518"/>
      <c r="ET755" s="1518">
        <f t="shared" si="31"/>
        <v>0</v>
      </c>
      <c r="EU755" s="1518"/>
      <c r="EV755" s="1518"/>
      <c r="EW755" s="1518"/>
      <c r="EX755" s="1518"/>
      <c r="EZ755" s="1516" t="str">
        <f t="shared" si="32"/>
        <v/>
      </c>
      <c r="FA755" s="1520"/>
      <c r="FB755" s="1520"/>
      <c r="FC755" s="1520"/>
      <c r="FD755" s="1517"/>
      <c r="FE755" s="1516" t="str">
        <f t="shared" si="33"/>
        <v/>
      </c>
      <c r="FF755" s="1520"/>
      <c r="FG755" s="1520"/>
      <c r="FH755" s="1520"/>
      <c r="FI755" s="1517"/>
      <c r="FJ755" s="1516" t="str">
        <f t="shared" si="34"/>
        <v/>
      </c>
      <c r="FK755" s="1520"/>
      <c r="FL755" s="1520"/>
      <c r="FM755" s="1520"/>
      <c r="FN755" s="1517"/>
      <c r="FO755" s="1516" t="str">
        <f t="shared" si="35"/>
        <v/>
      </c>
      <c r="FP755" s="1520"/>
      <c r="FQ755" s="1520"/>
      <c r="FR755" s="1520"/>
      <c r="FS755" s="1517"/>
      <c r="FT755" s="1516" t="str">
        <f t="shared" si="36"/>
        <v/>
      </c>
      <c r="FU755" s="1520"/>
      <c r="FV755" s="1520"/>
      <c r="FW755" s="1520"/>
      <c r="FX755" s="1517"/>
      <c r="FY755" s="1516" t="str">
        <f t="shared" si="37"/>
        <v/>
      </c>
      <c r="FZ755" s="1520"/>
      <c r="GA755" s="1520"/>
      <c r="GB755" s="1520"/>
      <c r="GC755" s="1517"/>
    </row>
    <row r="756" spans="1:185" s="3" customFormat="1" ht="13" customHeight="1">
      <c r="A756"/>
      <c r="B756" s="1364"/>
      <c r="C756" s="1365"/>
      <c r="D756" s="1365"/>
      <c r="E756" s="1365"/>
      <c r="F756" s="1366"/>
      <c r="G756" s="1358"/>
      <c r="H756" s="1359"/>
      <c r="I756" s="1359"/>
      <c r="J756" s="1360"/>
      <c r="K756" s="1361"/>
      <c r="L756" s="1362"/>
      <c r="M756" s="1362"/>
      <c r="N756" s="1363"/>
      <c r="O756" s="1403"/>
      <c r="P756" s="1404"/>
      <c r="Q756" s="1404"/>
      <c r="R756" s="1404"/>
      <c r="S756" s="1405"/>
      <c r="T756" s="1403"/>
      <c r="U756" s="1404"/>
      <c r="V756" s="1404"/>
      <c r="W756" s="1405"/>
      <c r="X756" s="1406">
        <f t="shared" si="41"/>
        <v>0</v>
      </c>
      <c r="Y756" s="1402"/>
      <c r="Z756" s="1402"/>
      <c r="AA756" s="1402"/>
      <c r="AB756" s="1407"/>
      <c r="AC756" s="1408"/>
      <c r="AD756" s="1409"/>
      <c r="AE756" s="1409"/>
      <c r="AF756" s="1409"/>
      <c r="AG756" s="1410"/>
      <c r="AH756" s="1486" t="str">
        <f t="shared" si="38"/>
        <v/>
      </c>
      <c r="AI756" s="1487"/>
      <c r="AJ756" s="1488"/>
      <c r="AK756" s="1364" t="s">
        <v>591</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16">
        <f t="shared" si="39"/>
        <v>0</v>
      </c>
      <c r="CH756" s="1517"/>
      <c r="CI756" s="1521">
        <f t="shared" si="40"/>
        <v>0</v>
      </c>
      <c r="CJ756" s="1522"/>
      <c r="CK756" s="1516">
        <f t="shared" si="18"/>
        <v>0</v>
      </c>
      <c r="CL756" s="1517"/>
      <c r="CM756" s="1521">
        <f t="shared" si="19"/>
        <v>0</v>
      </c>
      <c r="CN756" s="1522"/>
      <c r="CP756" s="1523">
        <f t="shared" si="20"/>
        <v>0</v>
      </c>
      <c r="CQ756" s="1524"/>
      <c r="CR756" s="1524"/>
      <c r="CS756" s="1524"/>
      <c r="CT756" s="1525"/>
      <c r="CU756" s="1519">
        <f t="shared" si="21"/>
        <v>0</v>
      </c>
      <c r="CV756" s="1519"/>
      <c r="CW756" s="1519"/>
      <c r="CX756" s="1519"/>
      <c r="CY756" s="1519"/>
      <c r="CZ756" s="1519">
        <f t="shared" si="22"/>
        <v>0</v>
      </c>
      <c r="DA756" s="1519"/>
      <c r="DB756" s="1519"/>
      <c r="DC756" s="1519"/>
      <c r="DD756" s="1519"/>
      <c r="DE756" s="1519">
        <f t="shared" si="23"/>
        <v>0</v>
      </c>
      <c r="DF756" s="1519"/>
      <c r="DG756" s="1519"/>
      <c r="DH756" s="1519"/>
      <c r="DI756" s="1519"/>
      <c r="DJ756" s="1519">
        <f t="shared" si="24"/>
        <v>0</v>
      </c>
      <c r="DK756" s="1519"/>
      <c r="DL756" s="1519"/>
      <c r="DM756" s="1519"/>
      <c r="DN756" s="1519"/>
      <c r="DO756" s="1519">
        <f t="shared" si="25"/>
        <v>0</v>
      </c>
      <c r="DP756" s="1519"/>
      <c r="DQ756" s="1519"/>
      <c r="DR756" s="1519"/>
      <c r="DS756" s="1519"/>
      <c r="DT756" s="6"/>
      <c r="DU756" s="1518">
        <f t="shared" si="26"/>
        <v>0</v>
      </c>
      <c r="DV756" s="1518"/>
      <c r="DW756" s="1518"/>
      <c r="DX756" s="1518"/>
      <c r="DY756" s="1518"/>
      <c r="DZ756" s="1518">
        <f t="shared" si="27"/>
        <v>0</v>
      </c>
      <c r="EA756" s="1518"/>
      <c r="EB756" s="1518"/>
      <c r="EC756" s="1518"/>
      <c r="ED756" s="1518"/>
      <c r="EE756" s="1518">
        <f t="shared" si="28"/>
        <v>0</v>
      </c>
      <c r="EF756" s="1518"/>
      <c r="EG756" s="1518"/>
      <c r="EH756" s="1518"/>
      <c r="EI756" s="1518"/>
      <c r="EJ756" s="1518">
        <f t="shared" si="29"/>
        <v>0</v>
      </c>
      <c r="EK756" s="1518"/>
      <c r="EL756" s="1518"/>
      <c r="EM756" s="1518"/>
      <c r="EN756" s="1518"/>
      <c r="EO756" s="1518">
        <f t="shared" si="30"/>
        <v>0</v>
      </c>
      <c r="EP756" s="1518"/>
      <c r="EQ756" s="1518"/>
      <c r="ER756" s="1518"/>
      <c r="ES756" s="1518"/>
      <c r="ET756" s="1518">
        <f t="shared" si="31"/>
        <v>0</v>
      </c>
      <c r="EU756" s="1518"/>
      <c r="EV756" s="1518"/>
      <c r="EW756" s="1518"/>
      <c r="EX756" s="1518"/>
      <c r="EY756"/>
      <c r="EZ756" s="1516" t="str">
        <f t="shared" si="32"/>
        <v/>
      </c>
      <c r="FA756" s="1520"/>
      <c r="FB756" s="1520"/>
      <c r="FC756" s="1520"/>
      <c r="FD756" s="1517"/>
      <c r="FE756" s="1516" t="str">
        <f t="shared" si="33"/>
        <v/>
      </c>
      <c r="FF756" s="1520"/>
      <c r="FG756" s="1520"/>
      <c r="FH756" s="1520"/>
      <c r="FI756" s="1517"/>
      <c r="FJ756" s="1516" t="str">
        <f t="shared" si="34"/>
        <v/>
      </c>
      <c r="FK756" s="1520"/>
      <c r="FL756" s="1520"/>
      <c r="FM756" s="1520"/>
      <c r="FN756" s="1517"/>
      <c r="FO756" s="1516" t="str">
        <f t="shared" si="35"/>
        <v/>
      </c>
      <c r="FP756" s="1520"/>
      <c r="FQ756" s="1520"/>
      <c r="FR756" s="1520"/>
      <c r="FS756" s="1517"/>
      <c r="FT756" s="1516" t="str">
        <f t="shared" si="36"/>
        <v/>
      </c>
      <c r="FU756" s="1520"/>
      <c r="FV756" s="1520"/>
      <c r="FW756" s="1520"/>
      <c r="FX756" s="1517"/>
      <c r="FY756" s="1516" t="str">
        <f t="shared" si="37"/>
        <v/>
      </c>
      <c r="FZ756" s="1520"/>
      <c r="GA756" s="1520"/>
      <c r="GB756" s="1520"/>
      <c r="GC756" s="1517"/>
    </row>
    <row r="757" spans="1:185" s="3" customFormat="1" ht="13" customHeight="1">
      <c r="A757"/>
      <c r="B757" s="1364"/>
      <c r="C757" s="1365"/>
      <c r="D757" s="1365"/>
      <c r="E757" s="1365"/>
      <c r="F757" s="1366"/>
      <c r="G757" s="1358"/>
      <c r="H757" s="1359"/>
      <c r="I757" s="1359"/>
      <c r="J757" s="1360"/>
      <c r="K757" s="1361"/>
      <c r="L757" s="1362"/>
      <c r="M757" s="1362"/>
      <c r="N757" s="1363"/>
      <c r="O757" s="1403"/>
      <c r="P757" s="1404"/>
      <c r="Q757" s="1404"/>
      <c r="R757" s="1404"/>
      <c r="S757" s="1405"/>
      <c r="T757" s="1403"/>
      <c r="U757" s="1404"/>
      <c r="V757" s="1404"/>
      <c r="W757" s="1405"/>
      <c r="X757" s="1406">
        <f t="shared" si="41"/>
        <v>0</v>
      </c>
      <c r="Y757" s="1402"/>
      <c r="Z757" s="1402"/>
      <c r="AA757" s="1402"/>
      <c r="AB757" s="1407"/>
      <c r="AC757" s="1408"/>
      <c r="AD757" s="1409"/>
      <c r="AE757" s="1409"/>
      <c r="AF757" s="1409"/>
      <c r="AG757" s="1410"/>
      <c r="AH757" s="1486" t="str">
        <f t="shared" si="38"/>
        <v/>
      </c>
      <c r="AI757" s="1487"/>
      <c r="AJ757" s="1488"/>
      <c r="AK757" s="1364" t="s">
        <v>591</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16">
        <f t="shared" si="39"/>
        <v>0</v>
      </c>
      <c r="CH757" s="1517"/>
      <c r="CI757" s="1521">
        <f t="shared" si="40"/>
        <v>0</v>
      </c>
      <c r="CJ757" s="1522"/>
      <c r="CK757" s="1516">
        <f t="shared" si="18"/>
        <v>0</v>
      </c>
      <c r="CL757" s="1517"/>
      <c r="CM757" s="1521">
        <f t="shared" si="19"/>
        <v>0</v>
      </c>
      <c r="CN757" s="1522"/>
      <c r="CP757" s="1523">
        <f t="shared" si="20"/>
        <v>0</v>
      </c>
      <c r="CQ757" s="1524"/>
      <c r="CR757" s="1524"/>
      <c r="CS757" s="1524"/>
      <c r="CT757" s="1525"/>
      <c r="CU757" s="1519">
        <f t="shared" si="21"/>
        <v>0</v>
      </c>
      <c r="CV757" s="1519"/>
      <c r="CW757" s="1519"/>
      <c r="CX757" s="1519"/>
      <c r="CY757" s="1519"/>
      <c r="CZ757" s="1519">
        <f t="shared" si="22"/>
        <v>0</v>
      </c>
      <c r="DA757" s="1519"/>
      <c r="DB757" s="1519"/>
      <c r="DC757" s="1519"/>
      <c r="DD757" s="1519"/>
      <c r="DE757" s="1519">
        <f t="shared" si="23"/>
        <v>0</v>
      </c>
      <c r="DF757" s="1519"/>
      <c r="DG757" s="1519"/>
      <c r="DH757" s="1519"/>
      <c r="DI757" s="1519"/>
      <c r="DJ757" s="1519">
        <f t="shared" si="24"/>
        <v>0</v>
      </c>
      <c r="DK757" s="1519"/>
      <c r="DL757" s="1519"/>
      <c r="DM757" s="1519"/>
      <c r="DN757" s="1519"/>
      <c r="DO757" s="1519">
        <f t="shared" si="25"/>
        <v>0</v>
      </c>
      <c r="DP757" s="1519"/>
      <c r="DQ757" s="1519"/>
      <c r="DR757" s="1519"/>
      <c r="DS757" s="1519"/>
      <c r="DT757" s="6"/>
      <c r="DU757" s="1518">
        <f t="shared" si="26"/>
        <v>0</v>
      </c>
      <c r="DV757" s="1518"/>
      <c r="DW757" s="1518"/>
      <c r="DX757" s="1518"/>
      <c r="DY757" s="1518"/>
      <c r="DZ757" s="1518">
        <f t="shared" si="27"/>
        <v>0</v>
      </c>
      <c r="EA757" s="1518"/>
      <c r="EB757" s="1518"/>
      <c r="EC757" s="1518"/>
      <c r="ED757" s="1518"/>
      <c r="EE757" s="1518">
        <f t="shared" si="28"/>
        <v>0</v>
      </c>
      <c r="EF757" s="1518"/>
      <c r="EG757" s="1518"/>
      <c r="EH757" s="1518"/>
      <c r="EI757" s="1518"/>
      <c r="EJ757" s="1518">
        <f t="shared" si="29"/>
        <v>0</v>
      </c>
      <c r="EK757" s="1518"/>
      <c r="EL757" s="1518"/>
      <c r="EM757" s="1518"/>
      <c r="EN757" s="1518"/>
      <c r="EO757" s="1518">
        <f t="shared" si="30"/>
        <v>0</v>
      </c>
      <c r="EP757" s="1518"/>
      <c r="EQ757" s="1518"/>
      <c r="ER757" s="1518"/>
      <c r="ES757" s="1518"/>
      <c r="ET757" s="1518">
        <f t="shared" si="31"/>
        <v>0</v>
      </c>
      <c r="EU757" s="1518"/>
      <c r="EV757" s="1518"/>
      <c r="EW757" s="1518"/>
      <c r="EX757" s="1518"/>
      <c r="EY757"/>
      <c r="EZ757" s="1516" t="str">
        <f t="shared" si="32"/>
        <v/>
      </c>
      <c r="FA757" s="1520"/>
      <c r="FB757" s="1520"/>
      <c r="FC757" s="1520"/>
      <c r="FD757" s="1517"/>
      <c r="FE757" s="1516" t="str">
        <f t="shared" si="33"/>
        <v/>
      </c>
      <c r="FF757" s="1520"/>
      <c r="FG757" s="1520"/>
      <c r="FH757" s="1520"/>
      <c r="FI757" s="1517"/>
      <c r="FJ757" s="1516" t="str">
        <f t="shared" si="34"/>
        <v/>
      </c>
      <c r="FK757" s="1520"/>
      <c r="FL757" s="1520"/>
      <c r="FM757" s="1520"/>
      <c r="FN757" s="1517"/>
      <c r="FO757" s="1516" t="str">
        <f t="shared" si="35"/>
        <v/>
      </c>
      <c r="FP757" s="1520"/>
      <c r="FQ757" s="1520"/>
      <c r="FR757" s="1520"/>
      <c r="FS757" s="1517"/>
      <c r="FT757" s="1516" t="str">
        <f t="shared" si="36"/>
        <v/>
      </c>
      <c r="FU757" s="1520"/>
      <c r="FV757" s="1520"/>
      <c r="FW757" s="1520"/>
      <c r="FX757" s="1517"/>
      <c r="FY757" s="1516" t="str">
        <f t="shared" si="37"/>
        <v/>
      </c>
      <c r="FZ757" s="1520"/>
      <c r="GA757" s="1520"/>
      <c r="GB757" s="1520"/>
      <c r="GC757" s="1517"/>
    </row>
    <row r="758" spans="1:185" s="3" customFormat="1" ht="13" customHeight="1">
      <c r="A758"/>
      <c r="B758" s="1364"/>
      <c r="C758" s="1365"/>
      <c r="D758" s="1365"/>
      <c r="E758" s="1365"/>
      <c r="F758" s="1366"/>
      <c r="G758" s="1358"/>
      <c r="H758" s="1359"/>
      <c r="I758" s="1359"/>
      <c r="J758" s="1360"/>
      <c r="K758" s="1361"/>
      <c r="L758" s="1362"/>
      <c r="M758" s="1362"/>
      <c r="N758" s="1363"/>
      <c r="O758" s="1403"/>
      <c r="P758" s="1404"/>
      <c r="Q758" s="1404"/>
      <c r="R758" s="1404"/>
      <c r="S758" s="1405"/>
      <c r="T758" s="1403"/>
      <c r="U758" s="1404"/>
      <c r="V758" s="1404"/>
      <c r="W758" s="1405"/>
      <c r="X758" s="1406">
        <f t="shared" si="41"/>
        <v>0</v>
      </c>
      <c r="Y758" s="1402"/>
      <c r="Z758" s="1402"/>
      <c r="AA758" s="1402"/>
      <c r="AB758" s="1407"/>
      <c r="AC758" s="1408"/>
      <c r="AD758" s="1409"/>
      <c r="AE758" s="1409"/>
      <c r="AF758" s="1409"/>
      <c r="AG758" s="1410"/>
      <c r="AH758" s="1486" t="str">
        <f t="shared" si="38"/>
        <v/>
      </c>
      <c r="AI758" s="1487"/>
      <c r="AJ758" s="1488"/>
      <c r="AK758" s="1364" t="s">
        <v>591</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16">
        <f t="shared" si="39"/>
        <v>0</v>
      </c>
      <c r="CH758" s="1517"/>
      <c r="CI758" s="1521">
        <f t="shared" si="40"/>
        <v>0</v>
      </c>
      <c r="CJ758" s="1522"/>
      <c r="CK758" s="1516">
        <f t="shared" si="18"/>
        <v>0</v>
      </c>
      <c r="CL758" s="1517"/>
      <c r="CM758" s="1521">
        <f t="shared" si="19"/>
        <v>0</v>
      </c>
      <c r="CN758" s="1522"/>
      <c r="CP758" s="1523">
        <f t="shared" si="20"/>
        <v>0</v>
      </c>
      <c r="CQ758" s="1524"/>
      <c r="CR758" s="1524"/>
      <c r="CS758" s="1524"/>
      <c r="CT758" s="1525"/>
      <c r="CU758" s="1519">
        <f t="shared" si="21"/>
        <v>0</v>
      </c>
      <c r="CV758" s="1519"/>
      <c r="CW758" s="1519"/>
      <c r="CX758" s="1519"/>
      <c r="CY758" s="1519"/>
      <c r="CZ758" s="1519">
        <f t="shared" si="22"/>
        <v>0</v>
      </c>
      <c r="DA758" s="1519"/>
      <c r="DB758" s="1519"/>
      <c r="DC758" s="1519"/>
      <c r="DD758" s="1519"/>
      <c r="DE758" s="1519">
        <f t="shared" si="23"/>
        <v>0</v>
      </c>
      <c r="DF758" s="1519"/>
      <c r="DG758" s="1519"/>
      <c r="DH758" s="1519"/>
      <c r="DI758" s="1519"/>
      <c r="DJ758" s="1519">
        <f t="shared" si="24"/>
        <v>0</v>
      </c>
      <c r="DK758" s="1519"/>
      <c r="DL758" s="1519"/>
      <c r="DM758" s="1519"/>
      <c r="DN758" s="1519"/>
      <c r="DO758" s="1519">
        <f t="shared" si="25"/>
        <v>0</v>
      </c>
      <c r="DP758" s="1519"/>
      <c r="DQ758" s="1519"/>
      <c r="DR758" s="1519"/>
      <c r="DS758" s="1519"/>
      <c r="DT758" s="6"/>
      <c r="DU758" s="1518">
        <f t="shared" si="26"/>
        <v>0</v>
      </c>
      <c r="DV758" s="1518"/>
      <c r="DW758" s="1518"/>
      <c r="DX758" s="1518"/>
      <c r="DY758" s="1518"/>
      <c r="DZ758" s="1518">
        <f t="shared" si="27"/>
        <v>0</v>
      </c>
      <c r="EA758" s="1518"/>
      <c r="EB758" s="1518"/>
      <c r="EC758" s="1518"/>
      <c r="ED758" s="1518"/>
      <c r="EE758" s="1518">
        <f t="shared" si="28"/>
        <v>0</v>
      </c>
      <c r="EF758" s="1518"/>
      <c r="EG758" s="1518"/>
      <c r="EH758" s="1518"/>
      <c r="EI758" s="1518"/>
      <c r="EJ758" s="1518">
        <f t="shared" si="29"/>
        <v>0</v>
      </c>
      <c r="EK758" s="1518"/>
      <c r="EL758" s="1518"/>
      <c r="EM758" s="1518"/>
      <c r="EN758" s="1518"/>
      <c r="EO758" s="1518">
        <f t="shared" si="30"/>
        <v>0</v>
      </c>
      <c r="EP758" s="1518"/>
      <c r="EQ758" s="1518"/>
      <c r="ER758" s="1518"/>
      <c r="ES758" s="1518"/>
      <c r="ET758" s="1518">
        <f t="shared" si="31"/>
        <v>0</v>
      </c>
      <c r="EU758" s="1518"/>
      <c r="EV758" s="1518"/>
      <c r="EW758" s="1518"/>
      <c r="EX758" s="1518"/>
      <c r="EY758"/>
      <c r="EZ758" s="1516" t="str">
        <f t="shared" si="32"/>
        <v/>
      </c>
      <c r="FA758" s="1520"/>
      <c r="FB758" s="1520"/>
      <c r="FC758" s="1520"/>
      <c r="FD758" s="1517"/>
      <c r="FE758" s="1516" t="str">
        <f t="shared" si="33"/>
        <v/>
      </c>
      <c r="FF758" s="1520"/>
      <c r="FG758" s="1520"/>
      <c r="FH758" s="1520"/>
      <c r="FI758" s="1517"/>
      <c r="FJ758" s="1516" t="str">
        <f t="shared" si="34"/>
        <v/>
      </c>
      <c r="FK758" s="1520"/>
      <c r="FL758" s="1520"/>
      <c r="FM758" s="1520"/>
      <c r="FN758" s="1517"/>
      <c r="FO758" s="1516" t="str">
        <f t="shared" si="35"/>
        <v/>
      </c>
      <c r="FP758" s="1520"/>
      <c r="FQ758" s="1520"/>
      <c r="FR758" s="1520"/>
      <c r="FS758" s="1517"/>
      <c r="FT758" s="1516" t="str">
        <f t="shared" si="36"/>
        <v/>
      </c>
      <c r="FU758" s="1520"/>
      <c r="FV758" s="1520"/>
      <c r="FW758" s="1520"/>
      <c r="FX758" s="1517"/>
      <c r="FY758" s="1516" t="str">
        <f t="shared" si="37"/>
        <v/>
      </c>
      <c r="FZ758" s="1520"/>
      <c r="GA758" s="1520"/>
      <c r="GB758" s="1520"/>
      <c r="GC758" s="1517"/>
    </row>
    <row r="759" spans="1:185" s="3" customFormat="1" ht="13" customHeight="1">
      <c r="A759"/>
      <c r="B759" s="1364"/>
      <c r="C759" s="1365"/>
      <c r="D759" s="1365"/>
      <c r="E759" s="1365"/>
      <c r="F759" s="1366"/>
      <c r="G759" s="1358"/>
      <c r="H759" s="1359"/>
      <c r="I759" s="1359"/>
      <c r="J759" s="1360"/>
      <c r="K759" s="1361"/>
      <c r="L759" s="1362"/>
      <c r="M759" s="1362"/>
      <c r="N759" s="1363"/>
      <c r="O759" s="1403"/>
      <c r="P759" s="1404"/>
      <c r="Q759" s="1404"/>
      <c r="R759" s="1404"/>
      <c r="S759" s="1405"/>
      <c r="T759" s="1403"/>
      <c r="U759" s="1404"/>
      <c r="V759" s="1404"/>
      <c r="W759" s="1405"/>
      <c r="X759" s="1406">
        <f t="shared" si="41"/>
        <v>0</v>
      </c>
      <c r="Y759" s="1402"/>
      <c r="Z759" s="1402"/>
      <c r="AA759" s="1402"/>
      <c r="AB759" s="1407"/>
      <c r="AC759" s="1408"/>
      <c r="AD759" s="1409"/>
      <c r="AE759" s="1409"/>
      <c r="AF759" s="1409"/>
      <c r="AG759" s="1410"/>
      <c r="AH759" s="1486" t="str">
        <f t="shared" si="38"/>
        <v/>
      </c>
      <c r="AI759" s="1487"/>
      <c r="AJ759" s="1488"/>
      <c r="AK759" s="1364" t="s">
        <v>591</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16">
        <f t="shared" si="39"/>
        <v>0</v>
      </c>
      <c r="CH759" s="1517"/>
      <c r="CI759" s="1521">
        <f t="shared" si="40"/>
        <v>0</v>
      </c>
      <c r="CJ759" s="1522"/>
      <c r="CK759" s="1516">
        <f t="shared" si="18"/>
        <v>0</v>
      </c>
      <c r="CL759" s="1517"/>
      <c r="CM759" s="1521">
        <f t="shared" si="19"/>
        <v>0</v>
      </c>
      <c r="CN759" s="1522"/>
      <c r="CP759" s="1523">
        <f t="shared" si="20"/>
        <v>0</v>
      </c>
      <c r="CQ759" s="1524"/>
      <c r="CR759" s="1524"/>
      <c r="CS759" s="1524"/>
      <c r="CT759" s="1525"/>
      <c r="CU759" s="1519">
        <f t="shared" si="21"/>
        <v>0</v>
      </c>
      <c r="CV759" s="1519"/>
      <c r="CW759" s="1519"/>
      <c r="CX759" s="1519"/>
      <c r="CY759" s="1519"/>
      <c r="CZ759" s="1519">
        <f t="shared" si="22"/>
        <v>0</v>
      </c>
      <c r="DA759" s="1519"/>
      <c r="DB759" s="1519"/>
      <c r="DC759" s="1519"/>
      <c r="DD759" s="1519"/>
      <c r="DE759" s="1519">
        <f t="shared" si="23"/>
        <v>0</v>
      </c>
      <c r="DF759" s="1519"/>
      <c r="DG759" s="1519"/>
      <c r="DH759" s="1519"/>
      <c r="DI759" s="1519"/>
      <c r="DJ759" s="1519">
        <f t="shared" si="24"/>
        <v>0</v>
      </c>
      <c r="DK759" s="1519"/>
      <c r="DL759" s="1519"/>
      <c r="DM759" s="1519"/>
      <c r="DN759" s="1519"/>
      <c r="DO759" s="1519">
        <f t="shared" si="25"/>
        <v>0</v>
      </c>
      <c r="DP759" s="1519"/>
      <c r="DQ759" s="1519"/>
      <c r="DR759" s="1519"/>
      <c r="DS759" s="1519"/>
      <c r="DT759" s="6"/>
      <c r="DU759" s="1518">
        <f t="shared" si="26"/>
        <v>0</v>
      </c>
      <c r="DV759" s="1518"/>
      <c r="DW759" s="1518"/>
      <c r="DX759" s="1518"/>
      <c r="DY759" s="1518"/>
      <c r="DZ759" s="1518">
        <f t="shared" si="27"/>
        <v>0</v>
      </c>
      <c r="EA759" s="1518"/>
      <c r="EB759" s="1518"/>
      <c r="EC759" s="1518"/>
      <c r="ED759" s="1518"/>
      <c r="EE759" s="1518">
        <f t="shared" si="28"/>
        <v>0</v>
      </c>
      <c r="EF759" s="1518"/>
      <c r="EG759" s="1518"/>
      <c r="EH759" s="1518"/>
      <c r="EI759" s="1518"/>
      <c r="EJ759" s="1518">
        <f t="shared" si="29"/>
        <v>0</v>
      </c>
      <c r="EK759" s="1518"/>
      <c r="EL759" s="1518"/>
      <c r="EM759" s="1518"/>
      <c r="EN759" s="1518"/>
      <c r="EO759" s="1518">
        <f t="shared" si="30"/>
        <v>0</v>
      </c>
      <c r="EP759" s="1518"/>
      <c r="EQ759" s="1518"/>
      <c r="ER759" s="1518"/>
      <c r="ES759" s="1518"/>
      <c r="ET759" s="1518">
        <f t="shared" si="31"/>
        <v>0</v>
      </c>
      <c r="EU759" s="1518"/>
      <c r="EV759" s="1518"/>
      <c r="EW759" s="1518"/>
      <c r="EX759" s="1518"/>
      <c r="EY759"/>
      <c r="EZ759" s="1516" t="str">
        <f t="shared" si="32"/>
        <v/>
      </c>
      <c r="FA759" s="1520"/>
      <c r="FB759" s="1520"/>
      <c r="FC759" s="1520"/>
      <c r="FD759" s="1517"/>
      <c r="FE759" s="1516" t="str">
        <f t="shared" si="33"/>
        <v/>
      </c>
      <c r="FF759" s="1520"/>
      <c r="FG759" s="1520"/>
      <c r="FH759" s="1520"/>
      <c r="FI759" s="1517"/>
      <c r="FJ759" s="1516" t="str">
        <f t="shared" si="34"/>
        <v/>
      </c>
      <c r="FK759" s="1520"/>
      <c r="FL759" s="1520"/>
      <c r="FM759" s="1520"/>
      <c r="FN759" s="1517"/>
      <c r="FO759" s="1516" t="str">
        <f t="shared" si="35"/>
        <v/>
      </c>
      <c r="FP759" s="1520"/>
      <c r="FQ759" s="1520"/>
      <c r="FR759" s="1520"/>
      <c r="FS759" s="1517"/>
      <c r="FT759" s="1516" t="str">
        <f t="shared" si="36"/>
        <v/>
      </c>
      <c r="FU759" s="1520"/>
      <c r="FV759" s="1520"/>
      <c r="FW759" s="1520"/>
      <c r="FX759" s="1517"/>
      <c r="FY759" s="1516" t="str">
        <f t="shared" si="37"/>
        <v/>
      </c>
      <c r="FZ759" s="1520"/>
      <c r="GA759" s="1520"/>
      <c r="GB759" s="1520"/>
      <c r="GC759" s="1517"/>
    </row>
    <row r="760" spans="1:185" s="3" customFormat="1" ht="13" customHeight="1">
      <c r="A760"/>
      <c r="B760" s="1364"/>
      <c r="C760" s="1365"/>
      <c r="D760" s="1365"/>
      <c r="E760" s="1365"/>
      <c r="F760" s="1366"/>
      <c r="G760" s="1358"/>
      <c r="H760" s="1359"/>
      <c r="I760" s="1359"/>
      <c r="J760" s="1360"/>
      <c r="K760" s="1361"/>
      <c r="L760" s="1362"/>
      <c r="M760" s="1362"/>
      <c r="N760" s="1363"/>
      <c r="O760" s="1403"/>
      <c r="P760" s="1404"/>
      <c r="Q760" s="1404"/>
      <c r="R760" s="1404"/>
      <c r="S760" s="1405"/>
      <c r="T760" s="1403"/>
      <c r="U760" s="1404"/>
      <c r="V760" s="1404"/>
      <c r="W760" s="1405"/>
      <c r="X760" s="1406">
        <f>O760+T760</f>
        <v>0</v>
      </c>
      <c r="Y760" s="1402"/>
      <c r="Z760" s="1402"/>
      <c r="AA760" s="1402"/>
      <c r="AB760" s="1407"/>
      <c r="AC760" s="1408"/>
      <c r="AD760" s="1409"/>
      <c r="AE760" s="1409"/>
      <c r="AF760" s="1409"/>
      <c r="AG760" s="1410"/>
      <c r="AH760" s="1486" t="str">
        <f t="shared" si="38"/>
        <v/>
      </c>
      <c r="AI760" s="1487"/>
      <c r="AJ760" s="1488"/>
      <c r="AK760" s="1364" t="s">
        <v>591</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16">
        <f t="shared" si="39"/>
        <v>0</v>
      </c>
      <c r="CH760" s="1517"/>
      <c r="CI760" s="1521">
        <f t="shared" si="40"/>
        <v>0</v>
      </c>
      <c r="CJ760" s="1522"/>
      <c r="CK760" s="1516">
        <f t="shared" si="18"/>
        <v>0</v>
      </c>
      <c r="CL760" s="1517"/>
      <c r="CM760" s="1521">
        <f t="shared" si="19"/>
        <v>0</v>
      </c>
      <c r="CN760" s="1522"/>
      <c r="CP760" s="1523">
        <f t="shared" si="20"/>
        <v>0</v>
      </c>
      <c r="CQ760" s="1524"/>
      <c r="CR760" s="1524"/>
      <c r="CS760" s="1524"/>
      <c r="CT760" s="1525"/>
      <c r="CU760" s="1519">
        <f t="shared" si="21"/>
        <v>0</v>
      </c>
      <c r="CV760" s="1519"/>
      <c r="CW760" s="1519"/>
      <c r="CX760" s="1519"/>
      <c r="CY760" s="1519"/>
      <c r="CZ760" s="1519">
        <f t="shared" si="22"/>
        <v>0</v>
      </c>
      <c r="DA760" s="1519"/>
      <c r="DB760" s="1519"/>
      <c r="DC760" s="1519"/>
      <c r="DD760" s="1519"/>
      <c r="DE760" s="1519">
        <f t="shared" si="23"/>
        <v>0</v>
      </c>
      <c r="DF760" s="1519"/>
      <c r="DG760" s="1519"/>
      <c r="DH760" s="1519"/>
      <c r="DI760" s="1519"/>
      <c r="DJ760" s="1519">
        <f t="shared" si="24"/>
        <v>0</v>
      </c>
      <c r="DK760" s="1519"/>
      <c r="DL760" s="1519"/>
      <c r="DM760" s="1519"/>
      <c r="DN760" s="1519"/>
      <c r="DO760" s="1519">
        <f t="shared" si="25"/>
        <v>0</v>
      </c>
      <c r="DP760" s="1519"/>
      <c r="DQ760" s="1519"/>
      <c r="DR760" s="1519"/>
      <c r="DS760" s="1519"/>
      <c r="DT760" s="6"/>
      <c r="DU760" s="1518">
        <f t="shared" si="26"/>
        <v>0</v>
      </c>
      <c r="DV760" s="1518"/>
      <c r="DW760" s="1518"/>
      <c r="DX760" s="1518"/>
      <c r="DY760" s="1518"/>
      <c r="DZ760" s="1518">
        <f t="shared" si="27"/>
        <v>0</v>
      </c>
      <c r="EA760" s="1518"/>
      <c r="EB760" s="1518"/>
      <c r="EC760" s="1518"/>
      <c r="ED760" s="1518"/>
      <c r="EE760" s="1518">
        <f t="shared" si="28"/>
        <v>0</v>
      </c>
      <c r="EF760" s="1518"/>
      <c r="EG760" s="1518"/>
      <c r="EH760" s="1518"/>
      <c r="EI760" s="1518"/>
      <c r="EJ760" s="1518">
        <f t="shared" si="29"/>
        <v>0</v>
      </c>
      <c r="EK760" s="1518"/>
      <c r="EL760" s="1518"/>
      <c r="EM760" s="1518"/>
      <c r="EN760" s="1518"/>
      <c r="EO760" s="1518">
        <f t="shared" si="30"/>
        <v>0</v>
      </c>
      <c r="EP760" s="1518"/>
      <c r="EQ760" s="1518"/>
      <c r="ER760" s="1518"/>
      <c r="ES760" s="1518"/>
      <c r="ET760" s="1518">
        <f t="shared" si="31"/>
        <v>0</v>
      </c>
      <c r="EU760" s="1518"/>
      <c r="EV760" s="1518"/>
      <c r="EW760" s="1518"/>
      <c r="EX760" s="1518"/>
      <c r="EY760"/>
      <c r="EZ760" s="1516" t="str">
        <f t="shared" si="32"/>
        <v/>
      </c>
      <c r="FA760" s="1520"/>
      <c r="FB760" s="1520"/>
      <c r="FC760" s="1520"/>
      <c r="FD760" s="1517"/>
      <c r="FE760" s="1516" t="str">
        <f t="shared" si="33"/>
        <v/>
      </c>
      <c r="FF760" s="1520"/>
      <c r="FG760" s="1520"/>
      <c r="FH760" s="1520"/>
      <c r="FI760" s="1517"/>
      <c r="FJ760" s="1516" t="str">
        <f t="shared" si="34"/>
        <v/>
      </c>
      <c r="FK760" s="1520"/>
      <c r="FL760" s="1520"/>
      <c r="FM760" s="1520"/>
      <c r="FN760" s="1517"/>
      <c r="FO760" s="1516" t="str">
        <f t="shared" si="35"/>
        <v/>
      </c>
      <c r="FP760" s="1520"/>
      <c r="FQ760" s="1520"/>
      <c r="FR760" s="1520"/>
      <c r="FS760" s="1517"/>
      <c r="FT760" s="1516" t="str">
        <f t="shared" si="36"/>
        <v/>
      </c>
      <c r="FU760" s="1520"/>
      <c r="FV760" s="1520"/>
      <c r="FW760" s="1520"/>
      <c r="FX760" s="1517"/>
      <c r="FY760" s="1516" t="str">
        <f t="shared" si="37"/>
        <v/>
      </c>
      <c r="FZ760" s="1520"/>
      <c r="GA760" s="1520"/>
      <c r="GB760" s="1520"/>
      <c r="GC760" s="1517"/>
    </row>
    <row r="761" spans="1:185" s="3" customFormat="1" ht="13" customHeight="1">
      <c r="A761"/>
      <c r="B761" s="1505" t="s">
        <v>125</v>
      </c>
      <c r="C761" s="1506"/>
      <c r="D761" s="1506"/>
      <c r="E761" s="1506"/>
      <c r="F761" s="1507"/>
      <c r="G761" s="1650">
        <f>SUM(G726:G760)</f>
        <v>95</v>
      </c>
      <c r="H761" s="1651"/>
      <c r="I761" s="1651"/>
      <c r="J761" s="1652"/>
      <c r="K761" s="898" t="s">
        <v>124</v>
      </c>
      <c r="L761" s="5"/>
      <c r="M761" s="5"/>
      <c r="N761" s="46"/>
      <c r="O761" s="1406">
        <f>SUMPRODUCT(G726:G760,O726:O760)</f>
        <v>151144</v>
      </c>
      <c r="P761" s="1402"/>
      <c r="Q761" s="1402"/>
      <c r="R761" s="1402"/>
      <c r="S761" s="1407"/>
      <c r="T761"/>
      <c r="U761"/>
      <c r="V761"/>
      <c r="W761"/>
      <c r="X761" s="900" t="s">
        <v>900</v>
      </c>
      <c r="Y761" s="899"/>
      <c r="Z761" s="899"/>
      <c r="AA761" s="899"/>
      <c r="AB761" s="901"/>
      <c r="AC761" s="1647">
        <f>BH761</f>
        <v>0.49789473684210528</v>
      </c>
      <c r="AD761" s="1648"/>
      <c r="AE761" s="1648"/>
      <c r="AF761" s="1648"/>
      <c r="AG761" s="1649"/>
      <c r="AH761" s="1647">
        <f>IFERROR(BU761,"")</f>
        <v>0.49800595445886076</v>
      </c>
      <c r="AI761" s="1648"/>
      <c r="AJ761" s="1649"/>
      <c r="AK761"/>
      <c r="AL761"/>
      <c r="AM761"/>
      <c r="AN761"/>
      <c r="AO761"/>
      <c r="AP761" s="205"/>
      <c r="AQ761" s="205"/>
      <c r="AR761" s="205"/>
      <c r="AS761" s="205"/>
      <c r="AT761"/>
      <c r="AU761"/>
      <c r="AV761"/>
      <c r="AW761"/>
      <c r="AX761"/>
      <c r="AY761"/>
      <c r="AZ761" s="34"/>
      <c r="BA761" s="34"/>
      <c r="BB761" s="34"/>
      <c r="BC761" s="34"/>
      <c r="BE761" s="290" t="s">
        <v>899</v>
      </c>
      <c r="BF761" s="299">
        <f>SUM(BF726:BF760)</f>
        <v>95</v>
      </c>
      <c r="BG761" s="300">
        <f>SUM(BG726:BG760)</f>
        <v>0.99999999999999989</v>
      </c>
      <c r="BH761" s="300">
        <f>SUM(BH726:BH760)</f>
        <v>0.49789473684210528</v>
      </c>
      <c r="BI761"/>
      <c r="BJ761"/>
      <c r="BK761"/>
      <c r="BL761"/>
      <c r="BO761"/>
      <c r="BP761"/>
      <c r="BQ761"/>
      <c r="BR761"/>
      <c r="BS761" s="855">
        <f>SUM(BS726:BS760)</f>
        <v>95</v>
      </c>
      <c r="BT761" s="300">
        <f>SUM(BT726:BT760)</f>
        <v>0.99999999999999989</v>
      </c>
      <c r="BU761" s="300">
        <f>SUM(BU726:BU760)</f>
        <v>0.49800595445886076</v>
      </c>
      <c r="CI761" s="1516">
        <f>SUM(CI726:CJ760)</f>
        <v>30</v>
      </c>
      <c r="CJ761" s="1517"/>
      <c r="CM761" s="1516">
        <f>SUM(CM726:CN760)</f>
        <v>30</v>
      </c>
      <c r="CN761" s="1517"/>
      <c r="CP761" s="1516">
        <f>SUM(CP726:CT760)</f>
        <v>47</v>
      </c>
      <c r="CQ761" s="1520"/>
      <c r="CR761" s="1520"/>
      <c r="CS761" s="1520"/>
      <c r="CT761" s="1517"/>
      <c r="CU761" s="1526">
        <f>SUM(CU726:CY760)</f>
        <v>0</v>
      </c>
      <c r="CV761" s="1526"/>
      <c r="CW761" s="1526"/>
      <c r="CX761" s="1526"/>
      <c r="CY761" s="1526"/>
      <c r="CZ761" s="1526">
        <f>SUM(CZ726:DD760)</f>
        <v>24</v>
      </c>
      <c r="DA761" s="1526"/>
      <c r="DB761" s="1526"/>
      <c r="DC761" s="1526"/>
      <c r="DD761" s="1526"/>
      <c r="DE761" s="1526">
        <f>SUM(DE726:DI760)</f>
        <v>24</v>
      </c>
      <c r="DF761" s="1526"/>
      <c r="DG761" s="1526"/>
      <c r="DH761" s="1526"/>
      <c r="DI761" s="1526"/>
      <c r="DJ761" s="1526">
        <f>SUM(DJ726:DN760)</f>
        <v>0</v>
      </c>
      <c r="DK761" s="1526"/>
      <c r="DL761" s="1526"/>
      <c r="DM761" s="1526"/>
      <c r="DN761" s="1526"/>
      <c r="DO761" s="1526">
        <f>SUM(DO726:DS760)</f>
        <v>0</v>
      </c>
      <c r="DP761" s="1526"/>
      <c r="DQ761" s="1526"/>
      <c r="DR761" s="1526"/>
      <c r="DS761" s="1526"/>
      <c r="DT761" s="354"/>
      <c r="DU761" s="1526">
        <f>SUM(DU726:DY760)</f>
        <v>26</v>
      </c>
      <c r="DV761" s="1526"/>
      <c r="DW761" s="1526"/>
      <c r="DX761" s="1526"/>
      <c r="DY761" s="1526"/>
      <c r="DZ761" s="1526">
        <f>SUM(DZ726:ED760)</f>
        <v>0</v>
      </c>
      <c r="EA761" s="1526"/>
      <c r="EB761" s="1526"/>
      <c r="EC761" s="1526"/>
      <c r="ED761" s="1526"/>
      <c r="EE761" s="1526">
        <f>SUM(EE726:EI760)</f>
        <v>2</v>
      </c>
      <c r="EF761" s="1526"/>
      <c r="EG761" s="1526"/>
      <c r="EH761" s="1526"/>
      <c r="EI761" s="1526"/>
      <c r="EJ761" s="1526">
        <f>SUM(EJ726:EN760)</f>
        <v>2</v>
      </c>
      <c r="EK761" s="1526"/>
      <c r="EL761" s="1526"/>
      <c r="EM761" s="1526"/>
      <c r="EN761" s="1526"/>
      <c r="EO761" s="1526">
        <f>SUM(EO726:ES760)</f>
        <v>0</v>
      </c>
      <c r="EP761" s="1526"/>
      <c r="EQ761" s="1526"/>
      <c r="ER761" s="1526"/>
      <c r="ES761" s="1526"/>
      <c r="ET761" s="1526">
        <f>SUM(ET726:EX760)</f>
        <v>0</v>
      </c>
      <c r="EU761" s="1526"/>
      <c r="EV761" s="1526"/>
      <c r="EW761" s="1526"/>
      <c r="EX761" s="1526"/>
      <c r="EY761"/>
      <c r="EZ761" s="1526">
        <f>SUM(EZ726:FD760)</f>
        <v>4654</v>
      </c>
      <c r="FA761" s="1526"/>
      <c r="FB761" s="1526"/>
      <c r="FC761" s="1526"/>
      <c r="FD761" s="1526"/>
      <c r="FE761" s="1526">
        <f>SUM(FE726:FI760)</f>
        <v>0</v>
      </c>
      <c r="FF761" s="1526"/>
      <c r="FG761" s="1526"/>
      <c r="FH761" s="1526"/>
      <c r="FI761" s="1526"/>
      <c r="FJ761" s="1526">
        <f>SUM(FJ726:FN760)</f>
        <v>10934</v>
      </c>
      <c r="FK761" s="1526"/>
      <c r="FL761" s="1526"/>
      <c r="FM761" s="1526"/>
      <c r="FN761" s="1526"/>
      <c r="FO761" s="1526">
        <f>SUM(FO726:FS760)</f>
        <v>12492</v>
      </c>
      <c r="FP761" s="1526"/>
      <c r="FQ761" s="1526"/>
      <c r="FR761" s="1526"/>
      <c r="FS761" s="1526"/>
      <c r="FT761" s="1526">
        <f>SUM(FT726:FX760)</f>
        <v>0</v>
      </c>
      <c r="FU761" s="1526"/>
      <c r="FV761" s="1526"/>
      <c r="FW761" s="1526"/>
      <c r="FX761" s="1526"/>
      <c r="FY761" s="1526">
        <f>SUM(FY726:GC760)</f>
        <v>0</v>
      </c>
      <c r="FZ761" s="1526"/>
      <c r="GA761" s="1526"/>
      <c r="GB761" s="1526"/>
      <c r="GC761" s="1526"/>
    </row>
    <row r="762" spans="1:185" s="3" customFormat="1" ht="13" customHeight="1">
      <c r="A762"/>
      <c r="B762" s="1535" t="s">
        <v>1867</v>
      </c>
      <c r="C762" s="1535"/>
      <c r="D762" s="1535"/>
      <c r="E762" s="1535"/>
      <c r="F762" s="1535"/>
      <c r="G762" s="1535"/>
      <c r="H762" s="1535"/>
      <c r="I762" s="1535"/>
      <c r="J762" s="1535"/>
      <c r="K762" s="1535"/>
      <c r="L762" s="1535"/>
      <c r="M762" s="1535"/>
      <c r="N762" s="1535"/>
      <c r="O762" s="1535"/>
      <c r="P762" s="1535"/>
      <c r="Q762" s="1535"/>
      <c r="R762" s="1535"/>
      <c r="S762" s="1535"/>
      <c r="T762" s="1535"/>
      <c r="U762" s="1535"/>
      <c r="V762" s="1535"/>
      <c r="W762" s="1535"/>
      <c r="X762" s="1535"/>
      <c r="Y762" s="1535"/>
      <c r="Z762" s="1535"/>
      <c r="AA762" s="1535"/>
      <c r="AB762" s="1535"/>
      <c r="AC762" s="1535"/>
      <c r="AD762" s="1535"/>
      <c r="AE762" s="1535"/>
      <c r="AF762" s="1535"/>
      <c r="AG762" s="1535"/>
      <c r="AH762" s="1535"/>
      <c r="AI762"/>
      <c r="AJ762"/>
      <c r="AK762"/>
      <c r="AT762"/>
      <c r="AU762"/>
      <c r="AV762"/>
      <c r="AW762"/>
      <c r="AX762"/>
      <c r="AY762"/>
      <c r="CD762"/>
      <c r="DN762" s="56" t="s">
        <v>1835</v>
      </c>
      <c r="DO762" s="1516">
        <f>CP761+CU761+CZ761+DE761+DJ761+DO761</f>
        <v>95</v>
      </c>
      <c r="DP762" s="1520"/>
      <c r="DQ762" s="1520"/>
      <c r="DR762" s="1520"/>
      <c r="DS762" s="151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35"/>
      <c r="C763" s="1535"/>
      <c r="D763" s="1535"/>
      <c r="E763" s="1535"/>
      <c r="F763" s="1535"/>
      <c r="G763" s="1535"/>
      <c r="H763" s="1535"/>
      <c r="I763" s="1535"/>
      <c r="J763" s="1535"/>
      <c r="K763" s="1535"/>
      <c r="L763" s="1535"/>
      <c r="M763" s="1535"/>
      <c r="N763" s="1535"/>
      <c r="O763" s="1535"/>
      <c r="P763" s="1535"/>
      <c r="Q763" s="1535"/>
      <c r="R763" s="1535"/>
      <c r="S763" s="1535"/>
      <c r="T763" s="1535"/>
      <c r="U763" s="1535"/>
      <c r="V763" s="1535"/>
      <c r="W763" s="1535"/>
      <c r="X763" s="1535"/>
      <c r="Y763" s="1535"/>
      <c r="Z763" s="1535"/>
      <c r="AA763" s="1535"/>
      <c r="AB763" s="1535"/>
      <c r="AC763" s="1535"/>
      <c r="AD763" s="1535"/>
      <c r="AE763" s="1535"/>
      <c r="AF763" s="1535"/>
      <c r="AG763" s="1535"/>
      <c r="AH763" s="15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47</v>
      </c>
      <c r="CU763" s="3"/>
      <c r="CV763" s="3"/>
      <c r="CW763" s="3"/>
      <c r="CX763" s="3"/>
      <c r="CY763" s="857">
        <f>CU761*1</f>
        <v>0</v>
      </c>
      <c r="CZ763" s="3"/>
      <c r="DA763" s="3"/>
      <c r="DB763" s="3"/>
      <c r="DC763" s="3"/>
      <c r="DD763" s="857">
        <f>CZ761*2</f>
        <v>48</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167</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526">
        <f>DU763</f>
        <v>167</v>
      </c>
      <c r="P764" s="1526"/>
      <c r="Q764" s="1526"/>
      <c r="R764" s="1526"/>
      <c r="S764" s="965"/>
      <c r="T764" s="965"/>
      <c r="U764" s="118" t="s">
        <v>1866</v>
      </c>
      <c r="V764" s="1027"/>
      <c r="W764" s="1027"/>
      <c r="X764" s="1027"/>
      <c r="Y764" s="1028"/>
      <c r="Z764" s="1028"/>
      <c r="AA764" s="1028"/>
      <c r="AB764" s="1028"/>
      <c r="AC764" s="1027"/>
      <c r="AD764" s="1027"/>
      <c r="AE764" s="1027"/>
      <c r="AF764" s="1027"/>
      <c r="AG764" s="1748">
        <v>0</v>
      </c>
      <c r="AH764" s="1748"/>
      <c r="AI764" s="1748"/>
      <c r="AJ764" s="174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47" t="s">
        <v>591</v>
      </c>
      <c r="AE767" s="1747"/>
      <c r="AF767" s="174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17" t="s">
        <v>389</v>
      </c>
      <c r="K777" s="1418"/>
      <c r="L777" s="1418"/>
      <c r="M777" s="1418"/>
      <c r="N777" s="1419"/>
      <c r="O777" s="1534" t="s">
        <v>285</v>
      </c>
      <c r="P777" s="1534"/>
      <c r="Q777" s="1534"/>
      <c r="R777" s="1534"/>
      <c r="S777" s="1534"/>
      <c r="T777" s="1663" t="s">
        <v>1668</v>
      </c>
      <c r="U777" s="1664"/>
      <c r="V777" s="1664"/>
      <c r="W777" s="1665"/>
      <c r="X777" s="1417" t="s">
        <v>447</v>
      </c>
      <c r="Y777" s="1418"/>
      <c r="Z777" s="1418"/>
      <c r="AA777" s="1418"/>
      <c r="AB777" s="1419"/>
      <c r="AC777" s="1417" t="s">
        <v>286</v>
      </c>
      <c r="AD777" s="1418"/>
      <c r="AE777" s="1418"/>
      <c r="AF777" s="1418"/>
      <c r="AG777" s="141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0"/>
      <c r="K778" s="1421"/>
      <c r="L778" s="1421"/>
      <c r="M778" s="1421"/>
      <c r="N778" s="1422"/>
      <c r="O778" s="1534"/>
      <c r="P778" s="1534"/>
      <c r="Q778" s="1534"/>
      <c r="R778" s="1534"/>
      <c r="S778" s="1534"/>
      <c r="T778" s="1666"/>
      <c r="U778" s="1667"/>
      <c r="V778" s="1667"/>
      <c r="W778" s="1668"/>
      <c r="X778" s="1420"/>
      <c r="Y778" s="1421"/>
      <c r="Z778" s="1421"/>
      <c r="AA778" s="1421"/>
      <c r="AB778" s="1422"/>
      <c r="AC778" s="1420"/>
      <c r="AD778" s="1421"/>
      <c r="AE778" s="1421"/>
      <c r="AF778" s="1421"/>
      <c r="AG778" s="142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0"/>
      <c r="K779" s="1421"/>
      <c r="L779" s="1421"/>
      <c r="M779" s="1421"/>
      <c r="N779" s="1422"/>
      <c r="O779" s="1534"/>
      <c r="P779" s="1534"/>
      <c r="Q779" s="1534"/>
      <c r="R779" s="1534"/>
      <c r="S779" s="1534"/>
      <c r="T779" s="1666"/>
      <c r="U779" s="1667"/>
      <c r="V779" s="1667"/>
      <c r="W779" s="1668"/>
      <c r="X779" s="1420"/>
      <c r="Y779" s="1421"/>
      <c r="Z779" s="1421"/>
      <c r="AA779" s="1421"/>
      <c r="AB779" s="1422"/>
      <c r="AC779" s="1420"/>
      <c r="AD779" s="1421"/>
      <c r="AE779" s="1421"/>
      <c r="AF779" s="1421"/>
      <c r="AG779" s="142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23"/>
      <c r="K780" s="1424"/>
      <c r="L780" s="1424"/>
      <c r="M780" s="1424"/>
      <c r="N780" s="1425"/>
      <c r="O780" s="1534"/>
      <c r="P780" s="1534"/>
      <c r="Q780" s="1534"/>
      <c r="R780" s="1534"/>
      <c r="S780" s="1534"/>
      <c r="T780" s="1669"/>
      <c r="U780" s="1670"/>
      <c r="V780" s="1670"/>
      <c r="W780" s="1671"/>
      <c r="X780" s="1423"/>
      <c r="Y780" s="1424"/>
      <c r="Z780" s="1424"/>
      <c r="AA780" s="1424"/>
      <c r="AB780" s="1425"/>
      <c r="AC780" s="1423"/>
      <c r="AD780" s="1424"/>
      <c r="AE780" s="1424"/>
      <c r="AF780" s="1424"/>
      <c r="AG780" s="142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163</v>
      </c>
      <c r="K781" s="1365"/>
      <c r="L781" s="1365"/>
      <c r="M781" s="1365"/>
      <c r="N781" s="1366"/>
      <c r="O781" s="1533">
        <v>1</v>
      </c>
      <c r="P781" s="1533"/>
      <c r="Q781" s="1533"/>
      <c r="R781" s="1533"/>
      <c r="S781" s="1533"/>
      <c r="T781" s="1361">
        <v>628</v>
      </c>
      <c r="U781" s="1362"/>
      <c r="V781" s="1362"/>
      <c r="W781" s="1363"/>
      <c r="X781" s="1403"/>
      <c r="Y781" s="1404"/>
      <c r="Z781" s="1404"/>
      <c r="AA781" s="1404"/>
      <c r="AB781" s="1405"/>
      <c r="AC781" s="1406">
        <f>X781*O781</f>
        <v>0</v>
      </c>
      <c r="AD781" s="1402"/>
      <c r="AE781" s="1402"/>
      <c r="AF781" s="1402"/>
      <c r="AG781" s="140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23">
        <f>IF(J781="SRO/Studio",O781,0)</f>
        <v>0</v>
      </c>
      <c r="CQ781" s="1524"/>
      <c r="CR781" s="1524"/>
      <c r="CS781" s="1524"/>
      <c r="CT781" s="1525"/>
      <c r="CU781" s="1519">
        <f>IF(J781="1 Bedroom",O781,0)</f>
        <v>0</v>
      </c>
      <c r="CV781" s="1519"/>
      <c r="CW781" s="1519"/>
      <c r="CX781" s="1519"/>
      <c r="CY781" s="1519"/>
      <c r="CZ781" s="1519">
        <f>IF(J781="2 Bedrooms",O781,0)</f>
        <v>1</v>
      </c>
      <c r="DA781" s="1519"/>
      <c r="DB781" s="1519"/>
      <c r="DC781" s="1519"/>
      <c r="DD781" s="1519"/>
      <c r="DE781" s="1519">
        <f>IF(J781="3 Bedrooms",O781,0)</f>
        <v>0</v>
      </c>
      <c r="DF781" s="1519"/>
      <c r="DG781" s="1519"/>
      <c r="DH781" s="1519"/>
      <c r="DI781" s="1519"/>
      <c r="DJ781" s="1519">
        <f>IF(J781="4 Bedrooms",O781,0)</f>
        <v>0</v>
      </c>
      <c r="DK781" s="1519"/>
      <c r="DL781" s="1519"/>
      <c r="DM781" s="1519"/>
      <c r="DN781" s="1519"/>
      <c r="DO781" s="1519">
        <f>IF(J781="5 Bedrooms",O781,0)</f>
        <v>0</v>
      </c>
      <c r="DP781" s="1519"/>
      <c r="DQ781" s="1519"/>
      <c r="DR781" s="1519"/>
      <c r="DS781" s="1519"/>
      <c r="DT781" s="6"/>
      <c r="DU781" s="3"/>
      <c r="DV781" s="3"/>
    </row>
    <row r="782" spans="1:159" ht="13" customHeight="1">
      <c r="J782" s="1364"/>
      <c r="K782" s="1365"/>
      <c r="L782" s="1365"/>
      <c r="M782" s="1365"/>
      <c r="N782" s="1366"/>
      <c r="O782" s="1533"/>
      <c r="P782" s="1533"/>
      <c r="Q782" s="1533"/>
      <c r="R782" s="1533"/>
      <c r="S782" s="1533"/>
      <c r="T782" s="1361"/>
      <c r="U782" s="1362"/>
      <c r="V782" s="1362"/>
      <c r="W782" s="1363"/>
      <c r="X782" s="1403"/>
      <c r="Y782" s="1404"/>
      <c r="Z782" s="1404"/>
      <c r="AA782" s="1404"/>
      <c r="AB782" s="1405"/>
      <c r="AC782" s="1406">
        <f>X782*O782</f>
        <v>0</v>
      </c>
      <c r="AD782" s="1402"/>
      <c r="AE782" s="1402"/>
      <c r="AF782" s="1402"/>
      <c r="AG782" s="140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23">
        <f>IF(J782="SRO/Studio",O782,0)</f>
        <v>0</v>
      </c>
      <c r="CQ782" s="1524"/>
      <c r="CR782" s="1524"/>
      <c r="CS782" s="1524"/>
      <c r="CT782" s="1525"/>
      <c r="CU782" s="1519">
        <f>IF(J782="1 Bedroom",O782,0)</f>
        <v>0</v>
      </c>
      <c r="CV782" s="1519"/>
      <c r="CW782" s="1519"/>
      <c r="CX782" s="1519"/>
      <c r="CY782" s="1519"/>
      <c r="CZ782" s="1519">
        <f>IF(J782="2 Bedrooms",O782,0)</f>
        <v>0</v>
      </c>
      <c r="DA782" s="1519"/>
      <c r="DB782" s="1519"/>
      <c r="DC782" s="1519"/>
      <c r="DD782" s="1519"/>
      <c r="DE782" s="1519">
        <f>IF(J782="3 Bedrooms",O782,0)</f>
        <v>0</v>
      </c>
      <c r="DF782" s="1519"/>
      <c r="DG782" s="1519"/>
      <c r="DH782" s="1519"/>
      <c r="DI782" s="1519"/>
      <c r="DJ782" s="1519">
        <f>IF(J782="4 Bedrooms",O782,0)</f>
        <v>0</v>
      </c>
      <c r="DK782" s="1519"/>
      <c r="DL782" s="1519"/>
      <c r="DM782" s="1519"/>
      <c r="DN782" s="1519"/>
      <c r="DO782" s="1519">
        <f>IF(J782="5 Bedrooms",O782,0)</f>
        <v>0</v>
      </c>
      <c r="DP782" s="1519"/>
      <c r="DQ782" s="1519"/>
      <c r="DR782" s="1519"/>
      <c r="DS782" s="1519"/>
      <c r="DT782" s="6"/>
      <c r="DU782" s="3"/>
      <c r="DV782" s="3"/>
    </row>
    <row r="783" spans="1:159" ht="13" customHeight="1">
      <c r="J783" s="1364"/>
      <c r="K783" s="1365"/>
      <c r="L783" s="1365"/>
      <c r="M783" s="1365"/>
      <c r="N783" s="1366"/>
      <c r="O783" s="1533"/>
      <c r="P783" s="1533"/>
      <c r="Q783" s="1533"/>
      <c r="R783" s="1533"/>
      <c r="S783" s="1533"/>
      <c r="T783" s="1361"/>
      <c r="U783" s="1362"/>
      <c r="V783" s="1362"/>
      <c r="W783" s="1363"/>
      <c r="X783" s="1403"/>
      <c r="Y783" s="1404"/>
      <c r="Z783" s="1404"/>
      <c r="AA783" s="1404"/>
      <c r="AB783" s="1405"/>
      <c r="AC783" s="1406">
        <f>X783*O783</f>
        <v>0</v>
      </c>
      <c r="AD783" s="1402"/>
      <c r="AE783" s="1402"/>
      <c r="AF783" s="1402"/>
      <c r="AG783" s="140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23">
        <f>IF(J783="SRO/Studio",O783,0)</f>
        <v>0</v>
      </c>
      <c r="CQ783" s="1524"/>
      <c r="CR783" s="1524"/>
      <c r="CS783" s="1524"/>
      <c r="CT783" s="1525"/>
      <c r="CU783" s="1519">
        <f>IF(J783="1 Bedroom",O783,0)</f>
        <v>0</v>
      </c>
      <c r="CV783" s="1519"/>
      <c r="CW783" s="1519"/>
      <c r="CX783" s="1519"/>
      <c r="CY783" s="1519"/>
      <c r="CZ783" s="1519">
        <f>IF(J783="2 Bedrooms",O783,0)</f>
        <v>0</v>
      </c>
      <c r="DA783" s="1519"/>
      <c r="DB783" s="1519"/>
      <c r="DC783" s="1519"/>
      <c r="DD783" s="1519"/>
      <c r="DE783" s="1519">
        <f>IF(J783="3 Bedrooms",O783,0)</f>
        <v>0</v>
      </c>
      <c r="DF783" s="1519"/>
      <c r="DG783" s="1519"/>
      <c r="DH783" s="1519"/>
      <c r="DI783" s="1519"/>
      <c r="DJ783" s="1519">
        <f>IF(J783="4 Bedrooms",O783,0)</f>
        <v>0</v>
      </c>
      <c r="DK783" s="1519"/>
      <c r="DL783" s="1519"/>
      <c r="DM783" s="1519"/>
      <c r="DN783" s="1519"/>
      <c r="DO783" s="1519">
        <f>IF(J783="5 Bedrooms",O783,0)</f>
        <v>0</v>
      </c>
      <c r="DP783" s="1519"/>
      <c r="DQ783" s="1519"/>
      <c r="DR783" s="1519"/>
      <c r="DS783" s="1519"/>
      <c r="DT783" s="1007"/>
    </row>
    <row r="784" spans="1:159" ht="13" customHeight="1">
      <c r="J784" s="1364"/>
      <c r="K784" s="1365"/>
      <c r="L784" s="1365"/>
      <c r="M784" s="1365"/>
      <c r="N784" s="1366"/>
      <c r="O784" s="1533"/>
      <c r="P784" s="1533"/>
      <c r="Q784" s="1533"/>
      <c r="R784" s="1533"/>
      <c r="S784" s="1533"/>
      <c r="T784" s="1361"/>
      <c r="U784" s="1362"/>
      <c r="V784" s="1362"/>
      <c r="W784" s="1363"/>
      <c r="X784" s="1403"/>
      <c r="Y784" s="1404"/>
      <c r="Z784" s="1404"/>
      <c r="AA784" s="1404"/>
      <c r="AB784" s="1405"/>
      <c r="AC784" s="1406">
        <f>X784*O784</f>
        <v>0</v>
      </c>
      <c r="AD784" s="1402"/>
      <c r="AE784" s="1402"/>
      <c r="AF784" s="1402"/>
      <c r="AG784" s="140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23">
        <f>IF(J784="SRO/Studio",O784,0)</f>
        <v>0</v>
      </c>
      <c r="CQ784" s="1524"/>
      <c r="CR784" s="1524"/>
      <c r="CS784" s="1524"/>
      <c r="CT784" s="1525"/>
      <c r="CU784" s="1519">
        <f>IF(J784="1 Bedroom",O784,0)</f>
        <v>0</v>
      </c>
      <c r="CV784" s="1519"/>
      <c r="CW784" s="1519"/>
      <c r="CX784" s="1519"/>
      <c r="CY784" s="1519"/>
      <c r="CZ784" s="1519">
        <f>IF(J784="2 Bedrooms",O784,0)</f>
        <v>0</v>
      </c>
      <c r="DA784" s="1519"/>
      <c r="DB784" s="1519"/>
      <c r="DC784" s="1519"/>
      <c r="DD784" s="1519"/>
      <c r="DE784" s="1519">
        <f>IF(J784="3 Bedrooms",O784,0)</f>
        <v>0</v>
      </c>
      <c r="DF784" s="1519"/>
      <c r="DG784" s="1519"/>
      <c r="DH784" s="1519"/>
      <c r="DI784" s="1519"/>
      <c r="DJ784" s="1519">
        <f>IF(J784="4 Bedrooms",O784,0)</f>
        <v>0</v>
      </c>
      <c r="DK784" s="1519"/>
      <c r="DL784" s="1519"/>
      <c r="DM784" s="1519"/>
      <c r="DN784" s="1519"/>
      <c r="DO784" s="1519">
        <f>IF(J784="5 Bedrooms",O784,0)</f>
        <v>0</v>
      </c>
      <c r="DP784" s="1519"/>
      <c r="DQ784" s="1519"/>
      <c r="DR784" s="1519"/>
      <c r="DS784" s="1519"/>
    </row>
    <row r="785" spans="1:154" ht="13" customHeight="1">
      <c r="J785" s="1505" t="s">
        <v>125</v>
      </c>
      <c r="K785" s="1506"/>
      <c r="L785" s="1506"/>
      <c r="M785" s="1506"/>
      <c r="N785" s="1507"/>
      <c r="O785" s="1521">
        <f>SUM(O781:S784)</f>
        <v>1</v>
      </c>
      <c r="P785" s="1528"/>
      <c r="Q785" s="1528"/>
      <c r="R785" s="1528"/>
      <c r="S785" s="1522"/>
      <c r="X785" s="1505" t="s">
        <v>124</v>
      </c>
      <c r="Y785" s="1506"/>
      <c r="Z785" s="1506"/>
      <c r="AA785" s="1506"/>
      <c r="AB785" s="1507"/>
      <c r="AC785" s="1406">
        <f>SUM(AC781:AG784)</f>
        <v>0</v>
      </c>
      <c r="AD785" s="1402"/>
      <c r="AE785" s="1402"/>
      <c r="AF785" s="1402"/>
      <c r="AG785" s="140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21">
        <f>SUM(CP781:CT784)</f>
        <v>0</v>
      </c>
      <c r="CQ785" s="1528"/>
      <c r="CR785" s="1528"/>
      <c r="CS785" s="1528"/>
      <c r="CT785" s="1522"/>
      <c r="CU785" s="1529">
        <f>SUM(CU781:CY784)</f>
        <v>0</v>
      </c>
      <c r="CV785" s="1530"/>
      <c r="CW785" s="1530"/>
      <c r="CX785" s="1530"/>
      <c r="CY785" s="1531"/>
      <c r="CZ785" s="1529">
        <f>SUM(CZ781:DD784)</f>
        <v>1</v>
      </c>
      <c r="DA785" s="1530"/>
      <c r="DB785" s="1530"/>
      <c r="DC785" s="1530"/>
      <c r="DD785" s="1531"/>
      <c r="DE785" s="1529">
        <f>SUM(DE781:DI784)</f>
        <v>0</v>
      </c>
      <c r="DF785" s="1530"/>
      <c r="DG785" s="1530"/>
      <c r="DH785" s="1530"/>
      <c r="DI785" s="1531"/>
      <c r="DJ785" s="1529">
        <f>SUM(DJ781:DN784)</f>
        <v>0</v>
      </c>
      <c r="DK785" s="1530"/>
      <c r="DL785" s="1530"/>
      <c r="DM785" s="1530"/>
      <c r="DN785" s="1531"/>
      <c r="DO785" s="1529">
        <f>SUM(DO781:DS784)</f>
        <v>0</v>
      </c>
      <c r="DP785" s="1530"/>
      <c r="DQ785" s="1530"/>
      <c r="DR785" s="1530"/>
      <c r="DS785" s="1531"/>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 customHeight="1">
      <c r="B787" s="56"/>
      <c r="C787" s="56"/>
      <c r="D787" s="56"/>
      <c r="E787" s="56"/>
      <c r="F787" s="56"/>
      <c r="G787" s="6"/>
      <c r="H787" s="6"/>
      <c r="I787" s="6"/>
      <c r="J787" s="1461" t="s">
        <v>669</v>
      </c>
      <c r="K787" s="146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17" t="s">
        <v>389</v>
      </c>
      <c r="K791" s="1418"/>
      <c r="L791" s="1418"/>
      <c r="M791" s="1418"/>
      <c r="N791" s="1419"/>
      <c r="O791" s="1534" t="s">
        <v>285</v>
      </c>
      <c r="P791" s="1534"/>
      <c r="Q791" s="1534"/>
      <c r="R791" s="1534"/>
      <c r="S791" s="1534"/>
      <c r="T791" s="1663" t="s">
        <v>1668</v>
      </c>
      <c r="U791" s="1664"/>
      <c r="V791" s="1664"/>
      <c r="W791" s="1665"/>
      <c r="X791" s="1417" t="s">
        <v>447</v>
      </c>
      <c r="Y791" s="1418"/>
      <c r="Z791" s="1418"/>
      <c r="AA791" s="1418"/>
      <c r="AB791" s="1419"/>
      <c r="AC791" s="1417" t="s">
        <v>286</v>
      </c>
      <c r="AD791" s="1418"/>
      <c r="AE791" s="1418"/>
      <c r="AF791" s="1418"/>
      <c r="AG791" s="141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0"/>
      <c r="K792" s="1421"/>
      <c r="L792" s="1421"/>
      <c r="M792" s="1421"/>
      <c r="N792" s="1422"/>
      <c r="O792" s="1534"/>
      <c r="P792" s="1534"/>
      <c r="Q792" s="1534"/>
      <c r="R792" s="1534"/>
      <c r="S792" s="1534"/>
      <c r="T792" s="1666"/>
      <c r="U792" s="1667"/>
      <c r="V792" s="1667"/>
      <c r="W792" s="1668"/>
      <c r="X792" s="1420"/>
      <c r="Y792" s="1421"/>
      <c r="Z792" s="1421"/>
      <c r="AA792" s="1421"/>
      <c r="AB792" s="1422"/>
      <c r="AC792" s="1420"/>
      <c r="AD792" s="1421"/>
      <c r="AE792" s="1421"/>
      <c r="AF792" s="1421"/>
      <c r="AG792" s="142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0"/>
      <c r="K793" s="1421"/>
      <c r="L793" s="1421"/>
      <c r="M793" s="1421"/>
      <c r="N793" s="1422"/>
      <c r="O793" s="1534"/>
      <c r="P793" s="1534"/>
      <c r="Q793" s="1534"/>
      <c r="R793" s="1534"/>
      <c r="S793" s="1534"/>
      <c r="T793" s="1666"/>
      <c r="U793" s="1667"/>
      <c r="V793" s="1667"/>
      <c r="W793" s="1668"/>
      <c r="X793" s="1420"/>
      <c r="Y793" s="1421"/>
      <c r="Z793" s="1421"/>
      <c r="AA793" s="1421"/>
      <c r="AB793" s="1422"/>
      <c r="AC793" s="1420"/>
      <c r="AD793" s="1421"/>
      <c r="AE793" s="1421"/>
      <c r="AF793" s="1421"/>
      <c r="AG793" s="142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23"/>
      <c r="K794" s="1424"/>
      <c r="L794" s="1424"/>
      <c r="M794" s="1424"/>
      <c r="N794" s="1425"/>
      <c r="O794" s="1534"/>
      <c r="P794" s="1534"/>
      <c r="Q794" s="1534"/>
      <c r="R794" s="1534"/>
      <c r="S794" s="1534"/>
      <c r="T794" s="1669"/>
      <c r="U794" s="1670"/>
      <c r="V794" s="1670"/>
      <c r="W794" s="1671"/>
      <c r="X794" s="1423"/>
      <c r="Y794" s="1424"/>
      <c r="Z794" s="1424"/>
      <c r="AA794" s="1424"/>
      <c r="AB794" s="1425"/>
      <c r="AC794" s="1423"/>
      <c r="AD794" s="1424"/>
      <c r="AE794" s="1424"/>
      <c r="AF794" s="1424"/>
      <c r="AG794" s="142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533"/>
      <c r="P795" s="1533"/>
      <c r="Q795" s="1533"/>
      <c r="R795" s="1533"/>
      <c r="S795" s="1533"/>
      <c r="T795" s="1361"/>
      <c r="U795" s="1362"/>
      <c r="V795" s="1362"/>
      <c r="W795" s="1363"/>
      <c r="X795" s="1403"/>
      <c r="Y795" s="1404"/>
      <c r="Z795" s="1404"/>
      <c r="AA795" s="1404"/>
      <c r="AB795" s="1405"/>
      <c r="AC795" s="1406">
        <f t="shared" ref="AC795:AC804" si="42">X795*O795</f>
        <v>0</v>
      </c>
      <c r="AD795" s="1402"/>
      <c r="AE795" s="1402"/>
      <c r="AF795" s="1402"/>
      <c r="AG795" s="14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23">
        <f t="shared" ref="CP795:CP804" si="43">IF(J795="SRO/Studio",O795,0)</f>
        <v>0</v>
      </c>
      <c r="CQ795" s="1524"/>
      <c r="CR795" s="1524"/>
      <c r="CS795" s="1524"/>
      <c r="CT795" s="1525"/>
      <c r="CU795" s="1523">
        <f t="shared" ref="CU795:CU804" si="44">IF(J795="1 Bedroom",O795,0)</f>
        <v>0</v>
      </c>
      <c r="CV795" s="1524"/>
      <c r="CW795" s="1524"/>
      <c r="CX795" s="1524"/>
      <c r="CY795" s="1525"/>
      <c r="CZ795" s="1523">
        <f t="shared" ref="CZ795:CZ804" si="45">IF(J795="2 Bedrooms",O795,0)</f>
        <v>0</v>
      </c>
      <c r="DA795" s="1524"/>
      <c r="DB795" s="1524"/>
      <c r="DC795" s="1524"/>
      <c r="DD795" s="1525"/>
      <c r="DE795" s="1523">
        <f t="shared" ref="DE795:DE804" si="46">IF(J795="3 Bedrooms",O795,0)</f>
        <v>0</v>
      </c>
      <c r="DF795" s="1524"/>
      <c r="DG795" s="1524"/>
      <c r="DH795" s="1524"/>
      <c r="DI795" s="1525"/>
      <c r="DJ795" s="1523">
        <f t="shared" ref="DJ795:DJ804" si="47">IF(J795="4 Bedrooms",O795,0)</f>
        <v>0</v>
      </c>
      <c r="DK795" s="1524"/>
      <c r="DL795" s="1524"/>
      <c r="DM795" s="1524"/>
      <c r="DN795" s="1525"/>
      <c r="DO795" s="1523">
        <f t="shared" ref="DO795:DO804" si="48">IF(J795="5 Bedrooms",O795,0)</f>
        <v>0</v>
      </c>
      <c r="DP795" s="1524"/>
      <c r="DQ795" s="1524"/>
      <c r="DR795" s="1524"/>
      <c r="DS795" s="1525"/>
      <c r="DT795" s="6"/>
      <c r="DU795" s="1523">
        <f t="shared" ref="DU795:DU804" si="49">IF(AND(CP795&gt;=1,AH795&gt;=0.1,AH795&lt;=1),O795,0)</f>
        <v>0</v>
      </c>
      <c r="DV795" s="1524"/>
      <c r="DW795" s="1524"/>
      <c r="DX795" s="1524"/>
      <c r="DY795" s="1525"/>
      <c r="DZ795" s="1523">
        <f t="shared" ref="DZ795:DZ804" si="50">IF(AND(CU795&gt;=1,AH795&gt;=0.1,AH795&lt;=1),O795,0)</f>
        <v>0</v>
      </c>
      <c r="EA795" s="1524"/>
      <c r="EB795" s="1524"/>
      <c r="EC795" s="1524"/>
      <c r="ED795" s="1525"/>
      <c r="EE795" s="1523">
        <f t="shared" ref="EE795:EE804" si="51">IF(AND(CZ795&gt;=1,AH795&gt;=0.1,AH795&lt;=1),O795,0)</f>
        <v>0</v>
      </c>
      <c r="EF795" s="1524"/>
      <c r="EG795" s="1524"/>
      <c r="EH795" s="1524"/>
      <c r="EI795" s="1525"/>
      <c r="EJ795" s="1523">
        <f t="shared" ref="EJ795:EJ804" si="52">IF(AND(DE795&gt;=1,AH795&gt;=0.1,AH795&lt;=1),O795,0)</f>
        <v>0</v>
      </c>
      <c r="EK795" s="1524"/>
      <c r="EL795" s="1524"/>
      <c r="EM795" s="1524"/>
      <c r="EN795" s="1525"/>
      <c r="EO795" s="1523">
        <f t="shared" ref="EO795:EO804" si="53">IF(AND(DJ795&gt;=1,AH795&gt;=0.1,AH795&lt;=1),O795,0)</f>
        <v>0</v>
      </c>
      <c r="EP795" s="1524"/>
      <c r="EQ795" s="1524"/>
      <c r="ER795" s="1524"/>
      <c r="ES795" s="1525"/>
      <c r="ET795" s="1523">
        <f t="shared" ref="ET795:ET804" si="54">IF(AND(DO795&gt;=1,AH795&gt;=0.1,AH795&lt;=1),O795,0)</f>
        <v>0</v>
      </c>
      <c r="EU795" s="1524"/>
      <c r="EV795" s="1524"/>
      <c r="EW795" s="1524"/>
      <c r="EX795" s="1525"/>
    </row>
    <row r="796" spans="1:154" s="14" customFormat="1" ht="13" customHeight="1">
      <c r="A796"/>
      <c r="B796"/>
      <c r="C796"/>
      <c r="D796"/>
      <c r="E796"/>
      <c r="F796"/>
      <c r="G796"/>
      <c r="H796"/>
      <c r="I796"/>
      <c r="J796" s="1364"/>
      <c r="K796" s="1365"/>
      <c r="L796" s="1365"/>
      <c r="M796" s="1365"/>
      <c r="N796" s="1366"/>
      <c r="O796" s="1533"/>
      <c r="P796" s="1533"/>
      <c r="Q796" s="1533"/>
      <c r="R796" s="1533"/>
      <c r="S796" s="1533"/>
      <c r="T796" s="1361"/>
      <c r="U796" s="1362"/>
      <c r="V796" s="1362"/>
      <c r="W796" s="1363"/>
      <c r="X796" s="1403"/>
      <c r="Y796" s="1404"/>
      <c r="Z796" s="1404"/>
      <c r="AA796" s="1404"/>
      <c r="AB796" s="1405"/>
      <c r="AC796" s="1406">
        <f t="shared" si="42"/>
        <v>0</v>
      </c>
      <c r="AD796" s="1402"/>
      <c r="AE796" s="1402"/>
      <c r="AF796" s="1402"/>
      <c r="AG796" s="140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23">
        <f t="shared" si="43"/>
        <v>0</v>
      </c>
      <c r="CQ796" s="1524"/>
      <c r="CR796" s="1524"/>
      <c r="CS796" s="1524"/>
      <c r="CT796" s="1525"/>
      <c r="CU796" s="1523">
        <f t="shared" si="44"/>
        <v>0</v>
      </c>
      <c r="CV796" s="1524"/>
      <c r="CW796" s="1524"/>
      <c r="CX796" s="1524"/>
      <c r="CY796" s="1525"/>
      <c r="CZ796" s="1523">
        <f t="shared" si="45"/>
        <v>0</v>
      </c>
      <c r="DA796" s="1524"/>
      <c r="DB796" s="1524"/>
      <c r="DC796" s="1524"/>
      <c r="DD796" s="1525"/>
      <c r="DE796" s="1523">
        <f t="shared" si="46"/>
        <v>0</v>
      </c>
      <c r="DF796" s="1524"/>
      <c r="DG796" s="1524"/>
      <c r="DH796" s="1524"/>
      <c r="DI796" s="1525"/>
      <c r="DJ796" s="1523">
        <f t="shared" si="47"/>
        <v>0</v>
      </c>
      <c r="DK796" s="1524"/>
      <c r="DL796" s="1524"/>
      <c r="DM796" s="1524"/>
      <c r="DN796" s="1525"/>
      <c r="DO796" s="1523">
        <f t="shared" si="48"/>
        <v>0</v>
      </c>
      <c r="DP796" s="1524"/>
      <c r="DQ796" s="1524"/>
      <c r="DR796" s="1524"/>
      <c r="DS796" s="1525"/>
      <c r="DT796" s="6"/>
      <c r="DU796" s="1523">
        <f t="shared" si="49"/>
        <v>0</v>
      </c>
      <c r="DV796" s="1524"/>
      <c r="DW796" s="1524"/>
      <c r="DX796" s="1524"/>
      <c r="DY796" s="1525"/>
      <c r="DZ796" s="1523">
        <f t="shared" si="50"/>
        <v>0</v>
      </c>
      <c r="EA796" s="1524"/>
      <c r="EB796" s="1524"/>
      <c r="EC796" s="1524"/>
      <c r="ED796" s="1525"/>
      <c r="EE796" s="1523">
        <f t="shared" si="51"/>
        <v>0</v>
      </c>
      <c r="EF796" s="1524"/>
      <c r="EG796" s="1524"/>
      <c r="EH796" s="1524"/>
      <c r="EI796" s="1525"/>
      <c r="EJ796" s="1523">
        <f t="shared" si="52"/>
        <v>0</v>
      </c>
      <c r="EK796" s="1524"/>
      <c r="EL796" s="1524"/>
      <c r="EM796" s="1524"/>
      <c r="EN796" s="1525"/>
      <c r="EO796" s="1523">
        <f t="shared" si="53"/>
        <v>0</v>
      </c>
      <c r="EP796" s="1524"/>
      <c r="EQ796" s="1524"/>
      <c r="ER796" s="1524"/>
      <c r="ES796" s="1525"/>
      <c r="ET796" s="1523">
        <f t="shared" si="54"/>
        <v>0</v>
      </c>
      <c r="EU796" s="1524"/>
      <c r="EV796" s="1524"/>
      <c r="EW796" s="1524"/>
      <c r="EX796" s="1525"/>
    </row>
    <row r="797" spans="1:154" s="14" customFormat="1" ht="13" customHeight="1">
      <c r="A797"/>
      <c r="B797"/>
      <c r="C797"/>
      <c r="D797"/>
      <c r="E797"/>
      <c r="F797"/>
      <c r="G797"/>
      <c r="H797"/>
      <c r="I797"/>
      <c r="J797" s="1364"/>
      <c r="K797" s="1365"/>
      <c r="L797" s="1365"/>
      <c r="M797" s="1365"/>
      <c r="N797" s="1366"/>
      <c r="O797" s="1533"/>
      <c r="P797" s="1533"/>
      <c r="Q797" s="1533"/>
      <c r="R797" s="1533"/>
      <c r="S797" s="1533"/>
      <c r="T797" s="1361"/>
      <c r="U797" s="1362"/>
      <c r="V797" s="1362"/>
      <c r="W797" s="1363"/>
      <c r="X797" s="1403"/>
      <c r="Y797" s="1404"/>
      <c r="Z797" s="1404"/>
      <c r="AA797" s="1404"/>
      <c r="AB797" s="1405"/>
      <c r="AC797" s="1406">
        <f t="shared" si="42"/>
        <v>0</v>
      </c>
      <c r="AD797" s="1402"/>
      <c r="AE797" s="1402"/>
      <c r="AF797" s="1402"/>
      <c r="AG797" s="140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23">
        <f t="shared" si="43"/>
        <v>0</v>
      </c>
      <c r="CQ797" s="1524"/>
      <c r="CR797" s="1524"/>
      <c r="CS797" s="1524"/>
      <c r="CT797" s="1525"/>
      <c r="CU797" s="1523">
        <f t="shared" si="44"/>
        <v>0</v>
      </c>
      <c r="CV797" s="1524"/>
      <c r="CW797" s="1524"/>
      <c r="CX797" s="1524"/>
      <c r="CY797" s="1525"/>
      <c r="CZ797" s="1523">
        <f t="shared" si="45"/>
        <v>0</v>
      </c>
      <c r="DA797" s="1524"/>
      <c r="DB797" s="1524"/>
      <c r="DC797" s="1524"/>
      <c r="DD797" s="1525"/>
      <c r="DE797" s="1523">
        <f t="shared" si="46"/>
        <v>0</v>
      </c>
      <c r="DF797" s="1524"/>
      <c r="DG797" s="1524"/>
      <c r="DH797" s="1524"/>
      <c r="DI797" s="1525"/>
      <c r="DJ797" s="1523">
        <f t="shared" si="47"/>
        <v>0</v>
      </c>
      <c r="DK797" s="1524"/>
      <c r="DL797" s="1524"/>
      <c r="DM797" s="1524"/>
      <c r="DN797" s="1525"/>
      <c r="DO797" s="1523">
        <f t="shared" si="48"/>
        <v>0</v>
      </c>
      <c r="DP797" s="1524"/>
      <c r="DQ797" s="1524"/>
      <c r="DR797" s="1524"/>
      <c r="DS797" s="1525"/>
      <c r="DT797" s="6"/>
      <c r="DU797" s="1523">
        <f t="shared" si="49"/>
        <v>0</v>
      </c>
      <c r="DV797" s="1524"/>
      <c r="DW797" s="1524"/>
      <c r="DX797" s="1524"/>
      <c r="DY797" s="1525"/>
      <c r="DZ797" s="1523">
        <f t="shared" si="50"/>
        <v>0</v>
      </c>
      <c r="EA797" s="1524"/>
      <c r="EB797" s="1524"/>
      <c r="EC797" s="1524"/>
      <c r="ED797" s="1525"/>
      <c r="EE797" s="1523">
        <f t="shared" si="51"/>
        <v>0</v>
      </c>
      <c r="EF797" s="1524"/>
      <c r="EG797" s="1524"/>
      <c r="EH797" s="1524"/>
      <c r="EI797" s="1525"/>
      <c r="EJ797" s="1523">
        <f t="shared" si="52"/>
        <v>0</v>
      </c>
      <c r="EK797" s="1524"/>
      <c r="EL797" s="1524"/>
      <c r="EM797" s="1524"/>
      <c r="EN797" s="1525"/>
      <c r="EO797" s="1523">
        <f t="shared" si="53"/>
        <v>0</v>
      </c>
      <c r="EP797" s="1524"/>
      <c r="EQ797" s="1524"/>
      <c r="ER797" s="1524"/>
      <c r="ES797" s="1525"/>
      <c r="ET797" s="1523">
        <f t="shared" si="54"/>
        <v>0</v>
      </c>
      <c r="EU797" s="1524"/>
      <c r="EV797" s="1524"/>
      <c r="EW797" s="1524"/>
      <c r="EX797" s="1525"/>
    </row>
    <row r="798" spans="1:154" s="14" customFormat="1" ht="13" customHeight="1">
      <c r="A798"/>
      <c r="B798"/>
      <c r="C798"/>
      <c r="D798"/>
      <c r="E798"/>
      <c r="F798"/>
      <c r="G798"/>
      <c r="H798"/>
      <c r="I798"/>
      <c r="J798" s="1364"/>
      <c r="K798" s="1365"/>
      <c r="L798" s="1365"/>
      <c r="M798" s="1365"/>
      <c r="N798" s="1366"/>
      <c r="O798" s="1533"/>
      <c r="P798" s="1533"/>
      <c r="Q798" s="1533"/>
      <c r="R798" s="1533"/>
      <c r="S798" s="1533"/>
      <c r="T798" s="1361"/>
      <c r="U798" s="1362"/>
      <c r="V798" s="1362"/>
      <c r="W798" s="1363"/>
      <c r="X798" s="1403"/>
      <c r="Y798" s="1404"/>
      <c r="Z798" s="1404"/>
      <c r="AA798" s="1404"/>
      <c r="AB798" s="1405"/>
      <c r="AC798" s="1406">
        <f t="shared" si="42"/>
        <v>0</v>
      </c>
      <c r="AD798" s="1402"/>
      <c r="AE798" s="1402"/>
      <c r="AF798" s="1402"/>
      <c r="AG798" s="140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23">
        <f t="shared" si="43"/>
        <v>0</v>
      </c>
      <c r="CQ798" s="1524"/>
      <c r="CR798" s="1524"/>
      <c r="CS798" s="1524"/>
      <c r="CT798" s="1525"/>
      <c r="CU798" s="1523">
        <f t="shared" si="44"/>
        <v>0</v>
      </c>
      <c r="CV798" s="1524"/>
      <c r="CW798" s="1524"/>
      <c r="CX798" s="1524"/>
      <c r="CY798" s="1525"/>
      <c r="CZ798" s="1523">
        <f t="shared" si="45"/>
        <v>0</v>
      </c>
      <c r="DA798" s="1524"/>
      <c r="DB798" s="1524"/>
      <c r="DC798" s="1524"/>
      <c r="DD798" s="1525"/>
      <c r="DE798" s="1523">
        <f t="shared" si="46"/>
        <v>0</v>
      </c>
      <c r="DF798" s="1524"/>
      <c r="DG798" s="1524"/>
      <c r="DH798" s="1524"/>
      <c r="DI798" s="1525"/>
      <c r="DJ798" s="1523">
        <f t="shared" si="47"/>
        <v>0</v>
      </c>
      <c r="DK798" s="1524"/>
      <c r="DL798" s="1524"/>
      <c r="DM798" s="1524"/>
      <c r="DN798" s="1525"/>
      <c r="DO798" s="1523">
        <f t="shared" si="48"/>
        <v>0</v>
      </c>
      <c r="DP798" s="1524"/>
      <c r="DQ798" s="1524"/>
      <c r="DR798" s="1524"/>
      <c r="DS798" s="1525"/>
      <c r="DT798" s="6"/>
      <c r="DU798" s="1523">
        <f t="shared" si="49"/>
        <v>0</v>
      </c>
      <c r="DV798" s="1524"/>
      <c r="DW798" s="1524"/>
      <c r="DX798" s="1524"/>
      <c r="DY798" s="1525"/>
      <c r="DZ798" s="1523">
        <f t="shared" si="50"/>
        <v>0</v>
      </c>
      <c r="EA798" s="1524"/>
      <c r="EB798" s="1524"/>
      <c r="EC798" s="1524"/>
      <c r="ED798" s="1525"/>
      <c r="EE798" s="1523">
        <f t="shared" si="51"/>
        <v>0</v>
      </c>
      <c r="EF798" s="1524"/>
      <c r="EG798" s="1524"/>
      <c r="EH798" s="1524"/>
      <c r="EI798" s="1525"/>
      <c r="EJ798" s="1523">
        <f t="shared" si="52"/>
        <v>0</v>
      </c>
      <c r="EK798" s="1524"/>
      <c r="EL798" s="1524"/>
      <c r="EM798" s="1524"/>
      <c r="EN798" s="1525"/>
      <c r="EO798" s="1523">
        <f t="shared" si="53"/>
        <v>0</v>
      </c>
      <c r="EP798" s="1524"/>
      <c r="EQ798" s="1524"/>
      <c r="ER798" s="1524"/>
      <c r="ES798" s="1525"/>
      <c r="ET798" s="1523">
        <f t="shared" si="54"/>
        <v>0</v>
      </c>
      <c r="EU798" s="1524"/>
      <c r="EV798" s="1524"/>
      <c r="EW798" s="1524"/>
      <c r="EX798" s="1525"/>
    </row>
    <row r="799" spans="1:154" s="14" customFormat="1" ht="13" customHeight="1">
      <c r="A799"/>
      <c r="B799"/>
      <c r="C799"/>
      <c r="D799"/>
      <c r="E799"/>
      <c r="F799"/>
      <c r="G799"/>
      <c r="H799"/>
      <c r="I799"/>
      <c r="J799" s="1364"/>
      <c r="K799" s="1365"/>
      <c r="L799" s="1365"/>
      <c r="M799" s="1365"/>
      <c r="N799" s="1366"/>
      <c r="O799" s="1533"/>
      <c r="P799" s="1533"/>
      <c r="Q799" s="1533"/>
      <c r="R799" s="1533"/>
      <c r="S799" s="1533"/>
      <c r="T799" s="1361"/>
      <c r="U799" s="1362"/>
      <c r="V799" s="1362"/>
      <c r="W799" s="1363"/>
      <c r="X799" s="1403"/>
      <c r="Y799" s="1404"/>
      <c r="Z799" s="1404"/>
      <c r="AA799" s="1404"/>
      <c r="AB799" s="1405"/>
      <c r="AC799" s="1406">
        <f t="shared" si="42"/>
        <v>0</v>
      </c>
      <c r="AD799" s="1402"/>
      <c r="AE799" s="1402"/>
      <c r="AF799" s="1402"/>
      <c r="AG799" s="140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23">
        <f t="shared" si="43"/>
        <v>0</v>
      </c>
      <c r="CQ799" s="1524"/>
      <c r="CR799" s="1524"/>
      <c r="CS799" s="1524"/>
      <c r="CT799" s="1525"/>
      <c r="CU799" s="1523">
        <f t="shared" si="44"/>
        <v>0</v>
      </c>
      <c r="CV799" s="1524"/>
      <c r="CW799" s="1524"/>
      <c r="CX799" s="1524"/>
      <c r="CY799" s="1525"/>
      <c r="CZ799" s="1523">
        <f t="shared" si="45"/>
        <v>0</v>
      </c>
      <c r="DA799" s="1524"/>
      <c r="DB799" s="1524"/>
      <c r="DC799" s="1524"/>
      <c r="DD799" s="1525"/>
      <c r="DE799" s="1523">
        <f t="shared" si="46"/>
        <v>0</v>
      </c>
      <c r="DF799" s="1524"/>
      <c r="DG799" s="1524"/>
      <c r="DH799" s="1524"/>
      <c r="DI799" s="1525"/>
      <c r="DJ799" s="1523">
        <f t="shared" si="47"/>
        <v>0</v>
      </c>
      <c r="DK799" s="1524"/>
      <c r="DL799" s="1524"/>
      <c r="DM799" s="1524"/>
      <c r="DN799" s="1525"/>
      <c r="DO799" s="1523">
        <f t="shared" si="48"/>
        <v>0</v>
      </c>
      <c r="DP799" s="1524"/>
      <c r="DQ799" s="1524"/>
      <c r="DR799" s="1524"/>
      <c r="DS799" s="1525"/>
      <c r="DT799" s="6"/>
      <c r="DU799" s="1523">
        <f t="shared" si="49"/>
        <v>0</v>
      </c>
      <c r="DV799" s="1524"/>
      <c r="DW799" s="1524"/>
      <c r="DX799" s="1524"/>
      <c r="DY799" s="1525"/>
      <c r="DZ799" s="1523">
        <f t="shared" si="50"/>
        <v>0</v>
      </c>
      <c r="EA799" s="1524"/>
      <c r="EB799" s="1524"/>
      <c r="EC799" s="1524"/>
      <c r="ED799" s="1525"/>
      <c r="EE799" s="1523">
        <f t="shared" si="51"/>
        <v>0</v>
      </c>
      <c r="EF799" s="1524"/>
      <c r="EG799" s="1524"/>
      <c r="EH799" s="1524"/>
      <c r="EI799" s="1525"/>
      <c r="EJ799" s="1523">
        <f t="shared" si="52"/>
        <v>0</v>
      </c>
      <c r="EK799" s="1524"/>
      <c r="EL799" s="1524"/>
      <c r="EM799" s="1524"/>
      <c r="EN799" s="1525"/>
      <c r="EO799" s="1523">
        <f t="shared" si="53"/>
        <v>0</v>
      </c>
      <c r="EP799" s="1524"/>
      <c r="EQ799" s="1524"/>
      <c r="ER799" s="1524"/>
      <c r="ES799" s="1525"/>
      <c r="ET799" s="1523">
        <f t="shared" si="54"/>
        <v>0</v>
      </c>
      <c r="EU799" s="1524"/>
      <c r="EV799" s="1524"/>
      <c r="EW799" s="1524"/>
      <c r="EX799" s="1525"/>
    </row>
    <row r="800" spans="1:154" s="14" customFormat="1" ht="13" customHeight="1">
      <c r="A800"/>
      <c r="B800"/>
      <c r="C800"/>
      <c r="D800"/>
      <c r="E800"/>
      <c r="F800"/>
      <c r="G800"/>
      <c r="H800"/>
      <c r="I800"/>
      <c r="J800" s="1364"/>
      <c r="K800" s="1365"/>
      <c r="L800" s="1365"/>
      <c r="M800" s="1365"/>
      <c r="N800" s="1366"/>
      <c r="O800" s="1533"/>
      <c r="P800" s="1533"/>
      <c r="Q800" s="1533"/>
      <c r="R800" s="1533"/>
      <c r="S800" s="1533"/>
      <c r="T800" s="1361"/>
      <c r="U800" s="1362"/>
      <c r="V800" s="1362"/>
      <c r="W800" s="1363"/>
      <c r="X800" s="1403"/>
      <c r="Y800" s="1404"/>
      <c r="Z800" s="1404"/>
      <c r="AA800" s="1404"/>
      <c r="AB800" s="1405"/>
      <c r="AC800" s="1406">
        <f t="shared" si="42"/>
        <v>0</v>
      </c>
      <c r="AD800" s="1402"/>
      <c r="AE800" s="1402"/>
      <c r="AF800" s="1402"/>
      <c r="AG800" s="140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23">
        <f t="shared" si="43"/>
        <v>0</v>
      </c>
      <c r="CQ800" s="1524"/>
      <c r="CR800" s="1524"/>
      <c r="CS800" s="1524"/>
      <c r="CT800" s="1525"/>
      <c r="CU800" s="1523">
        <f t="shared" si="44"/>
        <v>0</v>
      </c>
      <c r="CV800" s="1524"/>
      <c r="CW800" s="1524"/>
      <c r="CX800" s="1524"/>
      <c r="CY800" s="1525"/>
      <c r="CZ800" s="1523">
        <f t="shared" si="45"/>
        <v>0</v>
      </c>
      <c r="DA800" s="1524"/>
      <c r="DB800" s="1524"/>
      <c r="DC800" s="1524"/>
      <c r="DD800" s="1525"/>
      <c r="DE800" s="1523">
        <f t="shared" si="46"/>
        <v>0</v>
      </c>
      <c r="DF800" s="1524"/>
      <c r="DG800" s="1524"/>
      <c r="DH800" s="1524"/>
      <c r="DI800" s="1525"/>
      <c r="DJ800" s="1523">
        <f t="shared" si="47"/>
        <v>0</v>
      </c>
      <c r="DK800" s="1524"/>
      <c r="DL800" s="1524"/>
      <c r="DM800" s="1524"/>
      <c r="DN800" s="1525"/>
      <c r="DO800" s="1523">
        <f t="shared" si="48"/>
        <v>0</v>
      </c>
      <c r="DP800" s="1524"/>
      <c r="DQ800" s="1524"/>
      <c r="DR800" s="1524"/>
      <c r="DS800" s="1525"/>
      <c r="DT800" s="6"/>
      <c r="DU800" s="1523">
        <f t="shared" si="49"/>
        <v>0</v>
      </c>
      <c r="DV800" s="1524"/>
      <c r="DW800" s="1524"/>
      <c r="DX800" s="1524"/>
      <c r="DY800" s="1525"/>
      <c r="DZ800" s="1523">
        <f t="shared" si="50"/>
        <v>0</v>
      </c>
      <c r="EA800" s="1524"/>
      <c r="EB800" s="1524"/>
      <c r="EC800" s="1524"/>
      <c r="ED800" s="1525"/>
      <c r="EE800" s="1523">
        <f t="shared" si="51"/>
        <v>0</v>
      </c>
      <c r="EF800" s="1524"/>
      <c r="EG800" s="1524"/>
      <c r="EH800" s="1524"/>
      <c r="EI800" s="1525"/>
      <c r="EJ800" s="1523">
        <f t="shared" si="52"/>
        <v>0</v>
      </c>
      <c r="EK800" s="1524"/>
      <c r="EL800" s="1524"/>
      <c r="EM800" s="1524"/>
      <c r="EN800" s="1525"/>
      <c r="EO800" s="1523">
        <f t="shared" si="53"/>
        <v>0</v>
      </c>
      <c r="EP800" s="1524"/>
      <c r="EQ800" s="1524"/>
      <c r="ER800" s="1524"/>
      <c r="ES800" s="1525"/>
      <c r="ET800" s="1523">
        <f t="shared" si="54"/>
        <v>0</v>
      </c>
      <c r="EU800" s="1524"/>
      <c r="EV800" s="1524"/>
      <c r="EW800" s="1524"/>
      <c r="EX800" s="1525"/>
    </row>
    <row r="801" spans="1:154" s="14" customFormat="1" ht="13" customHeight="1">
      <c r="A801"/>
      <c r="B801"/>
      <c r="C801"/>
      <c r="D801"/>
      <c r="E801"/>
      <c r="F801"/>
      <c r="G801"/>
      <c r="H801"/>
      <c r="I801"/>
      <c r="J801" s="1364"/>
      <c r="K801" s="1365"/>
      <c r="L801" s="1365"/>
      <c r="M801" s="1365"/>
      <c r="N801" s="1366"/>
      <c r="O801" s="1533"/>
      <c r="P801" s="1533"/>
      <c r="Q801" s="1533"/>
      <c r="R801" s="1533"/>
      <c r="S801" s="1533"/>
      <c r="T801" s="1361"/>
      <c r="U801" s="1362"/>
      <c r="V801" s="1362"/>
      <c r="W801" s="1363"/>
      <c r="X801" s="1403"/>
      <c r="Y801" s="1404"/>
      <c r="Z801" s="1404"/>
      <c r="AA801" s="1404"/>
      <c r="AB801" s="1405"/>
      <c r="AC801" s="1406">
        <f t="shared" si="42"/>
        <v>0</v>
      </c>
      <c r="AD801" s="1402"/>
      <c r="AE801" s="1402"/>
      <c r="AF801" s="1402"/>
      <c r="AG801" s="140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23">
        <f t="shared" si="43"/>
        <v>0</v>
      </c>
      <c r="CQ801" s="1524"/>
      <c r="CR801" s="1524"/>
      <c r="CS801" s="1524"/>
      <c r="CT801" s="1525"/>
      <c r="CU801" s="1523">
        <f t="shared" si="44"/>
        <v>0</v>
      </c>
      <c r="CV801" s="1524"/>
      <c r="CW801" s="1524"/>
      <c r="CX801" s="1524"/>
      <c r="CY801" s="1525"/>
      <c r="CZ801" s="1523">
        <f t="shared" si="45"/>
        <v>0</v>
      </c>
      <c r="DA801" s="1524"/>
      <c r="DB801" s="1524"/>
      <c r="DC801" s="1524"/>
      <c r="DD801" s="1525"/>
      <c r="DE801" s="1523">
        <f t="shared" si="46"/>
        <v>0</v>
      </c>
      <c r="DF801" s="1524"/>
      <c r="DG801" s="1524"/>
      <c r="DH801" s="1524"/>
      <c r="DI801" s="1525"/>
      <c r="DJ801" s="1523">
        <f t="shared" si="47"/>
        <v>0</v>
      </c>
      <c r="DK801" s="1524"/>
      <c r="DL801" s="1524"/>
      <c r="DM801" s="1524"/>
      <c r="DN801" s="1525"/>
      <c r="DO801" s="1523">
        <f t="shared" si="48"/>
        <v>0</v>
      </c>
      <c r="DP801" s="1524"/>
      <c r="DQ801" s="1524"/>
      <c r="DR801" s="1524"/>
      <c r="DS801" s="1525"/>
      <c r="DT801" s="6"/>
      <c r="DU801" s="1523">
        <f t="shared" si="49"/>
        <v>0</v>
      </c>
      <c r="DV801" s="1524"/>
      <c r="DW801" s="1524"/>
      <c r="DX801" s="1524"/>
      <c r="DY801" s="1525"/>
      <c r="DZ801" s="1523">
        <f t="shared" si="50"/>
        <v>0</v>
      </c>
      <c r="EA801" s="1524"/>
      <c r="EB801" s="1524"/>
      <c r="EC801" s="1524"/>
      <c r="ED801" s="1525"/>
      <c r="EE801" s="1523">
        <f t="shared" si="51"/>
        <v>0</v>
      </c>
      <c r="EF801" s="1524"/>
      <c r="EG801" s="1524"/>
      <c r="EH801" s="1524"/>
      <c r="EI801" s="1525"/>
      <c r="EJ801" s="1523">
        <f t="shared" si="52"/>
        <v>0</v>
      </c>
      <c r="EK801" s="1524"/>
      <c r="EL801" s="1524"/>
      <c r="EM801" s="1524"/>
      <c r="EN801" s="1525"/>
      <c r="EO801" s="1523">
        <f t="shared" si="53"/>
        <v>0</v>
      </c>
      <c r="EP801" s="1524"/>
      <c r="EQ801" s="1524"/>
      <c r="ER801" s="1524"/>
      <c r="ES801" s="1525"/>
      <c r="ET801" s="1523">
        <f t="shared" si="54"/>
        <v>0</v>
      </c>
      <c r="EU801" s="1524"/>
      <c r="EV801" s="1524"/>
      <c r="EW801" s="1524"/>
      <c r="EX801" s="1525"/>
    </row>
    <row r="802" spans="1:154" s="14" customFormat="1" ht="13" customHeight="1">
      <c r="A802"/>
      <c r="B802"/>
      <c r="C802"/>
      <c r="D802"/>
      <c r="E802"/>
      <c r="F802"/>
      <c r="G802"/>
      <c r="H802"/>
      <c r="I802"/>
      <c r="J802" s="1364"/>
      <c r="K802" s="1365"/>
      <c r="L802" s="1365"/>
      <c r="M802" s="1365"/>
      <c r="N802" s="1366"/>
      <c r="O802" s="1533"/>
      <c r="P802" s="1533"/>
      <c r="Q802" s="1533"/>
      <c r="R802" s="1533"/>
      <c r="S802" s="1533"/>
      <c r="T802" s="1361"/>
      <c r="U802" s="1362"/>
      <c r="V802" s="1362"/>
      <c r="W802" s="1363"/>
      <c r="X802" s="1403"/>
      <c r="Y802" s="1404"/>
      <c r="Z802" s="1404"/>
      <c r="AA802" s="1404"/>
      <c r="AB802" s="1405"/>
      <c r="AC802" s="1406">
        <f t="shared" si="42"/>
        <v>0</v>
      </c>
      <c r="AD802" s="1402"/>
      <c r="AE802" s="1402"/>
      <c r="AF802" s="1402"/>
      <c r="AG802" s="140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23">
        <f t="shared" si="43"/>
        <v>0</v>
      </c>
      <c r="CQ802" s="1524"/>
      <c r="CR802" s="1524"/>
      <c r="CS802" s="1524"/>
      <c r="CT802" s="1525"/>
      <c r="CU802" s="1523">
        <f t="shared" si="44"/>
        <v>0</v>
      </c>
      <c r="CV802" s="1524"/>
      <c r="CW802" s="1524"/>
      <c r="CX802" s="1524"/>
      <c r="CY802" s="1525"/>
      <c r="CZ802" s="1523">
        <f t="shared" si="45"/>
        <v>0</v>
      </c>
      <c r="DA802" s="1524"/>
      <c r="DB802" s="1524"/>
      <c r="DC802" s="1524"/>
      <c r="DD802" s="1525"/>
      <c r="DE802" s="1523">
        <f t="shared" si="46"/>
        <v>0</v>
      </c>
      <c r="DF802" s="1524"/>
      <c r="DG802" s="1524"/>
      <c r="DH802" s="1524"/>
      <c r="DI802" s="1525"/>
      <c r="DJ802" s="1523">
        <f t="shared" si="47"/>
        <v>0</v>
      </c>
      <c r="DK802" s="1524"/>
      <c r="DL802" s="1524"/>
      <c r="DM802" s="1524"/>
      <c r="DN802" s="1525"/>
      <c r="DO802" s="1523">
        <f t="shared" si="48"/>
        <v>0</v>
      </c>
      <c r="DP802" s="1524"/>
      <c r="DQ802" s="1524"/>
      <c r="DR802" s="1524"/>
      <c r="DS802" s="1525"/>
      <c r="DT802" s="6"/>
      <c r="DU802" s="1523">
        <f t="shared" si="49"/>
        <v>0</v>
      </c>
      <c r="DV802" s="1524"/>
      <c r="DW802" s="1524"/>
      <c r="DX802" s="1524"/>
      <c r="DY802" s="1525"/>
      <c r="DZ802" s="1523">
        <f t="shared" si="50"/>
        <v>0</v>
      </c>
      <c r="EA802" s="1524"/>
      <c r="EB802" s="1524"/>
      <c r="EC802" s="1524"/>
      <c r="ED802" s="1525"/>
      <c r="EE802" s="1523">
        <f t="shared" si="51"/>
        <v>0</v>
      </c>
      <c r="EF802" s="1524"/>
      <c r="EG802" s="1524"/>
      <c r="EH802" s="1524"/>
      <c r="EI802" s="1525"/>
      <c r="EJ802" s="1523">
        <f t="shared" si="52"/>
        <v>0</v>
      </c>
      <c r="EK802" s="1524"/>
      <c r="EL802" s="1524"/>
      <c r="EM802" s="1524"/>
      <c r="EN802" s="1525"/>
      <c r="EO802" s="1523">
        <f t="shared" si="53"/>
        <v>0</v>
      </c>
      <c r="EP802" s="1524"/>
      <c r="EQ802" s="1524"/>
      <c r="ER802" s="1524"/>
      <c r="ES802" s="1525"/>
      <c r="ET802" s="1523">
        <f t="shared" si="54"/>
        <v>0</v>
      </c>
      <c r="EU802" s="1524"/>
      <c r="EV802" s="1524"/>
      <c r="EW802" s="1524"/>
      <c r="EX802" s="1525"/>
    </row>
    <row r="803" spans="1:154" s="14" customFormat="1" ht="13" customHeight="1">
      <c r="A803"/>
      <c r="B803"/>
      <c r="C803"/>
      <c r="D803"/>
      <c r="E803"/>
      <c r="F803"/>
      <c r="G803"/>
      <c r="H803"/>
      <c r="I803"/>
      <c r="J803" s="1364"/>
      <c r="K803" s="1365"/>
      <c r="L803" s="1365"/>
      <c r="M803" s="1365"/>
      <c r="N803" s="1366"/>
      <c r="O803" s="1533"/>
      <c r="P803" s="1533"/>
      <c r="Q803" s="1533"/>
      <c r="R803" s="1533"/>
      <c r="S803" s="1533"/>
      <c r="T803" s="1361"/>
      <c r="U803" s="1362"/>
      <c r="V803" s="1362"/>
      <c r="W803" s="1363"/>
      <c r="X803" s="1403"/>
      <c r="Y803" s="1404"/>
      <c r="Z803" s="1404"/>
      <c r="AA803" s="1404"/>
      <c r="AB803" s="1405"/>
      <c r="AC803" s="1406">
        <f t="shared" si="42"/>
        <v>0</v>
      </c>
      <c r="AD803" s="1402"/>
      <c r="AE803" s="1402"/>
      <c r="AF803" s="1402"/>
      <c r="AG803" s="140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23">
        <f t="shared" si="43"/>
        <v>0</v>
      </c>
      <c r="CQ803" s="1524"/>
      <c r="CR803" s="1524"/>
      <c r="CS803" s="1524"/>
      <c r="CT803" s="1525"/>
      <c r="CU803" s="1523">
        <f t="shared" si="44"/>
        <v>0</v>
      </c>
      <c r="CV803" s="1524"/>
      <c r="CW803" s="1524"/>
      <c r="CX803" s="1524"/>
      <c r="CY803" s="1525"/>
      <c r="CZ803" s="1523">
        <f t="shared" si="45"/>
        <v>0</v>
      </c>
      <c r="DA803" s="1524"/>
      <c r="DB803" s="1524"/>
      <c r="DC803" s="1524"/>
      <c r="DD803" s="1525"/>
      <c r="DE803" s="1523">
        <f t="shared" si="46"/>
        <v>0</v>
      </c>
      <c r="DF803" s="1524"/>
      <c r="DG803" s="1524"/>
      <c r="DH803" s="1524"/>
      <c r="DI803" s="1525"/>
      <c r="DJ803" s="1523">
        <f t="shared" si="47"/>
        <v>0</v>
      </c>
      <c r="DK803" s="1524"/>
      <c r="DL803" s="1524"/>
      <c r="DM803" s="1524"/>
      <c r="DN803" s="1525"/>
      <c r="DO803" s="1523">
        <f t="shared" si="48"/>
        <v>0</v>
      </c>
      <c r="DP803" s="1524"/>
      <c r="DQ803" s="1524"/>
      <c r="DR803" s="1524"/>
      <c r="DS803" s="1525"/>
      <c r="DT803" s="6"/>
      <c r="DU803" s="1523">
        <f t="shared" si="49"/>
        <v>0</v>
      </c>
      <c r="DV803" s="1524"/>
      <c r="DW803" s="1524"/>
      <c r="DX803" s="1524"/>
      <c r="DY803" s="1525"/>
      <c r="DZ803" s="1523">
        <f t="shared" si="50"/>
        <v>0</v>
      </c>
      <c r="EA803" s="1524"/>
      <c r="EB803" s="1524"/>
      <c r="EC803" s="1524"/>
      <c r="ED803" s="1525"/>
      <c r="EE803" s="1523">
        <f t="shared" si="51"/>
        <v>0</v>
      </c>
      <c r="EF803" s="1524"/>
      <c r="EG803" s="1524"/>
      <c r="EH803" s="1524"/>
      <c r="EI803" s="1525"/>
      <c r="EJ803" s="1523">
        <f t="shared" si="52"/>
        <v>0</v>
      </c>
      <c r="EK803" s="1524"/>
      <c r="EL803" s="1524"/>
      <c r="EM803" s="1524"/>
      <c r="EN803" s="1525"/>
      <c r="EO803" s="1523">
        <f t="shared" si="53"/>
        <v>0</v>
      </c>
      <c r="EP803" s="1524"/>
      <c r="EQ803" s="1524"/>
      <c r="ER803" s="1524"/>
      <c r="ES803" s="1525"/>
      <c r="ET803" s="1523">
        <f t="shared" si="54"/>
        <v>0</v>
      </c>
      <c r="EU803" s="1524"/>
      <c r="EV803" s="1524"/>
      <c r="EW803" s="1524"/>
      <c r="EX803" s="1525"/>
    </row>
    <row r="804" spans="1:154" s="4" customFormat="1" ht="13" customHeight="1">
      <c r="A804"/>
      <c r="B804"/>
      <c r="C804"/>
      <c r="D804"/>
      <c r="E804"/>
      <c r="F804"/>
      <c r="G804"/>
      <c r="H804"/>
      <c r="I804"/>
      <c r="J804" s="1364"/>
      <c r="K804" s="1365"/>
      <c r="L804" s="1365"/>
      <c r="M804" s="1365"/>
      <c r="N804" s="1366"/>
      <c r="O804" s="1533"/>
      <c r="P804" s="1533"/>
      <c r="Q804" s="1533"/>
      <c r="R804" s="1533"/>
      <c r="S804" s="1533"/>
      <c r="T804" s="1361"/>
      <c r="U804" s="1362"/>
      <c r="V804" s="1362"/>
      <c r="W804" s="1363"/>
      <c r="X804" s="1403"/>
      <c r="Y804" s="1404"/>
      <c r="Z804" s="1404"/>
      <c r="AA804" s="1404"/>
      <c r="AB804" s="1405"/>
      <c r="AC804" s="1406">
        <f t="shared" si="42"/>
        <v>0</v>
      </c>
      <c r="AD804" s="1402"/>
      <c r="AE804" s="1402"/>
      <c r="AF804" s="1402"/>
      <c r="AG804" s="1407"/>
      <c r="AH804"/>
      <c r="AI804"/>
      <c r="AJ804"/>
      <c r="AK804"/>
      <c r="AL804"/>
      <c r="AM804"/>
      <c r="AN804"/>
      <c r="AO804"/>
      <c r="AP804"/>
      <c r="AQ804"/>
      <c r="AR804"/>
      <c r="AS804"/>
      <c r="AT804"/>
      <c r="AU804"/>
      <c r="AV804"/>
      <c r="AW804"/>
      <c r="AX804"/>
      <c r="AY804"/>
      <c r="AZ804" s="3"/>
      <c r="CP804" s="1523">
        <f t="shared" si="43"/>
        <v>0</v>
      </c>
      <c r="CQ804" s="1524"/>
      <c r="CR804" s="1524"/>
      <c r="CS804" s="1524"/>
      <c r="CT804" s="1525"/>
      <c r="CU804" s="1523">
        <f t="shared" si="44"/>
        <v>0</v>
      </c>
      <c r="CV804" s="1524"/>
      <c r="CW804" s="1524"/>
      <c r="CX804" s="1524"/>
      <c r="CY804" s="1525"/>
      <c r="CZ804" s="1523">
        <f t="shared" si="45"/>
        <v>0</v>
      </c>
      <c r="DA804" s="1524"/>
      <c r="DB804" s="1524"/>
      <c r="DC804" s="1524"/>
      <c r="DD804" s="1525"/>
      <c r="DE804" s="1523">
        <f t="shared" si="46"/>
        <v>0</v>
      </c>
      <c r="DF804" s="1524"/>
      <c r="DG804" s="1524"/>
      <c r="DH804" s="1524"/>
      <c r="DI804" s="1525"/>
      <c r="DJ804" s="1523">
        <f t="shared" si="47"/>
        <v>0</v>
      </c>
      <c r="DK804" s="1524"/>
      <c r="DL804" s="1524"/>
      <c r="DM804" s="1524"/>
      <c r="DN804" s="1525"/>
      <c r="DO804" s="1523">
        <f t="shared" si="48"/>
        <v>0</v>
      </c>
      <c r="DP804" s="1524"/>
      <c r="DQ804" s="1524"/>
      <c r="DR804" s="1524"/>
      <c r="DS804" s="1525"/>
      <c r="DT804" s="6"/>
      <c r="DU804" s="1523">
        <f t="shared" si="49"/>
        <v>0</v>
      </c>
      <c r="DV804" s="1524"/>
      <c r="DW804" s="1524"/>
      <c r="DX804" s="1524"/>
      <c r="DY804" s="1525"/>
      <c r="DZ804" s="1523">
        <f t="shared" si="50"/>
        <v>0</v>
      </c>
      <c r="EA804" s="1524"/>
      <c r="EB804" s="1524"/>
      <c r="EC804" s="1524"/>
      <c r="ED804" s="1525"/>
      <c r="EE804" s="1523">
        <f t="shared" si="51"/>
        <v>0</v>
      </c>
      <c r="EF804" s="1524"/>
      <c r="EG804" s="1524"/>
      <c r="EH804" s="1524"/>
      <c r="EI804" s="1525"/>
      <c r="EJ804" s="1523">
        <f t="shared" si="52"/>
        <v>0</v>
      </c>
      <c r="EK804" s="1524"/>
      <c r="EL804" s="1524"/>
      <c r="EM804" s="1524"/>
      <c r="EN804" s="1525"/>
      <c r="EO804" s="1523">
        <f t="shared" si="53"/>
        <v>0</v>
      </c>
      <c r="EP804" s="1524"/>
      <c r="EQ804" s="1524"/>
      <c r="ER804" s="1524"/>
      <c r="ES804" s="1525"/>
      <c r="ET804" s="1523">
        <f t="shared" si="54"/>
        <v>0</v>
      </c>
      <c r="EU804" s="1524"/>
      <c r="EV804" s="1524"/>
      <c r="EW804" s="1524"/>
      <c r="EX804" s="1525"/>
    </row>
    <row r="805" spans="1:154" s="4" customFormat="1" ht="13" customHeight="1">
      <c r="A805"/>
      <c r="B805"/>
      <c r="C805"/>
      <c r="D805"/>
      <c r="E805"/>
      <c r="F805"/>
      <c r="G805"/>
      <c r="H805"/>
      <c r="I805"/>
      <c r="J805" s="1505" t="s">
        <v>125</v>
      </c>
      <c r="K805" s="1506"/>
      <c r="L805" s="1506"/>
      <c r="M805" s="1506"/>
      <c r="N805" s="1507"/>
      <c r="O805" s="1749">
        <f>SUM(O795:S804)</f>
        <v>0</v>
      </c>
      <c r="P805" s="1749"/>
      <c r="Q805" s="1749"/>
      <c r="R805" s="1749"/>
      <c r="S805" s="1749"/>
      <c r="T805"/>
      <c r="U805"/>
      <c r="V805"/>
      <c r="W805"/>
      <c r="X805" s="898" t="s">
        <v>124</v>
      </c>
      <c r="Y805" s="11"/>
      <c r="Z805" s="11"/>
      <c r="AA805" s="11"/>
      <c r="AB805" s="905"/>
      <c r="AC805" s="1406">
        <f>SUM(AC795:AG804)</f>
        <v>0</v>
      </c>
      <c r="AD805" s="1402"/>
      <c r="AE805" s="1402"/>
      <c r="AF805" s="1402"/>
      <c r="AG805" s="1407"/>
      <c r="AH805"/>
      <c r="AI805"/>
      <c r="AJ805"/>
      <c r="AK805"/>
      <c r="AL805"/>
      <c r="AM805"/>
      <c r="AN805"/>
      <c r="AO805"/>
      <c r="AP805"/>
      <c r="AQ805"/>
      <c r="AR805"/>
      <c r="AS805"/>
      <c r="AT805"/>
      <c r="AU805"/>
      <c r="AV805"/>
      <c r="AW805"/>
      <c r="AX805"/>
      <c r="AY805"/>
      <c r="AZ805" s="3"/>
      <c r="BA805"/>
      <c r="CP805" s="1521">
        <f>SUM(CP795:CT804)</f>
        <v>0</v>
      </c>
      <c r="CQ805" s="1528"/>
      <c r="CR805" s="1528"/>
      <c r="CS805" s="1528"/>
      <c r="CT805" s="1522"/>
      <c r="CU805" s="1529">
        <f>SUM(CU795:CY804)</f>
        <v>0</v>
      </c>
      <c r="CV805" s="1530"/>
      <c r="CW805" s="1530"/>
      <c r="CX805" s="1530"/>
      <c r="CY805" s="1531"/>
      <c r="CZ805" s="1529">
        <f>SUM(CZ795:DD804)</f>
        <v>0</v>
      </c>
      <c r="DA805" s="1530"/>
      <c r="DB805" s="1530"/>
      <c r="DC805" s="1530"/>
      <c r="DD805" s="1531"/>
      <c r="DE805" s="1529">
        <f>SUM(DE795:DI804)</f>
        <v>0</v>
      </c>
      <c r="DF805" s="1530"/>
      <c r="DG805" s="1530"/>
      <c r="DH805" s="1530"/>
      <c r="DI805" s="1531"/>
      <c r="DJ805" s="1529">
        <f>SUM(DJ795:DN804)</f>
        <v>0</v>
      </c>
      <c r="DK805" s="1530"/>
      <c r="DL805" s="1530"/>
      <c r="DM805" s="1530"/>
      <c r="DN805" s="1531"/>
      <c r="DO805" s="1529">
        <f>SUM(DO795:DS804)</f>
        <v>0</v>
      </c>
      <c r="DP805" s="1530"/>
      <c r="DQ805" s="1530"/>
      <c r="DR805" s="1530"/>
      <c r="DS805" s="1531"/>
      <c r="DT805" s="1007"/>
      <c r="DU805" s="1521">
        <f>SUM(DU795:DY804)</f>
        <v>0</v>
      </c>
      <c r="DV805" s="1528"/>
      <c r="DW805" s="1528"/>
      <c r="DX805" s="1528"/>
      <c r="DY805" s="1522"/>
      <c r="DZ805" s="1521">
        <f>SUM(DZ795:ED804)</f>
        <v>0</v>
      </c>
      <c r="EA805" s="1528"/>
      <c r="EB805" s="1528"/>
      <c r="EC805" s="1528"/>
      <c r="ED805" s="1522"/>
      <c r="EE805" s="1521">
        <f>SUM(EE795:EI804)</f>
        <v>0</v>
      </c>
      <c r="EF805" s="1528"/>
      <c r="EG805" s="1528"/>
      <c r="EH805" s="1528"/>
      <c r="EI805" s="1522"/>
      <c r="EJ805" s="1521">
        <f>SUM(EJ795:EN804)</f>
        <v>0</v>
      </c>
      <c r="EK805" s="1528"/>
      <c r="EL805" s="1528"/>
      <c r="EM805" s="1528"/>
      <c r="EN805" s="1522"/>
      <c r="EO805" s="1521">
        <f>SUM(EO795:ES804)</f>
        <v>0</v>
      </c>
      <c r="EP805" s="1528"/>
      <c r="EQ805" s="1528"/>
      <c r="ER805" s="1528"/>
      <c r="ES805" s="1522"/>
      <c r="ET805" s="1521">
        <f>SUM(ET795:EX804)</f>
        <v>0</v>
      </c>
      <c r="EU805" s="1528"/>
      <c r="EV805" s="1528"/>
      <c r="EW805" s="1528"/>
      <c r="EX805" s="1522"/>
    </row>
    <row r="806" spans="1:154" s="4" customFormat="1" ht="13" customHeight="1">
      <c r="A806"/>
      <c r="B806"/>
      <c r="C806" s="1746" t="str">
        <f>IF(O805&lt;&gt;AG447,"! Total market rate units in the Unit Mix Table above does not match the number of  market rate units on row #"&amp;TEXT(ROW(D447),"#"),"")</f>
        <v/>
      </c>
      <c r="D806" s="1746"/>
      <c r="E806" s="1746"/>
      <c r="F806" s="1746"/>
      <c r="G806" s="1746"/>
      <c r="H806" s="1746"/>
      <c r="I806" s="1746"/>
      <c r="J806" s="1746"/>
      <c r="K806" s="1746"/>
      <c r="L806" s="1746"/>
      <c r="M806" s="1746"/>
      <c r="N806" s="1746"/>
      <c r="O806" s="1746"/>
      <c r="P806" s="1746"/>
      <c r="Q806" s="1746"/>
      <c r="R806" s="1746"/>
      <c r="S806" s="1746"/>
      <c r="T806" s="1746"/>
      <c r="U806" s="1746"/>
      <c r="V806" s="1746"/>
      <c r="W806" s="1746"/>
      <c r="X806" s="1746"/>
      <c r="Y806" s="1746"/>
      <c r="Z806" s="1746"/>
      <c r="AA806" s="1746"/>
      <c r="AB806" s="1746"/>
      <c r="AC806" s="1746"/>
      <c r="AD806" s="1746"/>
      <c r="AE806" s="1746"/>
      <c r="AF806" s="1746"/>
      <c r="AG806" s="1746"/>
      <c r="AH806" s="1746"/>
      <c r="AI806" s="1746"/>
      <c r="AJ806" s="1746"/>
      <c r="AK806" s="1746"/>
      <c r="AL806" s="1746"/>
      <c r="AM806" s="1746"/>
      <c r="AN806" s="174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46"/>
      <c r="D807" s="1746"/>
      <c r="E807" s="1746"/>
      <c r="F807" s="1746"/>
      <c r="G807" s="1746"/>
      <c r="H807" s="1746"/>
      <c r="I807" s="1746"/>
      <c r="J807" s="1746"/>
      <c r="K807" s="1746"/>
      <c r="L807" s="1746"/>
      <c r="M807" s="1746"/>
      <c r="N807" s="1746"/>
      <c r="O807" s="1746"/>
      <c r="P807" s="1746"/>
      <c r="Q807" s="1746"/>
      <c r="R807" s="1746"/>
      <c r="S807" s="1746"/>
      <c r="T807" s="1746"/>
      <c r="U807" s="1746"/>
      <c r="V807" s="1746"/>
      <c r="W807" s="1746"/>
      <c r="X807" s="1746"/>
      <c r="Y807" s="1746"/>
      <c r="Z807" s="1746"/>
      <c r="AA807" s="1746"/>
      <c r="AB807" s="1746"/>
      <c r="AC807" s="1746"/>
      <c r="AD807" s="1746"/>
      <c r="AE807" s="1746"/>
      <c r="AF807" s="1746"/>
      <c r="AG807" s="1746"/>
      <c r="AH807" s="1746"/>
      <c r="AI807" s="1746"/>
      <c r="AJ807" s="1746"/>
      <c r="AK807" s="1746"/>
      <c r="AL807" s="1746"/>
      <c r="AM807" s="1746"/>
      <c r="AN807" s="174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6">
        <f>SUM(DU805:EX805)</f>
        <v>0</v>
      </c>
      <c r="EU807" s="1867"/>
      <c r="EV807" s="1867"/>
      <c r="EW807" s="1867"/>
      <c r="EX807" s="1868"/>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6">
        <f>O761+AC785+AC805</f>
        <v>151144</v>
      </c>
      <c r="Z808" s="1686"/>
      <c r="AA808" s="1686"/>
      <c r="AB808" s="1686"/>
      <c r="AC808" s="168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6">
        <f>(O761+AC785+AC805)*12</f>
        <v>1813728</v>
      </c>
      <c r="Z809" s="1686"/>
      <c r="AA809" s="1686"/>
      <c r="AB809" s="1686"/>
      <c r="AC809" s="168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29">
        <f>CP761+CP785+CP805</f>
        <v>47</v>
      </c>
      <c r="CQ810" s="1530"/>
      <c r="CR810" s="1530"/>
      <c r="CS810" s="1530"/>
      <c r="CT810" s="1531"/>
      <c r="CU810" s="1529">
        <f>CU761+CU785+CU805</f>
        <v>0</v>
      </c>
      <c r="CV810" s="1530"/>
      <c r="CW810" s="1530"/>
      <c r="CX810" s="1530"/>
      <c r="CY810" s="1531"/>
      <c r="CZ810" s="1529">
        <f>CZ761+CZ785+CZ805</f>
        <v>25</v>
      </c>
      <c r="DA810" s="1530"/>
      <c r="DB810" s="1530"/>
      <c r="DC810" s="1530"/>
      <c r="DD810" s="1531"/>
      <c r="DE810" s="1529">
        <f>DE761+DE785+DE805</f>
        <v>24</v>
      </c>
      <c r="DF810" s="1530"/>
      <c r="DG810" s="1530"/>
      <c r="DH810" s="1530"/>
      <c r="DI810" s="1531"/>
      <c r="DJ810" s="1529">
        <f>DJ761+DJ785+DJ805</f>
        <v>0</v>
      </c>
      <c r="DK810" s="1530"/>
      <c r="DL810" s="1530"/>
      <c r="DM810" s="1530"/>
      <c r="DN810" s="1531"/>
      <c r="DO810" s="1516">
        <f>DO805+DO785+DO761</f>
        <v>0</v>
      </c>
      <c r="DP810" s="1520"/>
      <c r="DQ810" s="1520"/>
      <c r="DR810" s="1520"/>
      <c r="DS810" s="1517"/>
      <c r="DT810" s="3"/>
      <c r="DU810" s="857">
        <f>DU763+DU808</f>
        <v>167</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4"/>
      <c r="AA814" s="1645"/>
      <c r="AB814" s="1645"/>
      <c r="AC814" s="1645"/>
      <c r="AD814" s="1645"/>
      <c r="AE814" s="164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50"/>
      <c r="AA815" s="1645"/>
      <c r="AB815" s="1645"/>
      <c r="AC815" s="1645"/>
      <c r="AD815" s="1645"/>
      <c r="AE815" s="164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4">
        <v>0</v>
      </c>
      <c r="AA816" s="1623"/>
      <c r="AB816" s="1623"/>
      <c r="AC816" s="1623"/>
      <c r="AD816" s="1623"/>
      <c r="AE816" s="162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7">
        <f>'Subsidy Contract Calculation'!J40</f>
        <v>0</v>
      </c>
      <c r="AA817" s="1538"/>
      <c r="AB817" s="1538"/>
      <c r="AC817" s="1538"/>
      <c r="AD817" s="1538"/>
      <c r="AE817" s="153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34">
        <f>20*12*G761</f>
        <v>22800</v>
      </c>
      <c r="AA821" s="1435"/>
      <c r="AB821" s="1435"/>
      <c r="AC821" s="1435"/>
      <c r="AD821" s="1435"/>
      <c r="AE821" s="143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34">
        <v>3832</v>
      </c>
      <c r="AA822" s="1435"/>
      <c r="AB822" s="1435"/>
      <c r="AC822" s="1435"/>
      <c r="AD822" s="1435"/>
      <c r="AE822" s="143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34">
        <v>7800</v>
      </c>
      <c r="AA823" s="1435"/>
      <c r="AB823" s="1435"/>
      <c r="AC823" s="1435"/>
      <c r="AD823" s="1435"/>
      <c r="AE823" s="143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3" t="s">
        <v>2732</v>
      </c>
      <c r="Q824" s="1654"/>
      <c r="R824" s="1654"/>
      <c r="S824" s="1654"/>
      <c r="T824" s="1654"/>
      <c r="U824" s="1654"/>
      <c r="V824" s="1654"/>
      <c r="W824" s="1654"/>
      <c r="X824" s="1654"/>
      <c r="Y824" s="1655"/>
      <c r="Z824" s="1434">
        <v>12800</v>
      </c>
      <c r="AA824" s="1435"/>
      <c r="AB824" s="1435"/>
      <c r="AC824" s="1435"/>
      <c r="AD824" s="1435"/>
      <c r="AE824" s="143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7">
        <f>SUM(Z821:AE824)</f>
        <v>47232</v>
      </c>
      <c r="AA825" s="1538"/>
      <c r="AB825" s="1538"/>
      <c r="AC825" s="1538"/>
      <c r="AD825" s="1538"/>
      <c r="AE825" s="153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7">
        <f>Z825+Y809+Z817</f>
        <v>1860960</v>
      </c>
      <c r="AA826" s="1538"/>
      <c r="AB826" s="1538"/>
      <c r="AC826" s="1538"/>
      <c r="AD826" s="1538"/>
      <c r="AE826" s="153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0" t="s">
        <v>126</v>
      </c>
      <c r="N831" s="1600"/>
      <c r="O831" s="1600"/>
      <c r="P831" s="1656"/>
      <c r="Q831" s="1536" t="s">
        <v>290</v>
      </c>
      <c r="R831" s="1536"/>
      <c r="S831" s="1536"/>
      <c r="T831" s="1536"/>
      <c r="U831" s="1536" t="s">
        <v>291</v>
      </c>
      <c r="V831" s="1536"/>
      <c r="W831" s="1536"/>
      <c r="X831" s="1536"/>
      <c r="Y831" s="1536" t="s">
        <v>292</v>
      </c>
      <c r="Z831" s="1536"/>
      <c r="AA831" s="1536"/>
      <c r="AB831" s="1536"/>
      <c r="AC831" s="1536" t="s">
        <v>361</v>
      </c>
      <c r="AD831" s="1536"/>
      <c r="AE831" s="1536"/>
      <c r="AF831" s="1536"/>
      <c r="AG831" s="1745" t="s">
        <v>335</v>
      </c>
      <c r="AH831" s="1745"/>
      <c r="AI831" s="1745"/>
      <c r="AJ831" s="174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4"/>
      <c r="N832" s="1604"/>
      <c r="O832" s="1604"/>
      <c r="P832" s="1640"/>
      <c r="Q832" s="1536"/>
      <c r="R832" s="1536"/>
      <c r="S832" s="1536"/>
      <c r="T832" s="1536"/>
      <c r="U832" s="1536"/>
      <c r="V832" s="1536"/>
      <c r="W832" s="1536"/>
      <c r="X832" s="1536"/>
      <c r="Y832" s="1536"/>
      <c r="Z832" s="1536"/>
      <c r="AA832" s="1536"/>
      <c r="AB832" s="1536"/>
      <c r="AC832" s="1536"/>
      <c r="AD832" s="1536"/>
      <c r="AE832" s="1536"/>
      <c r="AF832" s="1536"/>
      <c r="AG832" s="1745"/>
      <c r="AH832" s="1745"/>
      <c r="AI832" s="1745"/>
      <c r="AJ832" s="174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8" t="s">
        <v>40</v>
      </c>
      <c r="D833" s="1437"/>
      <c r="E833" s="1437"/>
      <c r="F833" s="1437"/>
      <c r="G833" s="1437"/>
      <c r="H833" s="1437"/>
      <c r="I833" s="48"/>
      <c r="J833" s="48"/>
      <c r="K833" s="48"/>
      <c r="L833" s="49"/>
      <c r="M833" s="1657">
        <v>36</v>
      </c>
      <c r="N833" s="1657"/>
      <c r="O833" s="1657"/>
      <c r="P833" s="1657"/>
      <c r="Q833" s="1657">
        <v>44</v>
      </c>
      <c r="R833" s="1657"/>
      <c r="S833" s="1657"/>
      <c r="T833" s="1657"/>
      <c r="U833" s="1657">
        <v>56</v>
      </c>
      <c r="V833" s="1657"/>
      <c r="W833" s="1657"/>
      <c r="X833" s="1657"/>
      <c r="Y833" s="1657">
        <v>68</v>
      </c>
      <c r="Z833" s="1657"/>
      <c r="AA833" s="1657"/>
      <c r="AB833" s="1657"/>
      <c r="AC833" s="1501"/>
      <c r="AD833" s="1502"/>
      <c r="AE833" s="1502"/>
      <c r="AF833" s="1503"/>
      <c r="AG833" s="1501"/>
      <c r="AH833" s="1502"/>
      <c r="AI833" s="1502"/>
      <c r="AJ833" s="1503"/>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75" t="s">
        <v>41</v>
      </c>
      <c r="D834" s="1473"/>
      <c r="E834" s="1473"/>
      <c r="F834" s="1473"/>
      <c r="G834" s="1473"/>
      <c r="H834" s="1473"/>
      <c r="I834" s="5"/>
      <c r="J834" s="5"/>
      <c r="K834" s="5"/>
      <c r="L834" s="46"/>
      <c r="M834" s="1657"/>
      <c r="N834" s="1657"/>
      <c r="O834" s="1657"/>
      <c r="P834" s="1657"/>
      <c r="Q834" s="1657"/>
      <c r="R834" s="1657"/>
      <c r="S834" s="1657"/>
      <c r="T834" s="1657"/>
      <c r="U834" s="1657"/>
      <c r="V834" s="1657"/>
      <c r="W834" s="1657"/>
      <c r="X834" s="1657"/>
      <c r="Y834" s="1657"/>
      <c r="Z834" s="1657"/>
      <c r="AA834" s="1657"/>
      <c r="AB834" s="1657"/>
      <c r="AC834" s="1501"/>
      <c r="AD834" s="1502"/>
      <c r="AE834" s="1502"/>
      <c r="AF834" s="1503"/>
      <c r="AG834" s="1501"/>
      <c r="AH834" s="1502"/>
      <c r="AI834" s="1502"/>
      <c r="AJ834" s="1503"/>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75" t="s">
        <v>42</v>
      </c>
      <c r="D835" s="1473"/>
      <c r="E835" s="1473"/>
      <c r="F835" s="1473"/>
      <c r="G835" s="1473"/>
      <c r="H835" s="1473"/>
      <c r="I835" s="60"/>
      <c r="J835" s="60"/>
      <c r="K835" s="60"/>
      <c r="L835" s="61"/>
      <c r="M835" s="1657">
        <v>12</v>
      </c>
      <c r="N835" s="1657"/>
      <c r="O835" s="1657"/>
      <c r="P835" s="1657"/>
      <c r="Q835" s="1657">
        <v>15</v>
      </c>
      <c r="R835" s="1657"/>
      <c r="S835" s="1657"/>
      <c r="T835" s="1657"/>
      <c r="U835" s="1657">
        <v>23</v>
      </c>
      <c r="V835" s="1657"/>
      <c r="W835" s="1657"/>
      <c r="X835" s="1657"/>
      <c r="Y835" s="1657">
        <v>34</v>
      </c>
      <c r="Z835" s="1657"/>
      <c r="AA835" s="1657"/>
      <c r="AB835" s="1657"/>
      <c r="AC835" s="1501"/>
      <c r="AD835" s="1502"/>
      <c r="AE835" s="1502"/>
      <c r="AF835" s="1503"/>
      <c r="AG835" s="1501"/>
      <c r="AH835" s="1502"/>
      <c r="AI835" s="1502"/>
      <c r="AJ835" s="1503"/>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75" t="s">
        <v>762</v>
      </c>
      <c r="D836" s="1473"/>
      <c r="E836" s="1473"/>
      <c r="F836" s="1473"/>
      <c r="G836" s="1473"/>
      <c r="H836" s="1473"/>
      <c r="I836" s="60"/>
      <c r="J836" s="60"/>
      <c r="K836" s="60"/>
      <c r="L836" s="61"/>
      <c r="M836" s="1657"/>
      <c r="N836" s="1657"/>
      <c r="O836" s="1657"/>
      <c r="P836" s="1657"/>
      <c r="Q836" s="1657"/>
      <c r="R836" s="1657"/>
      <c r="S836" s="1657"/>
      <c r="T836" s="1657"/>
      <c r="U836" s="1657"/>
      <c r="V836" s="1657"/>
      <c r="W836" s="1657"/>
      <c r="X836" s="1657"/>
      <c r="Y836" s="1657"/>
      <c r="Z836" s="1657"/>
      <c r="AA836" s="1657"/>
      <c r="AB836" s="1657"/>
      <c r="AC836" s="1501"/>
      <c r="AD836" s="1502"/>
      <c r="AE836" s="1502"/>
      <c r="AF836" s="1503"/>
      <c r="AG836" s="1501"/>
      <c r="AH836" s="1502"/>
      <c r="AI836" s="1502"/>
      <c r="AJ836" s="1503"/>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75" t="s">
        <v>459</v>
      </c>
      <c r="D837" s="1473"/>
      <c r="E837" s="1473"/>
      <c r="F837" s="1473"/>
      <c r="G837" s="1473"/>
      <c r="H837" s="1473"/>
      <c r="I837" s="60"/>
      <c r="J837" s="60"/>
      <c r="K837" s="60"/>
      <c r="L837" s="61"/>
      <c r="M837" s="1657">
        <v>47</v>
      </c>
      <c r="N837" s="1657"/>
      <c r="O837" s="1657"/>
      <c r="P837" s="1657"/>
      <c r="Q837" s="1657">
        <v>55</v>
      </c>
      <c r="R837" s="1657"/>
      <c r="S837" s="1657"/>
      <c r="T837" s="1657"/>
      <c r="U837" s="1657">
        <v>77</v>
      </c>
      <c r="V837" s="1657"/>
      <c r="W837" s="1657"/>
      <c r="X837" s="1657"/>
      <c r="Y837" s="1657">
        <v>101</v>
      </c>
      <c r="Z837" s="1657"/>
      <c r="AA837" s="1657"/>
      <c r="AB837" s="1657"/>
      <c r="AC837" s="1501"/>
      <c r="AD837" s="1502"/>
      <c r="AE837" s="1502"/>
      <c r="AF837" s="1503"/>
      <c r="AG837" s="1501"/>
      <c r="AH837" s="1502"/>
      <c r="AI837" s="1502"/>
      <c r="AJ837" s="1503"/>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9" t="s">
        <v>783</v>
      </c>
      <c r="D838" s="1473"/>
      <c r="E838" s="1473"/>
      <c r="F838" s="1473"/>
      <c r="G838" s="1473"/>
      <c r="H838" s="1473"/>
      <c r="I838" s="60"/>
      <c r="J838" s="60"/>
      <c r="K838" s="60"/>
      <c r="L838" s="61"/>
      <c r="M838" s="1657"/>
      <c r="N838" s="1657"/>
      <c r="O838" s="1657"/>
      <c r="P838" s="1657"/>
      <c r="Q838" s="1657"/>
      <c r="R838" s="1657"/>
      <c r="S838" s="1657"/>
      <c r="T838" s="1657"/>
      <c r="U838" s="1657"/>
      <c r="V838" s="1657"/>
      <c r="W838" s="1657"/>
      <c r="X838" s="1657"/>
      <c r="Y838" s="1657"/>
      <c r="Z838" s="1657"/>
      <c r="AA838" s="1657"/>
      <c r="AB838" s="1657"/>
      <c r="AC838" s="1501"/>
      <c r="AD838" s="1502"/>
      <c r="AE838" s="1502"/>
      <c r="AF838" s="1503"/>
      <c r="AG838" s="1501"/>
      <c r="AH838" s="1502"/>
      <c r="AI838" s="1502"/>
      <c r="AJ838" s="1503"/>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3" t="s">
        <v>334</v>
      </c>
      <c r="G839" s="1654"/>
      <c r="H839" s="1654"/>
      <c r="I839" s="1654"/>
      <c r="J839" s="1654"/>
      <c r="K839" s="1654"/>
      <c r="L839" s="1654"/>
      <c r="M839" s="1657"/>
      <c r="N839" s="1657"/>
      <c r="O839" s="1657"/>
      <c r="P839" s="1657"/>
      <c r="Q839" s="1657"/>
      <c r="R839" s="1657"/>
      <c r="S839" s="1657"/>
      <c r="T839" s="1657"/>
      <c r="U839" s="1657"/>
      <c r="V839" s="1657"/>
      <c r="W839" s="1657"/>
      <c r="X839" s="1657"/>
      <c r="Y839" s="1657"/>
      <c r="Z839" s="1657"/>
      <c r="AA839" s="1657"/>
      <c r="AB839" s="1657"/>
      <c r="AC839" s="1501"/>
      <c r="AD839" s="1502"/>
      <c r="AE839" s="1502"/>
      <c r="AF839" s="1503"/>
      <c r="AG839" s="1501"/>
      <c r="AH839" s="1502"/>
      <c r="AI839" s="1502"/>
      <c r="AJ839" s="1503"/>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05" t="s">
        <v>124</v>
      </c>
      <c r="D840" s="1506"/>
      <c r="E840" s="1506"/>
      <c r="F840" s="1506"/>
      <c r="G840" s="1506"/>
      <c r="H840" s="1506"/>
      <c r="I840" s="1506"/>
      <c r="J840" s="1506"/>
      <c r="K840" s="1506"/>
      <c r="L840" s="1507"/>
      <c r="M840" s="1680">
        <f>SUM(M833:P839)</f>
        <v>95</v>
      </c>
      <c r="N840" s="1680"/>
      <c r="O840" s="1680"/>
      <c r="P840" s="1680"/>
      <c r="Q840" s="1680">
        <f>SUM(Q833:T839)</f>
        <v>114</v>
      </c>
      <c r="R840" s="1680"/>
      <c r="S840" s="1680"/>
      <c r="T840" s="1680"/>
      <c r="U840" s="1680">
        <f>SUM(U833:X839)</f>
        <v>156</v>
      </c>
      <c r="V840" s="1680"/>
      <c r="W840" s="1680"/>
      <c r="X840" s="1680"/>
      <c r="Y840" s="1680">
        <f>SUM(Y833:AB839)</f>
        <v>203</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41" t="s">
        <v>2733</v>
      </c>
      <c r="D845" s="1742"/>
      <c r="E845" s="1742"/>
      <c r="F845" s="1742"/>
      <c r="G845" s="1742"/>
      <c r="H845" s="1742"/>
      <c r="I845" s="1742"/>
      <c r="J845" s="1742"/>
      <c r="K845" s="1742"/>
      <c r="L845" s="1742"/>
      <c r="M845" s="1742"/>
      <c r="N845" s="1742"/>
      <c r="O845" s="1742"/>
      <c r="P845" s="1742"/>
      <c r="Q845" s="1742"/>
      <c r="R845" s="1742"/>
      <c r="S845" s="1742"/>
      <c r="T845" s="1742"/>
      <c r="U845" s="1742"/>
      <c r="V845" s="1742"/>
      <c r="W845" s="1742"/>
      <c r="X845" s="1742"/>
      <c r="Y845" s="1742"/>
      <c r="Z845" s="1742"/>
      <c r="AA845" s="1742"/>
      <c r="AB845" s="1742"/>
      <c r="AC845" s="1742"/>
      <c r="AD845" s="1742"/>
      <c r="AE845" s="1742"/>
      <c r="AF845" s="1742"/>
      <c r="AG845" s="1742"/>
      <c r="AH845" s="1742"/>
      <c r="AI845" s="1742"/>
      <c r="AJ845" s="174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32">
        <v>3350</v>
      </c>
      <c r="X850" s="1532"/>
      <c r="Y850" s="1532"/>
      <c r="Z850" s="1532"/>
      <c r="AA850" s="1532"/>
      <c r="AB850" s="1532"/>
      <c r="AC850" s="1532"/>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32">
        <v>11650</v>
      </c>
      <c r="X851" s="1532"/>
      <c r="Y851" s="1532"/>
      <c r="Z851" s="1532"/>
      <c r="AA851" s="1532"/>
      <c r="AB851" s="1532"/>
      <c r="AC851" s="1532"/>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32">
        <v>9600</v>
      </c>
      <c r="X852" s="1532"/>
      <c r="Y852" s="1532"/>
      <c r="Z852" s="1532"/>
      <c r="AA852" s="1532"/>
      <c r="AB852" s="1532"/>
      <c r="AC852" s="1532"/>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32">
        <v>20700</v>
      </c>
      <c r="X853" s="1532"/>
      <c r="Y853" s="1532"/>
      <c r="Z853" s="1532"/>
      <c r="AA853" s="1532"/>
      <c r="AB853" s="1532"/>
      <c r="AC853" s="1532"/>
      <c r="AZ853" s="30"/>
      <c r="BA853" s="30"/>
      <c r="BB853" s="14"/>
      <c r="BC853" s="14"/>
      <c r="BD853" s="14"/>
      <c r="BE853" s="14"/>
      <c r="BF853" s="14"/>
      <c r="BG853" s="14"/>
      <c r="BH853" s="14"/>
      <c r="BI853" s="14"/>
      <c r="BJ853" s="14"/>
      <c r="BK853" s="14"/>
      <c r="BL853" s="14"/>
    </row>
    <row r="854" spans="1:64" ht="13" customHeight="1">
      <c r="J854" s="45" t="s">
        <v>170</v>
      </c>
      <c r="K854" s="5"/>
      <c r="L854" s="5"/>
      <c r="M854" s="1653" t="s">
        <v>2734</v>
      </c>
      <c r="N854" s="1654"/>
      <c r="O854" s="1654"/>
      <c r="P854" s="1654"/>
      <c r="Q854" s="1654"/>
      <c r="R854" s="1654"/>
      <c r="S854" s="1654"/>
      <c r="T854" s="1654"/>
      <c r="U854" s="1654"/>
      <c r="V854" s="1655"/>
      <c r="W854" s="1532">
        <v>11600</v>
      </c>
      <c r="X854" s="1532"/>
      <c r="Y854" s="1532"/>
      <c r="Z854" s="1532"/>
      <c r="AA854" s="1532"/>
      <c r="AB854" s="1532"/>
      <c r="AC854" s="1532"/>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37">
        <f>SUM(W850:W854)</f>
        <v>56900</v>
      </c>
      <c r="X855" s="1538"/>
      <c r="Y855" s="1538"/>
      <c r="Z855" s="1538"/>
      <c r="AA855" s="1538"/>
      <c r="AB855" s="1538"/>
      <c r="AC855" s="1539"/>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2"/>
      <c r="BH856" s="1672"/>
      <c r="BI856" s="1672"/>
      <c r="BJ856" s="1672"/>
      <c r="BK856" s="1672"/>
      <c r="BL856" s="1672"/>
    </row>
    <row r="857" spans="1:64" ht="13" customHeight="1">
      <c r="C857" s="2" t="s">
        <v>344</v>
      </c>
      <c r="J857" s="1505" t="s">
        <v>345</v>
      </c>
      <c r="K857" s="1506"/>
      <c r="L857" s="1506"/>
      <c r="M857" s="1506"/>
      <c r="N857" s="1506"/>
      <c r="O857" s="1506"/>
      <c r="P857" s="1506"/>
      <c r="Q857" s="1506"/>
      <c r="R857" s="1506"/>
      <c r="S857" s="1506"/>
      <c r="T857" s="1506"/>
      <c r="U857" s="1506"/>
      <c r="V857" s="1507"/>
      <c r="W857" s="1434">
        <f>4%*Y809</f>
        <v>72549.119999999995</v>
      </c>
      <c r="X857" s="1435"/>
      <c r="Y857" s="1435"/>
      <c r="Z857" s="1435"/>
      <c r="AA857" s="1435"/>
      <c r="AB857" s="1435"/>
      <c r="AC857" s="143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85"/>
      <c r="X859" s="1685"/>
      <c r="Y859" s="1685"/>
      <c r="Z859" s="1685"/>
      <c r="AA859" s="1685"/>
      <c r="AB859" s="1685"/>
      <c r="AC859" s="1685"/>
      <c r="AZ859" s="1732"/>
      <c r="BA859" s="1732"/>
      <c r="BB859" s="14"/>
      <c r="BC859" s="14"/>
    </row>
    <row r="860" spans="1:64" ht="13" customHeight="1">
      <c r="J860" s="45" t="s">
        <v>351</v>
      </c>
      <c r="K860" s="5"/>
      <c r="L860" s="5"/>
      <c r="M860" s="5"/>
      <c r="N860" s="5"/>
      <c r="O860" s="5"/>
      <c r="P860" s="5"/>
      <c r="Q860" s="5"/>
      <c r="R860" s="5"/>
      <c r="S860" s="5"/>
      <c r="T860" s="5"/>
      <c r="U860" s="5"/>
      <c r="V860" s="46"/>
      <c r="W860" s="1685">
        <v>29864</v>
      </c>
      <c r="X860" s="1685"/>
      <c r="Y860" s="1685"/>
      <c r="Z860" s="1685"/>
      <c r="AA860" s="1685"/>
      <c r="AB860" s="1685"/>
      <c r="AC860" s="1685"/>
      <c r="AZ860" s="30"/>
      <c r="BA860" s="30"/>
      <c r="BB860" s="14"/>
      <c r="BC860" s="14"/>
    </row>
    <row r="861" spans="1:64" ht="13" customHeight="1">
      <c r="J861" s="45" t="s">
        <v>459</v>
      </c>
      <c r="K861" s="5"/>
      <c r="L861" s="5"/>
      <c r="M861" s="5"/>
      <c r="N861" s="5"/>
      <c r="O861" s="5"/>
      <c r="P861" s="5"/>
      <c r="Q861" s="5"/>
      <c r="R861" s="5"/>
      <c r="S861" s="5"/>
      <c r="T861" s="5"/>
      <c r="U861" s="5"/>
      <c r="V861" s="46"/>
      <c r="W861" s="1685">
        <v>24232</v>
      </c>
      <c r="X861" s="1685"/>
      <c r="Y861" s="1685"/>
      <c r="Z861" s="1685"/>
      <c r="AA861" s="1685"/>
      <c r="AB861" s="1685"/>
      <c r="AC861" s="1685"/>
      <c r="AZ861" s="30"/>
      <c r="BA861" s="30"/>
      <c r="BB861" s="14"/>
      <c r="BC861" s="14"/>
    </row>
    <row r="862" spans="1:64" ht="13" customHeight="1">
      <c r="J862" s="62" t="s">
        <v>620</v>
      </c>
      <c r="K862" s="5"/>
      <c r="L862" s="5"/>
      <c r="M862" s="5"/>
      <c r="N862" s="5"/>
      <c r="O862" s="5"/>
      <c r="P862" s="5"/>
      <c r="Q862" s="5"/>
      <c r="R862" s="5"/>
      <c r="S862" s="5"/>
      <c r="T862" s="5"/>
      <c r="U862" s="5"/>
      <c r="V862" s="46"/>
      <c r="W862" s="1685">
        <v>31600</v>
      </c>
      <c r="X862" s="1685"/>
      <c r="Y862" s="1685"/>
      <c r="Z862" s="1685"/>
      <c r="AA862" s="1685"/>
      <c r="AB862" s="1685"/>
      <c r="AC862" s="1685"/>
      <c r="AZ862" s="34"/>
      <c r="BA862" s="34"/>
      <c r="BB862" s="34"/>
      <c r="BC862" s="34"/>
    </row>
    <row r="863" spans="1:64" ht="13" customHeight="1">
      <c r="J863" s="63"/>
      <c r="K863" s="48"/>
      <c r="L863" s="48"/>
      <c r="M863" s="48"/>
      <c r="N863" s="48"/>
      <c r="O863" s="48"/>
      <c r="P863" s="48"/>
      <c r="Q863" s="48"/>
      <c r="R863" s="48"/>
      <c r="S863" s="48"/>
      <c r="T863" s="48"/>
      <c r="U863" s="48"/>
      <c r="V863" s="54" t="s">
        <v>272</v>
      </c>
      <c r="W863" s="1740">
        <f>SUM(W859:W862)</f>
        <v>85696</v>
      </c>
      <c r="X863" s="1740"/>
      <c r="Y863" s="1740"/>
      <c r="Z863" s="1740"/>
      <c r="AA863" s="1740"/>
      <c r="AB863" s="1740"/>
      <c r="AC863" s="1740"/>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74">
        <v>126372</v>
      </c>
      <c r="X865" s="1675"/>
      <c r="Y865" s="1675"/>
      <c r="Z865" s="1675"/>
      <c r="AA865" s="1675"/>
      <c r="AB865" s="1675"/>
      <c r="AC865" s="1676"/>
      <c r="AD865" s="528"/>
      <c r="AZ865" s="34"/>
      <c r="BA865" s="34"/>
      <c r="BB865" s="34"/>
      <c r="BC865" s="34"/>
    </row>
    <row r="866" spans="3:55" ht="13" customHeight="1">
      <c r="C866" s="2" t="s">
        <v>347</v>
      </c>
      <c r="J866" s="121" t="s">
        <v>1644</v>
      </c>
      <c r="K866" s="5"/>
      <c r="L866" s="5"/>
      <c r="M866" s="5"/>
      <c r="N866" s="5"/>
      <c r="O866" s="5"/>
      <c r="P866" s="5"/>
      <c r="Q866" s="5"/>
      <c r="R866" s="5"/>
      <c r="S866" s="5"/>
      <c r="T866" s="1733">
        <v>1</v>
      </c>
      <c r="U866" s="1716"/>
      <c r="V866" s="1734"/>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74">
        <v>98670</v>
      </c>
      <c r="X867" s="1675"/>
      <c r="Y867" s="1675"/>
      <c r="Z867" s="1675"/>
      <c r="AA867" s="1675"/>
      <c r="AB867" s="1675"/>
      <c r="AC867" s="1676"/>
      <c r="AD867" s="533"/>
      <c r="AZ867" s="34"/>
      <c r="BA867" s="34"/>
      <c r="BB867" s="34"/>
      <c r="BC867" s="34"/>
    </row>
    <row r="868" spans="3:55" ht="13" customHeight="1">
      <c r="C868" s="2"/>
      <c r="J868" s="121" t="s">
        <v>1645</v>
      </c>
      <c r="K868" s="5"/>
      <c r="L868" s="5"/>
      <c r="M868" s="5"/>
      <c r="N868" s="5"/>
      <c r="O868" s="5"/>
      <c r="P868" s="5"/>
      <c r="Q868" s="5"/>
      <c r="R868" s="5"/>
      <c r="S868" s="5"/>
      <c r="T868" s="1733"/>
      <c r="U868" s="1716"/>
      <c r="V868" s="1734"/>
      <c r="W868" s="870"/>
      <c r="X868" s="871"/>
      <c r="Y868" s="871"/>
      <c r="Z868" s="871"/>
      <c r="AA868" s="871"/>
      <c r="AB868" s="871"/>
      <c r="AC868" s="872"/>
      <c r="AD868" s="533"/>
      <c r="AZ868" s="34"/>
      <c r="BA868" s="34"/>
      <c r="BB868" s="34"/>
      <c r="BC868" s="34"/>
    </row>
    <row r="869" spans="3:55" ht="13" customHeight="1">
      <c r="J869" s="45" t="s">
        <v>170</v>
      </c>
      <c r="K869" s="5"/>
      <c r="L869" s="5"/>
      <c r="M869" s="1653" t="s">
        <v>334</v>
      </c>
      <c r="N869" s="1654"/>
      <c r="O869" s="1654"/>
      <c r="P869" s="1654"/>
      <c r="Q869" s="1654"/>
      <c r="R869" s="1654"/>
      <c r="S869" s="1654"/>
      <c r="T869" s="1654"/>
      <c r="U869" s="1654"/>
      <c r="V869" s="1655"/>
      <c r="W869" s="1674"/>
      <c r="X869" s="1675"/>
      <c r="Y869" s="1675"/>
      <c r="Z869" s="1675"/>
      <c r="AA869" s="1675"/>
      <c r="AB869" s="1675"/>
      <c r="AC869" s="1676"/>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35">
        <f>SUM(W865:W869)</f>
        <v>225042</v>
      </c>
      <c r="X870" s="1736"/>
      <c r="Y870" s="1736"/>
      <c r="Z870" s="1736"/>
      <c r="AA870" s="1736"/>
      <c r="AB870" s="1736"/>
      <c r="AC870" s="1737"/>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74"/>
      <c r="X872" s="1675"/>
      <c r="Y872" s="1675"/>
      <c r="Z872" s="1675"/>
      <c r="AA872" s="1675"/>
      <c r="AB872" s="1675"/>
      <c r="AC872" s="1676"/>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32">
        <v>11300</v>
      </c>
      <c r="X874" s="1532"/>
      <c r="Y874" s="1532"/>
      <c r="Z874" s="1532"/>
      <c r="AA874" s="1532"/>
      <c r="AB874" s="1532"/>
      <c r="AC874" s="1532"/>
      <c r="AU874" s="14"/>
      <c r="AZ874" s="34"/>
      <c r="BA874" s="34"/>
      <c r="BB874" s="34"/>
      <c r="BC874" s="34"/>
    </row>
    <row r="875" spans="3:55" ht="13" customHeight="1">
      <c r="J875" s="45" t="s">
        <v>522</v>
      </c>
      <c r="K875" s="5"/>
      <c r="L875" s="5"/>
      <c r="M875" s="5"/>
      <c r="N875" s="5"/>
      <c r="O875" s="5"/>
      <c r="P875" s="5"/>
      <c r="Q875" s="5"/>
      <c r="R875" s="5"/>
      <c r="S875" s="5"/>
      <c r="T875" s="5"/>
      <c r="U875" s="5"/>
      <c r="V875" s="46"/>
      <c r="W875" s="1532">
        <v>92840</v>
      </c>
      <c r="X875" s="1532"/>
      <c r="Y875" s="1532"/>
      <c r="Z875" s="1532"/>
      <c r="AA875" s="1532"/>
      <c r="AB875" s="1532"/>
      <c r="AC875" s="1532"/>
      <c r="AU875" s="4"/>
      <c r="AZ875" s="34"/>
      <c r="BA875" s="34"/>
      <c r="BB875" s="34"/>
      <c r="BC875" s="34"/>
    </row>
    <row r="876" spans="3:55" ht="13" customHeight="1">
      <c r="J876" s="45" t="s">
        <v>521</v>
      </c>
      <c r="K876" s="5"/>
      <c r="L876" s="5"/>
      <c r="M876" s="5"/>
      <c r="N876" s="5"/>
      <c r="O876" s="5"/>
      <c r="P876" s="5"/>
      <c r="Q876" s="5"/>
      <c r="R876" s="5"/>
      <c r="S876" s="5"/>
      <c r="T876" s="5"/>
      <c r="U876" s="5"/>
      <c r="V876" s="46"/>
      <c r="W876" s="1532">
        <v>48500</v>
      </c>
      <c r="X876" s="1532"/>
      <c r="Y876" s="1532"/>
      <c r="Z876" s="1532"/>
      <c r="AA876" s="1532"/>
      <c r="AB876" s="1532"/>
      <c r="AC876" s="1532"/>
      <c r="AU876" s="4"/>
      <c r="AZ876" s="34"/>
      <c r="BA876" s="34"/>
      <c r="BB876" s="34"/>
      <c r="BC876" s="34"/>
    </row>
    <row r="877" spans="3:55" ht="13" customHeight="1">
      <c r="J877" s="45" t="s">
        <v>520</v>
      </c>
      <c r="K877" s="5"/>
      <c r="L877" s="5"/>
      <c r="M877" s="5"/>
      <c r="N877" s="5"/>
      <c r="O877" s="5"/>
      <c r="P877" s="5"/>
      <c r="Q877" s="5"/>
      <c r="R877" s="5"/>
      <c r="S877" s="5"/>
      <c r="T877" s="5"/>
      <c r="U877" s="5"/>
      <c r="V877" s="46"/>
      <c r="W877" s="1532">
        <v>12000</v>
      </c>
      <c r="X877" s="1532"/>
      <c r="Y877" s="1532"/>
      <c r="Z877" s="1532"/>
      <c r="AA877" s="1532"/>
      <c r="AB877" s="1532"/>
      <c r="AC877" s="1532"/>
      <c r="AU877" s="4"/>
      <c r="AZ877" s="34"/>
      <c r="BA877" s="34"/>
      <c r="BB877" s="34"/>
      <c r="BC877" s="34"/>
    </row>
    <row r="878" spans="3:55" ht="13" customHeight="1">
      <c r="J878" s="45" t="s">
        <v>519</v>
      </c>
      <c r="K878" s="5"/>
      <c r="L878" s="5"/>
      <c r="M878" s="5"/>
      <c r="N878" s="5"/>
      <c r="O878" s="5"/>
      <c r="P878" s="5"/>
      <c r="Q878" s="5"/>
      <c r="R878" s="5"/>
      <c r="S878" s="5"/>
      <c r="T878" s="5"/>
      <c r="U878" s="5"/>
      <c r="V878" s="46"/>
      <c r="W878" s="1532">
        <v>4400</v>
      </c>
      <c r="X878" s="1532"/>
      <c r="Y878" s="1532"/>
      <c r="Z878" s="1532"/>
      <c r="AA878" s="1532"/>
      <c r="AB878" s="1532"/>
      <c r="AC878" s="1532"/>
      <c r="AU878" s="4"/>
      <c r="AZ878" s="34"/>
      <c r="BA878" s="34"/>
      <c r="BB878" s="34"/>
      <c r="BC878" s="34"/>
    </row>
    <row r="879" spans="3:55" ht="13" customHeight="1">
      <c r="J879" s="45" t="s">
        <v>518</v>
      </c>
      <c r="K879" s="5"/>
      <c r="L879" s="5"/>
      <c r="M879" s="5"/>
      <c r="N879" s="5"/>
      <c r="O879" s="5"/>
      <c r="P879" s="5"/>
      <c r="Q879" s="5"/>
      <c r="R879" s="5"/>
      <c r="S879" s="5"/>
      <c r="T879" s="5"/>
      <c r="U879" s="5"/>
      <c r="V879" s="46"/>
      <c r="W879" s="1532">
        <v>9850</v>
      </c>
      <c r="X879" s="1532"/>
      <c r="Y879" s="1532"/>
      <c r="Z879" s="1532"/>
      <c r="AA879" s="1532"/>
      <c r="AB879" s="1532"/>
      <c r="AC879" s="1532"/>
      <c r="AU879" s="4"/>
      <c r="AZ879" s="34"/>
      <c r="BA879" s="34"/>
      <c r="BB879" s="34"/>
      <c r="BC879" s="34"/>
    </row>
    <row r="880" spans="3:55" ht="13" customHeight="1">
      <c r="J880" s="45" t="s">
        <v>170</v>
      </c>
      <c r="K880" s="5"/>
      <c r="L880" s="5"/>
      <c r="M880" s="1653" t="s">
        <v>2735</v>
      </c>
      <c r="N880" s="1654"/>
      <c r="O880" s="1654"/>
      <c r="P880" s="1654"/>
      <c r="Q880" s="1654"/>
      <c r="R880" s="1654"/>
      <c r="S880" s="1654"/>
      <c r="T880" s="1654"/>
      <c r="U880" s="1654"/>
      <c r="V880" s="1655"/>
      <c r="W880" s="1532">
        <v>34650</v>
      </c>
      <c r="X880" s="1532"/>
      <c r="Y880" s="1532"/>
      <c r="Z880" s="1532"/>
      <c r="AA880" s="1532"/>
      <c r="AB880" s="1532"/>
      <c r="AC880" s="1532"/>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6">
        <f>SUM(W874:W880)</f>
        <v>213540</v>
      </c>
      <c r="X881" s="1686"/>
      <c r="Y881" s="1686"/>
      <c r="Z881" s="1686"/>
      <c r="AA881" s="1686"/>
      <c r="AB881" s="1686"/>
      <c r="AC881" s="168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53" t="s">
        <v>2736</v>
      </c>
      <c r="N883" s="1654"/>
      <c r="O883" s="1654"/>
      <c r="P883" s="1654"/>
      <c r="Q883" s="1654"/>
      <c r="R883" s="1654"/>
      <c r="S883" s="1654"/>
      <c r="T883" s="1654"/>
      <c r="U883" s="1654"/>
      <c r="V883" s="1655"/>
      <c r="W883" s="1434">
        <v>38000</v>
      </c>
      <c r="X883" s="1435"/>
      <c r="Y883" s="1435"/>
      <c r="Z883" s="1435"/>
      <c r="AA883" s="1435"/>
      <c r="AB883" s="1435"/>
      <c r="AC883" s="1436"/>
      <c r="AD883" s="533"/>
      <c r="AV883" s="14"/>
      <c r="AW883" s="14"/>
      <c r="AX883" s="14"/>
      <c r="AY883" s="14"/>
      <c r="AZ883" s="34"/>
      <c r="BA883" s="34"/>
      <c r="BB883" s="34"/>
      <c r="BC883" s="34"/>
    </row>
    <row r="884" spans="3:55" ht="13" customHeight="1">
      <c r="C884" s="2" t="s">
        <v>1244</v>
      </c>
      <c r="J884" s="45" t="s">
        <v>170</v>
      </c>
      <c r="K884" s="5"/>
      <c r="L884" s="5"/>
      <c r="M884" s="1653" t="s">
        <v>334</v>
      </c>
      <c r="N884" s="1654"/>
      <c r="O884" s="1654"/>
      <c r="P884" s="1654"/>
      <c r="Q884" s="1654"/>
      <c r="R884" s="1654"/>
      <c r="S884" s="1654"/>
      <c r="T884" s="1654"/>
      <c r="U884" s="1654"/>
      <c r="V884" s="1655"/>
      <c r="W884" s="1434"/>
      <c r="X884" s="1435"/>
      <c r="Y884" s="1435"/>
      <c r="Z884" s="1435"/>
      <c r="AA884" s="1435"/>
      <c r="AB884" s="1435"/>
      <c r="AC884" s="1436"/>
      <c r="AD884" s="533"/>
      <c r="AV884" s="14"/>
      <c r="AW884" s="14"/>
      <c r="AX884" s="14"/>
      <c r="AY884" s="14"/>
      <c r="AZ884" s="34"/>
      <c r="BA884" s="34"/>
      <c r="BB884" s="34"/>
      <c r="BC884" s="34"/>
    </row>
    <row r="885" spans="3:55" ht="13" customHeight="1">
      <c r="J885" s="45" t="s">
        <v>170</v>
      </c>
      <c r="K885" s="5"/>
      <c r="L885" s="5"/>
      <c r="M885" s="1653" t="s">
        <v>334</v>
      </c>
      <c r="N885" s="1654"/>
      <c r="O885" s="1654"/>
      <c r="P885" s="1654"/>
      <c r="Q885" s="1654"/>
      <c r="R885" s="1654"/>
      <c r="S885" s="1654"/>
      <c r="T885" s="1654"/>
      <c r="U885" s="1654"/>
      <c r="V885" s="1655"/>
      <c r="W885" s="1434"/>
      <c r="X885" s="1435"/>
      <c r="Y885" s="1435"/>
      <c r="Z885" s="1435"/>
      <c r="AA885" s="1435"/>
      <c r="AB885" s="1435"/>
      <c r="AC885" s="143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3" t="s">
        <v>334</v>
      </c>
      <c r="N886" s="1654"/>
      <c r="O886" s="1654"/>
      <c r="P886" s="1654"/>
      <c r="Q886" s="1654"/>
      <c r="R886" s="1654"/>
      <c r="S886" s="1654"/>
      <c r="T886" s="1654"/>
      <c r="U886" s="1654"/>
      <c r="V886" s="1655"/>
      <c r="W886" s="1434"/>
      <c r="X886" s="1435"/>
      <c r="Y886" s="1435"/>
      <c r="Z886" s="1435"/>
      <c r="AA886" s="1435"/>
      <c r="AB886" s="1435"/>
      <c r="AC886" s="143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3" t="s">
        <v>334</v>
      </c>
      <c r="N887" s="1654"/>
      <c r="O887" s="1654"/>
      <c r="P887" s="1654"/>
      <c r="Q887" s="1654"/>
      <c r="R887" s="1654"/>
      <c r="S887" s="1654"/>
      <c r="T887" s="1654"/>
      <c r="U887" s="1654"/>
      <c r="V887" s="1655"/>
      <c r="W887" s="1434"/>
      <c r="X887" s="1435"/>
      <c r="Y887" s="1435"/>
      <c r="Z887" s="1435"/>
      <c r="AA887" s="1435"/>
      <c r="AB887" s="1435"/>
      <c r="AC887" s="143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37">
        <f>SUM(W883:W887)</f>
        <v>38000</v>
      </c>
      <c r="X888" s="1538"/>
      <c r="Y888" s="1538"/>
      <c r="Z888" s="1538"/>
      <c r="AA888" s="1538"/>
      <c r="AB888" s="1538"/>
      <c r="AC888" s="1539"/>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8">
        <f>W855+W863+W870+W872+W881+W888+W857</f>
        <v>691727.12</v>
      </c>
      <c r="AD892" s="1538"/>
      <c r="AE892" s="1538"/>
      <c r="AF892" s="1538"/>
      <c r="AG892" s="1538"/>
      <c r="AH892" s="1539"/>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87">
        <f>O805+O785+G761</f>
        <v>96</v>
      </c>
      <c r="AD893" s="1687"/>
      <c r="AE893" s="1687"/>
      <c r="AF893" s="1687"/>
      <c r="AG893" s="1687"/>
      <c r="AH893" s="1688"/>
      <c r="AL893" s="4"/>
      <c r="AM893" s="4"/>
      <c r="AN893" s="4"/>
      <c r="AO893" s="4"/>
      <c r="AP893" s="4"/>
      <c r="AQ893" s="4"/>
      <c r="AR893" s="4"/>
      <c r="AS893" s="4"/>
      <c r="AT893" s="4"/>
      <c r="AZ893" s="34"/>
      <c r="BA893" s="34"/>
      <c r="BB893" s="34"/>
      <c r="BC893" s="34"/>
    </row>
    <row r="894" spans="3:55" ht="13" customHeight="1">
      <c r="C894" s="41"/>
      <c r="D894" s="42"/>
      <c r="E894" s="1661" t="s">
        <v>32</v>
      </c>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686">
        <f>IF(ISERROR((ROUNDDOWN(AC892/AC893,0))),0,(ROUNDDOWN(AC892/AC893,0)))</f>
        <v>7205</v>
      </c>
      <c r="AD894" s="1686"/>
      <c r="AE894" s="1686"/>
      <c r="AF894" s="1686"/>
      <c r="AG894" s="1686"/>
      <c r="AH894" s="168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8">
        <f>ROUND(((AC892+'15 Year Pro Forma'!E49)/12)*3,0)</f>
        <v>172932</v>
      </c>
      <c r="AD895" s="1739"/>
      <c r="AE895" s="1739"/>
      <c r="AF895" s="1739"/>
      <c r="AG895" s="1739"/>
      <c r="AH895" s="173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36"/>
      <c r="AD896" s="1532"/>
      <c r="AE896" s="1532"/>
      <c r="AF896" s="1532"/>
      <c r="AG896" s="1532"/>
      <c r="AH896" s="1532"/>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35">
        <v>6780</v>
      </c>
      <c r="AD897" s="1435"/>
      <c r="AE897" s="1435"/>
      <c r="AF897" s="1435"/>
      <c r="AG897" s="1435"/>
      <c r="AH897" s="143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35">
        <f>300*AC893</f>
        <v>28800</v>
      </c>
      <c r="AD898" s="1435"/>
      <c r="AE898" s="1435"/>
      <c r="AF898" s="1435"/>
      <c r="AG898" s="1435"/>
      <c r="AH898" s="143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01">
        <v>4000</v>
      </c>
      <c r="AD899" s="1502"/>
      <c r="AE899" s="1502"/>
      <c r="AF899" s="1502"/>
      <c r="AG899" s="1502"/>
      <c r="AH899" s="1503"/>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35">
        <v>0</v>
      </c>
      <c r="AD900" s="1435"/>
      <c r="AE900" s="1435"/>
      <c r="AF900" s="1435"/>
      <c r="AG900" s="1435"/>
      <c r="AH900" s="1436"/>
      <c r="AZ900" s="34"/>
      <c r="BA900" s="34"/>
      <c r="BB900" s="34"/>
      <c r="BC900" s="34"/>
    </row>
    <row r="901" spans="1:58" ht="13" hidden="1" customHeight="1">
      <c r="C901" s="1505" t="s">
        <v>2188</v>
      </c>
      <c r="D901" s="1506"/>
      <c r="E901" s="1506"/>
      <c r="F901" s="1506"/>
      <c r="G901" s="1506"/>
      <c r="H901" s="1506"/>
      <c r="I901" s="1506"/>
      <c r="J901" s="1506"/>
      <c r="K901" s="1506"/>
      <c r="L901" s="1506"/>
      <c r="M901" s="1506"/>
      <c r="N901" s="1506"/>
      <c r="O901" s="1506"/>
      <c r="P901" s="1506"/>
      <c r="Q901" s="1506"/>
      <c r="R901" s="1506"/>
      <c r="S901" s="1506"/>
      <c r="T901" s="1506"/>
      <c r="U901" s="1506"/>
      <c r="V901" s="1506"/>
      <c r="W901" s="1506"/>
      <c r="X901" s="1506"/>
      <c r="Y901" s="1506"/>
      <c r="Z901" s="1506"/>
      <c r="AA901" s="1506"/>
      <c r="AB901" s="1507"/>
      <c r="AC901" s="1435"/>
      <c r="AD901" s="1435"/>
      <c r="AE901" s="1435"/>
      <c r="AF901" s="1435"/>
      <c r="AG901" s="1435"/>
      <c r="AH901" s="143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35"/>
      <c r="AD902" s="1435"/>
      <c r="AE902" s="1435"/>
      <c r="AF902" s="1435"/>
      <c r="AG902" s="1435"/>
      <c r="AH902" s="1436"/>
      <c r="AZ902" s="34"/>
      <c r="BA902" s="34"/>
      <c r="BB902" s="34"/>
      <c r="BC902" s="34"/>
    </row>
    <row r="903" spans="1:58" ht="13" customHeight="1">
      <c r="C903" s="1677" t="s">
        <v>956</v>
      </c>
      <c r="D903" s="1678"/>
      <c r="E903" s="1678"/>
      <c r="F903" s="1678"/>
      <c r="G903" s="1678"/>
      <c r="H903" s="1678"/>
      <c r="I903" s="1678"/>
      <c r="J903" s="1678"/>
      <c r="K903" s="1678"/>
      <c r="L903" s="1678"/>
      <c r="M903" s="1678"/>
      <c r="N903" s="1678"/>
      <c r="O903" s="1678"/>
      <c r="P903" s="1678"/>
      <c r="Q903" s="1678"/>
      <c r="R903" s="1678"/>
      <c r="S903" s="1678"/>
      <c r="T903" s="1678"/>
      <c r="U903" s="1678"/>
      <c r="V903" s="1678"/>
      <c r="W903" s="1678"/>
      <c r="X903" s="1678"/>
      <c r="Y903" s="1678"/>
      <c r="Z903" s="1678"/>
      <c r="AA903" s="1678"/>
      <c r="AB903" s="1679"/>
      <c r="AC903" s="1532"/>
      <c r="AD903" s="1532"/>
      <c r="AE903" s="1532"/>
      <c r="AF903" s="1532"/>
      <c r="AG903" s="1532"/>
      <c r="AH903" s="1532"/>
      <c r="AZ903" s="34"/>
      <c r="BA903" s="34"/>
      <c r="BB903" s="34"/>
      <c r="BC903" s="34"/>
    </row>
    <row r="904" spans="1:58" ht="13" customHeight="1">
      <c r="C904" s="1677" t="s">
        <v>956</v>
      </c>
      <c r="D904" s="1678"/>
      <c r="E904" s="1678"/>
      <c r="F904" s="1678"/>
      <c r="G904" s="1678"/>
      <c r="H904" s="1678"/>
      <c r="I904" s="1678"/>
      <c r="J904" s="1678"/>
      <c r="K904" s="1678"/>
      <c r="L904" s="1678"/>
      <c r="M904" s="1678"/>
      <c r="N904" s="1678"/>
      <c r="O904" s="1678"/>
      <c r="P904" s="1678"/>
      <c r="Q904" s="1678"/>
      <c r="R904" s="1678"/>
      <c r="S904" s="1678"/>
      <c r="T904" s="1678"/>
      <c r="U904" s="1678"/>
      <c r="V904" s="1678"/>
      <c r="W904" s="1678"/>
      <c r="X904" s="1678"/>
      <c r="Y904" s="1678"/>
      <c r="Z904" s="1678"/>
      <c r="AA904" s="1678"/>
      <c r="AB904" s="1679"/>
      <c r="AC904" s="1532"/>
      <c r="AD904" s="1532"/>
      <c r="AE904" s="1532"/>
      <c r="AF904" s="1532"/>
      <c r="AG904" s="1532"/>
      <c r="AH904" s="1532"/>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34"/>
      <c r="AA908" s="1435"/>
      <c r="AB908" s="1435"/>
      <c r="AC908" s="1435"/>
      <c r="AD908" s="1435"/>
      <c r="AE908" s="1436"/>
      <c r="AF908" s="533"/>
      <c r="AZ908" s="34"/>
      <c r="BB908" s="30"/>
      <c r="BC908" s="812"/>
      <c r="BD908" s="1673"/>
      <c r="BE908" s="1673"/>
      <c r="BF908" s="14"/>
    </row>
    <row r="909" spans="1:58" ht="13" customHeight="1">
      <c r="H909" s="121" t="s">
        <v>239</v>
      </c>
      <c r="I909" s="5"/>
      <c r="J909" s="5"/>
      <c r="K909" s="5"/>
      <c r="L909" s="5"/>
      <c r="M909" s="5"/>
      <c r="N909" s="5"/>
      <c r="O909" s="5"/>
      <c r="P909" s="5"/>
      <c r="Q909" s="5"/>
      <c r="R909" s="5"/>
      <c r="S909" s="5"/>
      <c r="T909" s="5"/>
      <c r="U909" s="5"/>
      <c r="V909" s="5"/>
      <c r="W909" s="5"/>
      <c r="X909" s="5"/>
      <c r="Y909" s="5"/>
      <c r="Z909" s="1434"/>
      <c r="AA909" s="1435"/>
      <c r="AB909" s="1435"/>
      <c r="AC909" s="1435"/>
      <c r="AD909" s="1435"/>
      <c r="AE909" s="1436"/>
      <c r="AZ909" s="34"/>
      <c r="BB909" s="30"/>
      <c r="BC909" s="812"/>
      <c r="BD909" s="1673"/>
      <c r="BE909" s="1673"/>
      <c r="BF909" s="14"/>
    </row>
    <row r="910" spans="1:58" ht="13" customHeight="1">
      <c r="H910" s="121" t="s">
        <v>240</v>
      </c>
      <c r="I910" s="5"/>
      <c r="J910" s="5"/>
      <c r="K910" s="5"/>
      <c r="L910" s="5"/>
      <c r="M910" s="5"/>
      <c r="N910" s="5"/>
      <c r="O910" s="5"/>
      <c r="P910" s="5"/>
      <c r="Q910" s="5"/>
      <c r="R910" s="5"/>
      <c r="S910" s="5"/>
      <c r="T910" s="5"/>
      <c r="U910" s="5"/>
      <c r="V910" s="5"/>
      <c r="W910" s="5"/>
      <c r="X910" s="5"/>
      <c r="Y910" s="5"/>
      <c r="Z910" s="1434"/>
      <c r="AA910" s="1435"/>
      <c r="AB910" s="1435"/>
      <c r="AC910" s="1435"/>
      <c r="AD910" s="1435"/>
      <c r="AE910" s="1436"/>
      <c r="AZ910" s="34"/>
      <c r="BB910" s="30"/>
      <c r="BC910" s="812"/>
      <c r="BD910" s="1672"/>
      <c r="BE910" s="1672"/>
      <c r="BF910" s="14"/>
    </row>
    <row r="911" spans="1:58" ht="13" customHeight="1">
      <c r="H911" s="45"/>
      <c r="I911" s="5"/>
      <c r="J911" s="5"/>
      <c r="K911" s="5"/>
      <c r="L911" s="5"/>
      <c r="M911" s="5"/>
      <c r="N911" s="5"/>
      <c r="O911" s="5"/>
      <c r="P911" s="5"/>
      <c r="Q911" s="5"/>
      <c r="R911" s="5"/>
      <c r="S911" s="5"/>
      <c r="T911" s="5"/>
      <c r="U911" s="5"/>
      <c r="V911" s="5"/>
      <c r="W911" s="5"/>
      <c r="X911" s="5"/>
      <c r="Y911" s="181" t="s">
        <v>241</v>
      </c>
      <c r="Z911" s="1537">
        <f>Z908-(Z909+Z910)</f>
        <v>0</v>
      </c>
      <c r="AA911" s="1538"/>
      <c r="AB911" s="1538"/>
      <c r="AC911" s="1538"/>
      <c r="AD911" s="1538"/>
      <c r="AE911" s="1539"/>
      <c r="AZ911" s="34"/>
      <c r="BB911" s="30"/>
      <c r="BC911" s="812"/>
      <c r="BD911" s="1672"/>
      <c r="BE911" s="1672"/>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2"/>
      <c r="BE912" s="1672"/>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3"/>
      <c r="BE913" s="1672"/>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8"/>
      <c r="BE914" s="1728"/>
      <c r="BF914" s="1728"/>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2"/>
      <c r="BE916" s="1672"/>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3"/>
      <c r="BE917" s="1672"/>
      <c r="BF917" s="14"/>
    </row>
    <row r="918" spans="1:58" ht="13" customHeight="1">
      <c r="AZ918" s="34"/>
      <c r="BB918" s="30"/>
      <c r="BC918" s="812"/>
    </row>
    <row r="919" spans="1:58" ht="13" customHeight="1">
      <c r="A919" s="1467" t="s">
        <v>96</v>
      </c>
      <c r="B919" s="1467"/>
      <c r="C919" s="1467"/>
      <c r="D919" s="1467"/>
      <c r="E919" s="1467"/>
      <c r="F919" s="1467"/>
      <c r="G919" s="1467"/>
      <c r="H919" s="1467"/>
      <c r="I919" s="1467"/>
      <c r="J919" s="1467"/>
      <c r="K919" s="1467"/>
      <c r="L919" s="1467"/>
      <c r="M919" s="1467"/>
      <c r="N919" s="1467"/>
      <c r="O919" s="1467"/>
      <c r="P919" s="1467"/>
      <c r="Q919" s="1467"/>
      <c r="R919" s="1467"/>
      <c r="S919" s="1467"/>
      <c r="T919" s="1467"/>
      <c r="U919" s="1467"/>
      <c r="V919" s="1467"/>
      <c r="W919" s="1467"/>
      <c r="X919" s="1467"/>
      <c r="Y919" s="1467"/>
      <c r="Z919" s="1467"/>
      <c r="AA919" s="1467"/>
      <c r="AB919" s="1467"/>
      <c r="AC919" s="1467"/>
      <c r="AD919" s="1467"/>
      <c r="AE919" s="1467"/>
      <c r="AF919" s="1467"/>
      <c r="AG919" s="1467"/>
      <c r="AH919" s="1467"/>
      <c r="AI919" s="1467"/>
      <c r="AJ919" s="1467"/>
      <c r="AK919" s="1467"/>
      <c r="AL919" s="1467"/>
      <c r="AM919" s="1467"/>
      <c r="AN919" s="1467"/>
      <c r="AO919" s="1467"/>
      <c r="AP919" s="1467"/>
      <c r="AQ919" s="1467"/>
      <c r="AR919" s="1467"/>
      <c r="AS919" s="1467"/>
      <c r="AT919" s="1467"/>
      <c r="AZ919" s="34"/>
      <c r="BA919" s="34"/>
      <c r="BB919" s="30"/>
      <c r="BC919" s="30"/>
      <c r="BD919" s="1673"/>
      <c r="BE919" s="1672"/>
      <c r="BF919" s="907"/>
    </row>
    <row r="920" spans="1:58" ht="13" customHeight="1">
      <c r="A920" s="1467"/>
      <c r="B920" s="1467"/>
      <c r="C920" s="1467"/>
      <c r="D920" s="1467"/>
      <c r="E920" s="1467"/>
      <c r="F920" s="1467"/>
      <c r="G920" s="1467"/>
      <c r="H920" s="1467"/>
      <c r="I920" s="1467"/>
      <c r="J920" s="1467"/>
      <c r="K920" s="1467"/>
      <c r="L920" s="1467"/>
      <c r="M920" s="1467"/>
      <c r="N920" s="1467"/>
      <c r="O920" s="1467"/>
      <c r="P920" s="1467"/>
      <c r="Q920" s="1467"/>
      <c r="R920" s="1467"/>
      <c r="S920" s="1467"/>
      <c r="T920" s="1467"/>
      <c r="U920" s="1467"/>
      <c r="V920" s="1467"/>
      <c r="W920" s="1467"/>
      <c r="X920" s="1467"/>
      <c r="Y920" s="1467"/>
      <c r="Z920" s="1467"/>
      <c r="AA920" s="1467"/>
      <c r="AB920" s="1467"/>
      <c r="AC920" s="1467"/>
      <c r="AD920" s="1467"/>
      <c r="AE920" s="1467"/>
      <c r="AF920" s="1467"/>
      <c r="AG920" s="1467"/>
      <c r="AH920" s="1467"/>
      <c r="AI920" s="1467"/>
      <c r="AJ920" s="1467"/>
      <c r="AK920" s="1467"/>
      <c r="AL920" s="1467"/>
      <c r="AM920" s="1467"/>
      <c r="AN920" s="1467"/>
      <c r="AO920" s="1467"/>
      <c r="AP920" s="1467"/>
      <c r="AQ920" s="1467"/>
      <c r="AR920" s="1467"/>
      <c r="AS920" s="1467"/>
      <c r="AT920" s="146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29" t="s">
        <v>792</v>
      </c>
      <c r="G924" s="1730"/>
      <c r="H924" s="1730"/>
      <c r="I924" s="1730"/>
      <c r="J924" s="1730"/>
      <c r="K924" s="1730"/>
      <c r="L924" s="1730"/>
      <c r="M924" s="1730"/>
      <c r="N924" s="1730"/>
      <c r="O924" s="1730"/>
      <c r="P924" s="1730"/>
      <c r="Q924" s="1730"/>
      <c r="R924" s="1730"/>
      <c r="S924" s="1730"/>
      <c r="T924" s="1731"/>
      <c r="U924" s="1599" t="s">
        <v>31</v>
      </c>
      <c r="V924" s="1600"/>
      <c r="W924" s="1600"/>
      <c r="X924" s="1600"/>
      <c r="Y924" s="1600"/>
      <c r="Z924" s="1600"/>
      <c r="AA924" s="43"/>
      <c r="AB924" s="105"/>
      <c r="AC924" s="105"/>
      <c r="AD924" s="105"/>
      <c r="AE924" s="105"/>
      <c r="AF924" s="106"/>
      <c r="AZ924" s="34"/>
      <c r="BA924" s="34"/>
      <c r="BB924" s="34"/>
      <c r="BC924" s="34"/>
    </row>
    <row r="925" spans="1:58" ht="13" customHeight="1">
      <c r="B925" s="2"/>
      <c r="F925" s="1601" t="s">
        <v>818</v>
      </c>
      <c r="G925" s="1602"/>
      <c r="H925" s="1602"/>
      <c r="I925" s="1602"/>
      <c r="J925" s="1602"/>
      <c r="K925" s="1602"/>
      <c r="L925" s="1602"/>
      <c r="M925" s="1602"/>
      <c r="N925" s="1602"/>
      <c r="O925" s="1602"/>
      <c r="P925" s="1602"/>
      <c r="Q925" s="1602"/>
      <c r="R925" s="1602"/>
      <c r="S925" s="1602"/>
      <c r="T925" s="1639"/>
      <c r="U925" s="1601"/>
      <c r="V925" s="1602"/>
      <c r="W925" s="1602"/>
      <c r="X925" s="1602"/>
      <c r="Y925" s="1602"/>
      <c r="Z925" s="1602"/>
      <c r="AA925" s="44"/>
      <c r="AB925" s="4"/>
      <c r="AC925" s="4"/>
      <c r="AD925" s="4"/>
      <c r="AE925" s="4"/>
      <c r="AF925" s="107"/>
      <c r="AZ925" s="34"/>
      <c r="BA925" s="34"/>
      <c r="BB925" s="34"/>
      <c r="BC925" s="34"/>
    </row>
    <row r="926" spans="1:58" ht="13" customHeight="1">
      <c r="B926" s="2"/>
      <c r="F926" s="1603"/>
      <c r="G926" s="1604"/>
      <c r="H926" s="1604"/>
      <c r="I926" s="1604"/>
      <c r="J926" s="1604"/>
      <c r="K926" s="1604"/>
      <c r="L926" s="1604"/>
      <c r="M926" s="1604"/>
      <c r="N926" s="1604"/>
      <c r="O926" s="1604"/>
      <c r="P926" s="1604"/>
      <c r="Q926" s="1604"/>
      <c r="R926" s="1604"/>
      <c r="S926" s="1604"/>
      <c r="T926" s="1640"/>
      <c r="U926" s="1603"/>
      <c r="V926" s="1604"/>
      <c r="W926" s="1604"/>
      <c r="X926" s="1604"/>
      <c r="Y926" s="1604"/>
      <c r="Z926" s="1604"/>
      <c r="AA926" s="108"/>
      <c r="AB926" s="1463" t="s">
        <v>391</v>
      </c>
      <c r="AC926" s="1463"/>
      <c r="AD926" s="1463"/>
      <c r="AE926" s="1463"/>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76" t="s">
        <v>591</v>
      </c>
      <c r="V927" s="1377"/>
      <c r="W927" s="1377"/>
      <c r="X927" s="1377"/>
      <c r="Y927" s="1377"/>
      <c r="Z927" s="1378"/>
      <c r="AA927" s="1414">
        <f>AM562</f>
        <v>23767000</v>
      </c>
      <c r="AB927" s="1415"/>
      <c r="AC927" s="1415"/>
      <c r="AD927" s="1415"/>
      <c r="AE927" s="1415"/>
      <c r="AF927" s="1416"/>
      <c r="AG927" s="1191" t="str">
        <f>IF(NOT(AA927=AW927),"!","")</f>
        <v/>
      </c>
      <c r="AH927" s="3"/>
      <c r="AW927" s="1342">
        <f>SUMIF($M$562:$M$573,"Loan, Tax-Exempt",$AM$562:$AM$573)</f>
        <v>23767000</v>
      </c>
      <c r="AX927" s="1342"/>
      <c r="AY927" s="1342"/>
      <c r="AZ927" s="3" t="s">
        <v>2540</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76" t="s">
        <v>591</v>
      </c>
      <c r="V928" s="1377"/>
      <c r="W928" s="1377"/>
      <c r="X928" s="1377"/>
      <c r="Y928" s="1377"/>
      <c r="Z928" s="1378"/>
      <c r="AA928" s="1414"/>
      <c r="AB928" s="1415"/>
      <c r="AC928" s="1415"/>
      <c r="AD928" s="1415"/>
      <c r="AE928" s="1415"/>
      <c r="AF928" s="1416"/>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76" t="s">
        <v>591</v>
      </c>
      <c r="V929" s="1377"/>
      <c r="W929" s="1377"/>
      <c r="X929" s="1377"/>
      <c r="Y929" s="1377"/>
      <c r="Z929" s="1378"/>
      <c r="AA929" s="1414"/>
      <c r="AB929" s="1415"/>
      <c r="AC929" s="1415"/>
      <c r="AD929" s="1415"/>
      <c r="AE929" s="1415"/>
      <c r="AF929" s="1416"/>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76" t="s">
        <v>591</v>
      </c>
      <c r="V930" s="1377"/>
      <c r="W930" s="1377"/>
      <c r="X930" s="1377"/>
      <c r="Y930" s="1377"/>
      <c r="Z930" s="1378"/>
      <c r="AA930" s="1414"/>
      <c r="AB930" s="1415"/>
      <c r="AC930" s="1415"/>
      <c r="AD930" s="1415"/>
      <c r="AE930" s="1415"/>
      <c r="AF930" s="1416"/>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76" t="s">
        <v>591</v>
      </c>
      <c r="V931" s="1377"/>
      <c r="W931" s="1377"/>
      <c r="X931" s="1377"/>
      <c r="Y931" s="1377"/>
      <c r="Z931" s="1378"/>
      <c r="AA931" s="1414"/>
      <c r="AB931" s="1415"/>
      <c r="AC931" s="1415"/>
      <c r="AD931" s="1415"/>
      <c r="AE931" s="1415"/>
      <c r="AF931" s="1416"/>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76" t="s">
        <v>591</v>
      </c>
      <c r="V932" s="1377"/>
      <c r="W932" s="1377"/>
      <c r="X932" s="1377"/>
      <c r="Y932" s="1377"/>
      <c r="Z932" s="1378"/>
      <c r="AA932" s="1414"/>
      <c r="AB932" s="1415"/>
      <c r="AC932" s="1415"/>
      <c r="AD932" s="1415"/>
      <c r="AE932" s="1415"/>
      <c r="AF932" s="1416"/>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76" t="s">
        <v>591</v>
      </c>
      <c r="V933" s="1377"/>
      <c r="W933" s="1377"/>
      <c r="X933" s="1377"/>
      <c r="Y933" s="1377"/>
      <c r="Z933" s="1378"/>
      <c r="AA933" s="1414"/>
      <c r="AB933" s="1415"/>
      <c r="AC933" s="1415"/>
      <c r="AD933" s="1415"/>
      <c r="AE933" s="1415"/>
      <c r="AF933" s="1416"/>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76" t="s">
        <v>591</v>
      </c>
      <c r="V934" s="1377"/>
      <c r="W934" s="1377"/>
      <c r="X934" s="1377"/>
      <c r="Y934" s="1377"/>
      <c r="Z934" s="1378"/>
      <c r="AA934" s="1414"/>
      <c r="AB934" s="1415"/>
      <c r="AC934" s="1415"/>
      <c r="AD934" s="1415"/>
      <c r="AE934" s="1415"/>
      <c r="AF934" s="1416"/>
      <c r="AZ934" s="34"/>
      <c r="BA934" s="34"/>
      <c r="BB934" s="34"/>
      <c r="BC934" s="34"/>
    </row>
    <row r="935" spans="6:55" ht="13" customHeight="1">
      <c r="F935" s="1641" t="s">
        <v>2148</v>
      </c>
      <c r="G935" s="1642"/>
      <c r="H935" s="1642"/>
      <c r="I935" s="1642"/>
      <c r="J935" s="1642"/>
      <c r="K935" s="1642"/>
      <c r="L935" s="1642"/>
      <c r="M935" s="1642"/>
      <c r="N935" s="1642"/>
      <c r="O935" s="1642"/>
      <c r="P935" s="1642"/>
      <c r="Q935" s="1642"/>
      <c r="R935" s="1642"/>
      <c r="S935" s="1642"/>
      <c r="T935" s="1643"/>
      <c r="U935" s="1376" t="s">
        <v>591</v>
      </c>
      <c r="V935" s="1377"/>
      <c r="W935" s="1377"/>
      <c r="X935" s="1377"/>
      <c r="Y935" s="1377"/>
      <c r="Z935" s="1378"/>
      <c r="AA935" s="1414"/>
      <c r="AB935" s="1415"/>
      <c r="AC935" s="1415"/>
      <c r="AD935" s="1415"/>
      <c r="AE935" s="1415"/>
      <c r="AF935" s="1416"/>
      <c r="AZ935" s="34"/>
      <c r="BA935" s="34"/>
      <c r="BB935" s="34"/>
      <c r="BC935" s="34"/>
    </row>
    <row r="936" spans="6:55" ht="13" customHeight="1">
      <c r="F936" s="1641" t="s">
        <v>679</v>
      </c>
      <c r="G936" s="1642"/>
      <c r="H936" s="1642"/>
      <c r="I936" s="1642"/>
      <c r="J936" s="1642"/>
      <c r="K936" s="1642"/>
      <c r="L936" s="1642"/>
      <c r="M936" s="1642"/>
      <c r="N936" s="1642"/>
      <c r="O936" s="1642"/>
      <c r="P936" s="1642"/>
      <c r="Q936" s="1642"/>
      <c r="R936" s="1642"/>
      <c r="S936" s="1642"/>
      <c r="T936" s="1643"/>
      <c r="U936" s="1376" t="s">
        <v>591</v>
      </c>
      <c r="V936" s="1377"/>
      <c r="W936" s="1377"/>
      <c r="X936" s="1377"/>
      <c r="Y936" s="1377"/>
      <c r="Z936" s="1378"/>
      <c r="AA936" s="1414"/>
      <c r="AB936" s="1415"/>
      <c r="AC936" s="1415"/>
      <c r="AD936" s="1415"/>
      <c r="AE936" s="1415"/>
      <c r="AF936" s="1416"/>
      <c r="AU936" s="2"/>
      <c r="AZ936" s="34"/>
      <c r="BA936" s="34"/>
      <c r="BB936" s="34"/>
      <c r="BC936" s="34"/>
    </row>
    <row r="937" spans="6:55" ht="13" customHeight="1">
      <c r="F937" s="1641" t="s">
        <v>2149</v>
      </c>
      <c r="G937" s="1642"/>
      <c r="H937" s="1642"/>
      <c r="I937" s="1642"/>
      <c r="J937" s="1642"/>
      <c r="K937" s="1642"/>
      <c r="L937" s="1642"/>
      <c r="M937" s="1642"/>
      <c r="N937" s="1642"/>
      <c r="O937" s="1642"/>
      <c r="P937" s="1642"/>
      <c r="Q937" s="1642"/>
      <c r="R937" s="1642"/>
      <c r="S937" s="1642"/>
      <c r="T937" s="1643"/>
      <c r="U937" s="1376" t="s">
        <v>591</v>
      </c>
      <c r="V937" s="1377"/>
      <c r="W937" s="1377"/>
      <c r="X937" s="1377"/>
      <c r="Y937" s="1377"/>
      <c r="Z937" s="1378"/>
      <c r="AA937" s="1414"/>
      <c r="AB937" s="1415"/>
      <c r="AC937" s="1415"/>
      <c r="AD937" s="1415"/>
      <c r="AE937" s="1415"/>
      <c r="AF937" s="1416"/>
      <c r="AU937" s="2"/>
      <c r="AZ937" s="34"/>
      <c r="BA937" s="34"/>
      <c r="BB937" s="34"/>
      <c r="BC937" s="34"/>
    </row>
    <row r="938" spans="6:55" ht="13" customHeight="1">
      <c r="F938" s="1641" t="s">
        <v>2150</v>
      </c>
      <c r="G938" s="1642"/>
      <c r="H938" s="1642"/>
      <c r="I938" s="1642"/>
      <c r="J938" s="1642"/>
      <c r="K938" s="1642"/>
      <c r="L938" s="1642"/>
      <c r="M938" s="1642"/>
      <c r="N938" s="1642"/>
      <c r="O938" s="1642"/>
      <c r="P938" s="1642"/>
      <c r="Q938" s="1642"/>
      <c r="R938" s="1642"/>
      <c r="S938" s="1642"/>
      <c r="T938" s="1643"/>
      <c r="U938" s="1376" t="s">
        <v>591</v>
      </c>
      <c r="V938" s="1377"/>
      <c r="W938" s="1377"/>
      <c r="X938" s="1377"/>
      <c r="Y938" s="1377"/>
      <c r="Z938" s="1378"/>
      <c r="AA938" s="1414"/>
      <c r="AB938" s="1415"/>
      <c r="AC938" s="1415"/>
      <c r="AD938" s="1415"/>
      <c r="AE938" s="1415"/>
      <c r="AF938" s="1416"/>
      <c r="AU938" s="2"/>
      <c r="AZ938" s="34"/>
      <c r="BA938" s="34"/>
      <c r="BB938" s="34"/>
      <c r="BC938" s="34"/>
    </row>
    <row r="939" spans="6:55" ht="13" customHeight="1">
      <c r="F939" s="1641" t="s">
        <v>2151</v>
      </c>
      <c r="G939" s="1642"/>
      <c r="H939" s="1642"/>
      <c r="I939" s="1642"/>
      <c r="J939" s="1642"/>
      <c r="K939" s="1642"/>
      <c r="L939" s="1642"/>
      <c r="M939" s="1642"/>
      <c r="N939" s="1642"/>
      <c r="O939" s="1642"/>
      <c r="P939" s="1642"/>
      <c r="Q939" s="1642"/>
      <c r="R939" s="1642"/>
      <c r="S939" s="1642"/>
      <c r="T939" s="1643"/>
      <c r="U939" s="1376" t="s">
        <v>591</v>
      </c>
      <c r="V939" s="1377"/>
      <c r="W939" s="1377"/>
      <c r="X939" s="1377"/>
      <c r="Y939" s="1377"/>
      <c r="Z939" s="1378"/>
      <c r="AA939" s="1414"/>
      <c r="AB939" s="1415"/>
      <c r="AC939" s="1415"/>
      <c r="AD939" s="1415"/>
      <c r="AE939" s="1415"/>
      <c r="AF939" s="1416"/>
      <c r="AU939" s="2"/>
      <c r="AZ939" s="34"/>
      <c r="BA939" s="34"/>
      <c r="BB939" s="34"/>
      <c r="BC939" s="34"/>
    </row>
    <row r="940" spans="6:55" ht="13" customHeight="1">
      <c r="F940" s="1641" t="s">
        <v>2152</v>
      </c>
      <c r="G940" s="1642"/>
      <c r="H940" s="1642"/>
      <c r="I940" s="1642"/>
      <c r="J940" s="1642"/>
      <c r="K940" s="1642"/>
      <c r="L940" s="1642"/>
      <c r="M940" s="1642"/>
      <c r="N940" s="1642"/>
      <c r="O940" s="1642"/>
      <c r="P940" s="1642"/>
      <c r="Q940" s="1642"/>
      <c r="R940" s="1642"/>
      <c r="S940" s="1642"/>
      <c r="T940" s="1643"/>
      <c r="U940" s="1376" t="s">
        <v>591</v>
      </c>
      <c r="V940" s="1377"/>
      <c r="W940" s="1377"/>
      <c r="X940" s="1377"/>
      <c r="Y940" s="1377"/>
      <c r="Z940" s="1378"/>
      <c r="AA940" s="1414"/>
      <c r="AB940" s="1415"/>
      <c r="AC940" s="1415"/>
      <c r="AD940" s="1415"/>
      <c r="AE940" s="1415"/>
      <c r="AF940" s="1416"/>
      <c r="AU940" s="2"/>
      <c r="AZ940" s="34"/>
      <c r="BA940" s="34"/>
      <c r="BB940" s="34"/>
      <c r="BC940" s="34"/>
    </row>
    <row r="941" spans="6:55" ht="13" customHeight="1">
      <c r="F941" s="1641" t="s">
        <v>2153</v>
      </c>
      <c r="G941" s="1642"/>
      <c r="H941" s="1642"/>
      <c r="I941" s="1642"/>
      <c r="J941" s="1642"/>
      <c r="K941" s="1642"/>
      <c r="L941" s="1642"/>
      <c r="M941" s="1642"/>
      <c r="N941" s="1642"/>
      <c r="O941" s="1642"/>
      <c r="P941" s="1642"/>
      <c r="Q941" s="1642"/>
      <c r="R941" s="1642"/>
      <c r="S941" s="1642"/>
      <c r="T941" s="1643"/>
      <c r="U941" s="1376" t="s">
        <v>591</v>
      </c>
      <c r="V941" s="1377"/>
      <c r="W941" s="1377"/>
      <c r="X941" s="1377"/>
      <c r="Y941" s="1377"/>
      <c r="Z941" s="1378"/>
      <c r="AA941" s="1414"/>
      <c r="AB941" s="1415"/>
      <c r="AC941" s="1415"/>
      <c r="AD941" s="1415"/>
      <c r="AE941" s="1415"/>
      <c r="AF941" s="1416"/>
      <c r="AZ941" s="30"/>
      <c r="BA941" s="30"/>
    </row>
    <row r="942" spans="6:55" ht="13" customHeight="1">
      <c r="F942" s="178" t="s">
        <v>676</v>
      </c>
      <c r="G942" s="5"/>
      <c r="H942" s="5"/>
      <c r="I942" s="5"/>
      <c r="J942" s="5"/>
      <c r="K942" s="5"/>
      <c r="L942" s="5"/>
      <c r="M942" s="5"/>
      <c r="N942" s="5"/>
      <c r="O942" s="5"/>
      <c r="P942" s="5"/>
      <c r="Q942" s="5"/>
      <c r="R942" s="5"/>
      <c r="S942" s="5"/>
      <c r="T942" s="46"/>
      <c r="U942" s="1376" t="s">
        <v>591</v>
      </c>
      <c r="V942" s="1377"/>
      <c r="W942" s="1377"/>
      <c r="X942" s="1377"/>
      <c r="Y942" s="1377"/>
      <c r="Z942" s="1378"/>
      <c r="AA942" s="1414"/>
      <c r="AB942" s="1415"/>
      <c r="AC942" s="1415"/>
      <c r="AD942" s="1415"/>
      <c r="AE942" s="1415"/>
      <c r="AF942" s="1416"/>
    </row>
    <row r="943" spans="6:55" ht="13" customHeight="1">
      <c r="F943" s="121" t="s">
        <v>1277</v>
      </c>
      <c r="G943" s="5"/>
      <c r="H943" s="5"/>
      <c r="I943" s="5"/>
      <c r="J943" s="5"/>
      <c r="K943" s="5"/>
      <c r="L943" s="5"/>
      <c r="M943" s="5"/>
      <c r="N943" s="5"/>
      <c r="O943" s="5"/>
      <c r="P943" s="5"/>
      <c r="Q943" s="5"/>
      <c r="R943" s="5"/>
      <c r="S943" s="5"/>
      <c r="T943" s="46"/>
      <c r="U943" s="1376" t="s">
        <v>591</v>
      </c>
      <c r="V943" s="1377"/>
      <c r="W943" s="1377"/>
      <c r="X943" s="1377"/>
      <c r="Y943" s="1377"/>
      <c r="Z943" s="1378"/>
      <c r="AA943" s="1414"/>
      <c r="AB943" s="1415"/>
      <c r="AC943" s="1415"/>
      <c r="AD943" s="1415"/>
      <c r="AE943" s="1415"/>
      <c r="AF943" s="1416"/>
      <c r="AZ943" s="30"/>
      <c r="BA943" s="14"/>
    </row>
    <row r="944" spans="6:55" ht="13" customHeight="1">
      <c r="F944" s="66" t="s">
        <v>802</v>
      </c>
      <c r="G944" s="5"/>
      <c r="H944" s="5"/>
      <c r="I944" s="5"/>
      <c r="J944" s="5"/>
      <c r="K944" s="5"/>
      <c r="L944" s="5"/>
      <c r="M944" s="5"/>
      <c r="N944" s="5"/>
      <c r="O944" s="5"/>
      <c r="P944" s="5"/>
      <c r="Q944" s="5"/>
      <c r="R944" s="5"/>
      <c r="S944" s="5"/>
      <c r="T944" s="46"/>
      <c r="U944" s="1376" t="s">
        <v>591</v>
      </c>
      <c r="V944" s="1377"/>
      <c r="W944" s="1377"/>
      <c r="X944" s="1377"/>
      <c r="Y944" s="1377"/>
      <c r="Z944" s="1378"/>
      <c r="AA944" s="1414"/>
      <c r="AB944" s="1415"/>
      <c r="AC944" s="1415"/>
      <c r="AD944" s="1415"/>
      <c r="AE944" s="1415"/>
      <c r="AF944" s="1416"/>
      <c r="AZ944" s="30"/>
      <c r="BA944" s="14"/>
    </row>
    <row r="945" spans="6:55" ht="13" customHeight="1">
      <c r="F945" s="1682" t="s">
        <v>2157</v>
      </c>
      <c r="G945" s="1683"/>
      <c r="H945" s="1683"/>
      <c r="I945" s="1683"/>
      <c r="J945" s="1683"/>
      <c r="K945" s="1683"/>
      <c r="L945" s="1683"/>
      <c r="M945" s="1683"/>
      <c r="N945" s="1683"/>
      <c r="O945" s="1683"/>
      <c r="P945" s="1683"/>
      <c r="Q945" s="1683"/>
      <c r="R945" s="1683"/>
      <c r="S945" s="1683"/>
      <c r="T945" s="1684"/>
      <c r="U945" s="1376" t="s">
        <v>591</v>
      </c>
      <c r="V945" s="1377"/>
      <c r="W945" s="1377"/>
      <c r="X945" s="1377"/>
      <c r="Y945" s="1377"/>
      <c r="Z945" s="1378"/>
      <c r="AA945" s="1414"/>
      <c r="AB945" s="1415"/>
      <c r="AC945" s="1415"/>
      <c r="AD945" s="1415"/>
      <c r="AE945" s="1415"/>
      <c r="AF945" s="1416"/>
      <c r="AZ945" s="30"/>
      <c r="BA945" s="14"/>
    </row>
    <row r="946" spans="6:55" ht="13" customHeight="1">
      <c r="F946" s="1682" t="s">
        <v>2158</v>
      </c>
      <c r="G946" s="1683"/>
      <c r="H946" s="1683"/>
      <c r="I946" s="1683"/>
      <c r="J946" s="1683"/>
      <c r="K946" s="1683"/>
      <c r="L946" s="1683"/>
      <c r="M946" s="1683"/>
      <c r="N946" s="1683"/>
      <c r="O946" s="1683"/>
      <c r="P946" s="1683"/>
      <c r="Q946" s="1683"/>
      <c r="R946" s="1683"/>
      <c r="S946" s="1683"/>
      <c r="T946" s="1684"/>
      <c r="U946" s="1376" t="s">
        <v>591</v>
      </c>
      <c r="V946" s="1377"/>
      <c r="W946" s="1377"/>
      <c r="X946" s="1377"/>
      <c r="Y946" s="1377"/>
      <c r="Z946" s="1378"/>
      <c r="AA946" s="1414"/>
      <c r="AB946" s="1415"/>
      <c r="AC946" s="1415"/>
      <c r="AD946" s="1415"/>
      <c r="AE946" s="1415"/>
      <c r="AF946" s="1416"/>
      <c r="AZ946" s="30"/>
      <c r="BA946" s="30"/>
    </row>
    <row r="947" spans="6:55" ht="13" customHeight="1">
      <c r="F947" s="1641" t="s">
        <v>2154</v>
      </c>
      <c r="G947" s="1642"/>
      <c r="H947" s="1642"/>
      <c r="I947" s="1642"/>
      <c r="J947" s="1642"/>
      <c r="K947" s="1642"/>
      <c r="L947" s="1642"/>
      <c r="M947" s="1642"/>
      <c r="N947" s="1642"/>
      <c r="O947" s="1642"/>
      <c r="P947" s="1642"/>
      <c r="Q947" s="1642"/>
      <c r="R947" s="1642"/>
      <c r="S947" s="1642"/>
      <c r="T947" s="1643"/>
      <c r="U947" s="1376" t="s">
        <v>591</v>
      </c>
      <c r="V947" s="1377"/>
      <c r="W947" s="1377"/>
      <c r="X947" s="1377"/>
      <c r="Y947" s="1377"/>
      <c r="Z947" s="1378"/>
      <c r="AA947" s="1414"/>
      <c r="AB947" s="1415"/>
      <c r="AC947" s="1415"/>
      <c r="AD947" s="1415"/>
      <c r="AE947" s="1415"/>
      <c r="AF947" s="1416"/>
      <c r="AZ947" s="30"/>
      <c r="BA947" s="30"/>
    </row>
    <row r="948" spans="6:55" ht="13" customHeight="1">
      <c r="F948" s="1641" t="s">
        <v>2155</v>
      </c>
      <c r="G948" s="1642"/>
      <c r="H948" s="1642"/>
      <c r="I948" s="1642"/>
      <c r="J948" s="1642"/>
      <c r="K948" s="1642"/>
      <c r="L948" s="1642"/>
      <c r="M948" s="1642"/>
      <c r="N948" s="1642"/>
      <c r="O948" s="1642"/>
      <c r="P948" s="1642"/>
      <c r="Q948" s="1642"/>
      <c r="R948" s="1642"/>
      <c r="S948" s="1642"/>
      <c r="T948" s="1643"/>
      <c r="U948" s="1376" t="s">
        <v>591</v>
      </c>
      <c r="V948" s="1377"/>
      <c r="W948" s="1377"/>
      <c r="X948" s="1377"/>
      <c r="Y948" s="1377"/>
      <c r="Z948" s="1378"/>
      <c r="AA948" s="1414"/>
      <c r="AB948" s="1415"/>
      <c r="AC948" s="1415"/>
      <c r="AD948" s="1415"/>
      <c r="AE948" s="1415"/>
      <c r="AF948" s="1416"/>
      <c r="AZ948" s="30"/>
      <c r="BA948" s="30"/>
    </row>
    <row r="949" spans="6:55" ht="13" customHeight="1">
      <c r="F949" s="1641" t="s">
        <v>2156</v>
      </c>
      <c r="G949" s="1642"/>
      <c r="H949" s="1642"/>
      <c r="I949" s="1642"/>
      <c r="J949" s="1642"/>
      <c r="K949" s="1642"/>
      <c r="L949" s="1642"/>
      <c r="M949" s="1642"/>
      <c r="N949" s="1642"/>
      <c r="O949" s="1642"/>
      <c r="P949" s="1642"/>
      <c r="Q949" s="1642"/>
      <c r="R949" s="1642"/>
      <c r="S949" s="1642"/>
      <c r="T949" s="1643"/>
      <c r="U949" s="1376" t="s">
        <v>591</v>
      </c>
      <c r="V949" s="1377"/>
      <c r="W949" s="1377"/>
      <c r="X949" s="1377"/>
      <c r="Y949" s="1377"/>
      <c r="Z949" s="1378"/>
      <c r="AA949" s="1414"/>
      <c r="AB949" s="1415"/>
      <c r="AC949" s="1415"/>
      <c r="AD949" s="1415"/>
      <c r="AE949" s="1415"/>
      <c r="AF949" s="1416"/>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76" t="s">
        <v>591</v>
      </c>
      <c r="V950" s="1377"/>
      <c r="W950" s="1377"/>
      <c r="X950" s="1377"/>
      <c r="Y950" s="1377"/>
      <c r="Z950" s="1378"/>
      <c r="AA950" s="1414"/>
      <c r="AB950" s="1415"/>
      <c r="AC950" s="1415"/>
      <c r="AD950" s="1415"/>
      <c r="AE950" s="1415"/>
      <c r="AF950" s="1416"/>
      <c r="AZ950" s="34"/>
      <c r="BA950" s="34"/>
      <c r="BB950" s="14"/>
      <c r="BC950" s="14"/>
    </row>
    <row r="951" spans="6:55" ht="13" customHeight="1">
      <c r="F951" s="1682" t="s">
        <v>2159</v>
      </c>
      <c r="G951" s="1683"/>
      <c r="H951" s="1683"/>
      <c r="I951" s="1683"/>
      <c r="J951" s="1683"/>
      <c r="K951" s="1683"/>
      <c r="L951" s="1683"/>
      <c r="M951" s="1683"/>
      <c r="N951" s="1683"/>
      <c r="O951" s="1683"/>
      <c r="P951" s="1683"/>
      <c r="Q951" s="1683"/>
      <c r="R951" s="1683"/>
      <c r="S951" s="1683"/>
      <c r="T951" s="1684"/>
      <c r="U951" s="1376" t="s">
        <v>591</v>
      </c>
      <c r="V951" s="1377"/>
      <c r="W951" s="1377"/>
      <c r="X951" s="1377"/>
      <c r="Y951" s="1377"/>
      <c r="Z951" s="1378"/>
      <c r="AA951" s="1414"/>
      <c r="AB951" s="1415"/>
      <c r="AC951" s="1415"/>
      <c r="AD951" s="1415"/>
      <c r="AE951" s="1415"/>
      <c r="AF951" s="1416"/>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76" t="s">
        <v>591</v>
      </c>
      <c r="V952" s="1377"/>
      <c r="W952" s="1377"/>
      <c r="X952" s="1377"/>
      <c r="Y952" s="1377"/>
      <c r="Z952" s="1378"/>
      <c r="AA952" s="1414"/>
      <c r="AB952" s="1415"/>
      <c r="AC952" s="1415"/>
      <c r="AD952" s="1415"/>
      <c r="AE952" s="1415"/>
      <c r="AF952" s="1416"/>
      <c r="AZ952" s="34"/>
      <c r="BA952" s="34"/>
      <c r="BB952" s="34"/>
      <c r="BC952" s="34"/>
    </row>
    <row r="953" spans="6:55" ht="13" customHeight="1">
      <c r="F953" s="1682" t="s">
        <v>2160</v>
      </c>
      <c r="G953" s="1683"/>
      <c r="H953" s="1683"/>
      <c r="I953" s="1683"/>
      <c r="J953" s="1683"/>
      <c r="K953" s="1683"/>
      <c r="L953" s="1683"/>
      <c r="M953" s="1683"/>
      <c r="N953" s="1683"/>
      <c r="O953" s="1683"/>
      <c r="P953" s="1683"/>
      <c r="Q953" s="1683"/>
      <c r="R953" s="1683"/>
      <c r="S953" s="1683"/>
      <c r="T953" s="1684"/>
      <c r="U953" s="1376" t="s">
        <v>591</v>
      </c>
      <c r="V953" s="1377"/>
      <c r="W953" s="1377"/>
      <c r="X953" s="1377"/>
      <c r="Y953" s="1377"/>
      <c r="Z953" s="1378"/>
      <c r="AA953" s="1414"/>
      <c r="AB953" s="1415"/>
      <c r="AC953" s="1415"/>
      <c r="AD953" s="1415"/>
      <c r="AE953" s="1415"/>
      <c r="AF953" s="1416"/>
      <c r="AZ953" s="34"/>
      <c r="BA953" s="34"/>
      <c r="BB953" s="34"/>
      <c r="BC953" s="34"/>
    </row>
    <row r="954" spans="6:55" ht="13" customHeight="1">
      <c r="F954" s="45" t="s">
        <v>806</v>
      </c>
      <c r="G954" s="5"/>
      <c r="H954" s="5"/>
      <c r="I954" s="5"/>
      <c r="J954" s="5"/>
      <c r="K954" s="5"/>
      <c r="L954" s="5"/>
      <c r="M954" s="5"/>
      <c r="N954" s="5"/>
      <c r="O954" s="5"/>
      <c r="P954" s="1376" t="s">
        <v>669</v>
      </c>
      <c r="Q954" s="1377"/>
      <c r="R954" s="1377"/>
      <c r="S954" s="1377"/>
      <c r="T954" s="1378"/>
      <c r="U954" s="1376" t="s">
        <v>591</v>
      </c>
      <c r="V954" s="1377"/>
      <c r="W954" s="1377"/>
      <c r="X954" s="1377"/>
      <c r="Y954" s="1377"/>
      <c r="Z954" s="1378"/>
      <c r="AA954" s="1414"/>
      <c r="AB954" s="1415"/>
      <c r="AC954" s="1415"/>
      <c r="AD954" s="1415"/>
      <c r="AE954" s="1415"/>
      <c r="AF954" s="1416"/>
      <c r="AZ954" s="34"/>
      <c r="BA954" s="34"/>
      <c r="BB954" s="34"/>
      <c r="BC954" s="34"/>
    </row>
    <row r="955" spans="6:55" ht="13" customHeight="1">
      <c r="F955" s="1641" t="s">
        <v>2147</v>
      </c>
      <c r="G955" s="1642"/>
      <c r="H955" s="1643"/>
      <c r="I955" s="1653" t="s">
        <v>334</v>
      </c>
      <c r="J955" s="1654"/>
      <c r="K955" s="1654"/>
      <c r="L955" s="1654"/>
      <c r="M955" s="1654"/>
      <c r="N955" s="1654"/>
      <c r="O955" s="1654"/>
      <c r="P955" s="1654"/>
      <c r="Q955" s="1654"/>
      <c r="R955" s="1654"/>
      <c r="S955" s="1654"/>
      <c r="T955" s="1655"/>
      <c r="U955" s="1376" t="s">
        <v>591</v>
      </c>
      <c r="V955" s="1377"/>
      <c r="W955" s="1377"/>
      <c r="X955" s="1377"/>
      <c r="Y955" s="1377"/>
      <c r="Z955" s="1378"/>
      <c r="AA955" s="1414"/>
      <c r="AB955" s="1415"/>
      <c r="AC955" s="1415"/>
      <c r="AD955" s="1415"/>
      <c r="AE955" s="1415"/>
      <c r="AF955" s="1416"/>
      <c r="AZ955" s="34"/>
      <c r="BA955" s="34"/>
      <c r="BB955" s="34"/>
      <c r="BC955" s="34"/>
    </row>
    <row r="956" spans="6:55" ht="13" customHeight="1">
      <c r="F956" s="45" t="s">
        <v>86</v>
      </c>
      <c r="G956" s="48"/>
      <c r="H956" s="48"/>
      <c r="I956" s="1653" t="s">
        <v>334</v>
      </c>
      <c r="J956" s="1654"/>
      <c r="K956" s="1654"/>
      <c r="L956" s="1654"/>
      <c r="M956" s="1654"/>
      <c r="N956" s="1654"/>
      <c r="O956" s="1654"/>
      <c r="P956" s="1654"/>
      <c r="Q956" s="1654"/>
      <c r="R956" s="1654"/>
      <c r="S956" s="1654"/>
      <c r="T956" s="1655"/>
      <c r="U956" s="1376" t="s">
        <v>591</v>
      </c>
      <c r="V956" s="1377"/>
      <c r="W956" s="1377"/>
      <c r="X956" s="1377"/>
      <c r="Y956" s="1377"/>
      <c r="Z956" s="1378"/>
      <c r="AA956" s="1414"/>
      <c r="AB956" s="1415"/>
      <c r="AC956" s="1415"/>
      <c r="AD956" s="1415"/>
      <c r="AE956" s="1415"/>
      <c r="AF956" s="1416"/>
      <c r="AZ956" s="34"/>
      <c r="BA956" s="34"/>
      <c r="BB956" s="34"/>
      <c r="BC956" s="34"/>
    </row>
    <row r="957" spans="6:55" ht="13" customHeight="1">
      <c r="F957" s="45" t="s">
        <v>10</v>
      </c>
      <c r="G957" s="48"/>
      <c r="H957" s="48"/>
      <c r="I957" s="1625" t="s">
        <v>334</v>
      </c>
      <c r="J957" s="1626"/>
      <c r="K957" s="1626"/>
      <c r="L957" s="1626"/>
      <c r="M957" s="1626"/>
      <c r="N957" s="1626"/>
      <c r="O957" s="1626"/>
      <c r="P957" s="1626"/>
      <c r="Q957" s="1626"/>
      <c r="R957" s="1626"/>
      <c r="S957" s="1626"/>
      <c r="T957" s="1627"/>
      <c r="U957" s="1376" t="s">
        <v>591</v>
      </c>
      <c r="V957" s="1377"/>
      <c r="W957" s="1377"/>
      <c r="X957" s="1377"/>
      <c r="Y957" s="1377"/>
      <c r="Z957" s="1378"/>
      <c r="AA957" s="1414"/>
      <c r="AB957" s="1415"/>
      <c r="AC957" s="1415"/>
      <c r="AD957" s="1415"/>
      <c r="AE957" s="1415"/>
      <c r="AF957" s="1416"/>
      <c r="AV957" s="2"/>
      <c r="AW957" s="2"/>
      <c r="AX957" s="2"/>
      <c r="AY957" s="2"/>
      <c r="AZ957" s="34"/>
      <c r="BA957" s="34"/>
      <c r="BB957" s="34"/>
      <c r="BC957" s="34"/>
    </row>
    <row r="958" spans="6:55" ht="13" customHeight="1">
      <c r="F958" s="47" t="s">
        <v>170</v>
      </c>
      <c r="G958" s="48"/>
      <c r="H958" s="48"/>
      <c r="I958" s="1625" t="s">
        <v>334</v>
      </c>
      <c r="J958" s="1626"/>
      <c r="K958" s="1626"/>
      <c r="L958" s="1626"/>
      <c r="M958" s="1626"/>
      <c r="N958" s="1626"/>
      <c r="O958" s="1626"/>
      <c r="P958" s="1626"/>
      <c r="Q958" s="1626"/>
      <c r="R958" s="1626"/>
      <c r="S958" s="1626"/>
      <c r="T958" s="1627"/>
      <c r="U958" s="1376" t="s">
        <v>591</v>
      </c>
      <c r="V958" s="1377"/>
      <c r="W958" s="1377"/>
      <c r="X958" s="1377"/>
      <c r="Y958" s="1377"/>
      <c r="Z958" s="1378"/>
      <c r="AA958" s="1414"/>
      <c r="AB958" s="1415"/>
      <c r="AC958" s="1415"/>
      <c r="AD958" s="1415"/>
      <c r="AE958" s="1415"/>
      <c r="AF958" s="1416"/>
      <c r="AU958" s="2"/>
      <c r="AZ958" s="34"/>
      <c r="BA958" s="34"/>
      <c r="BB958" s="34"/>
      <c r="BC958" s="34"/>
    </row>
    <row r="959" spans="6:55" ht="13" customHeight="1">
      <c r="F959" s="47" t="s">
        <v>170</v>
      </c>
      <c r="G959" s="48"/>
      <c r="H959" s="48"/>
      <c r="I959" s="1625" t="s">
        <v>334</v>
      </c>
      <c r="J959" s="1626"/>
      <c r="K959" s="1626"/>
      <c r="L959" s="1626"/>
      <c r="M959" s="1626"/>
      <c r="N959" s="1626"/>
      <c r="O959" s="1626"/>
      <c r="P959" s="1626"/>
      <c r="Q959" s="1626"/>
      <c r="R959" s="1626"/>
      <c r="S959" s="1626"/>
      <c r="T959" s="1627"/>
      <c r="U959" s="1376" t="s">
        <v>591</v>
      </c>
      <c r="V959" s="1377"/>
      <c r="W959" s="1377"/>
      <c r="X959" s="1377"/>
      <c r="Y959" s="1377"/>
      <c r="Z959" s="1378"/>
      <c r="AA959" s="1414"/>
      <c r="AB959" s="1415"/>
      <c r="AC959" s="1415"/>
      <c r="AD959" s="1415"/>
      <c r="AE959" s="1415"/>
      <c r="AF959" s="1416"/>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2"/>
      <c r="N964" s="1623"/>
      <c r="O964" s="1623"/>
      <c r="P964" s="1623"/>
      <c r="Q964" s="1623"/>
      <c r="R964" s="1623"/>
      <c r="S964" s="1624"/>
      <c r="U964" s="66" t="s">
        <v>11</v>
      </c>
      <c r="V964" s="5"/>
      <c r="W964" s="5"/>
      <c r="X964" s="5"/>
      <c r="Y964" s="5"/>
      <c r="Z964" s="5"/>
      <c r="AA964" s="5"/>
      <c r="AB964" s="5"/>
      <c r="AC964" s="5"/>
      <c r="AD964" s="46"/>
      <c r="AE964" s="1622"/>
      <c r="AF964" s="1623"/>
      <c r="AG964" s="1623"/>
      <c r="AH964" s="1623"/>
      <c r="AI964" s="1623"/>
      <c r="AJ964" s="1623"/>
      <c r="AK964" s="1624"/>
      <c r="AZ964" s="34"/>
      <c r="BA964" s="34"/>
      <c r="BB964" s="34"/>
      <c r="BC964" s="34"/>
    </row>
    <row r="965" spans="1:64" ht="13" customHeight="1">
      <c r="C965" s="66" t="s">
        <v>12</v>
      </c>
      <c r="D965" s="5"/>
      <c r="E965" s="5"/>
      <c r="F965" s="5"/>
      <c r="G965" s="5"/>
      <c r="H965" s="5"/>
      <c r="I965" s="5"/>
      <c r="J965" s="5"/>
      <c r="K965" s="5"/>
      <c r="L965" s="46"/>
      <c r="M965" s="1382"/>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3" customHeight="1">
      <c r="C966" s="66" t="s">
        <v>880</v>
      </c>
      <c r="D966" s="5"/>
      <c r="E966" s="5"/>
      <c r="J966" s="1385" t="s">
        <v>307</v>
      </c>
      <c r="K966" s="1386"/>
      <c r="L966" s="1386"/>
      <c r="M966" s="1386"/>
      <c r="N966" s="1386"/>
      <c r="O966" s="1386"/>
      <c r="P966" s="1386"/>
      <c r="Q966" s="1386"/>
      <c r="R966" s="1386"/>
      <c r="S966" s="1387"/>
      <c r="U966" s="66" t="s">
        <v>880</v>
      </c>
      <c r="V966" s="5"/>
      <c r="W966" s="5"/>
      <c r="AB966" s="1385" t="s">
        <v>307</v>
      </c>
      <c r="AC966" s="1386"/>
      <c r="AD966" s="1386"/>
      <c r="AE966" s="1386"/>
      <c r="AF966" s="1386"/>
      <c r="AG966" s="1386"/>
      <c r="AH966" s="1386"/>
      <c r="AI966" s="1386"/>
      <c r="AJ966" s="1386"/>
      <c r="AK966" s="1387"/>
      <c r="AZ966" s="34"/>
      <c r="BA966" s="34"/>
      <c r="BB966" s="34"/>
      <c r="BC966" s="34"/>
    </row>
    <row r="967" spans="1:64" ht="13" customHeight="1">
      <c r="C967" s="66" t="s">
        <v>13</v>
      </c>
      <c r="D967" s="5"/>
      <c r="E967" s="5"/>
      <c r="F967" s="5"/>
      <c r="G967" s="5"/>
      <c r="H967" s="5"/>
      <c r="I967" s="5"/>
      <c r="J967" s="5"/>
      <c r="K967" s="5"/>
      <c r="L967" s="46"/>
      <c r="M967" s="1681"/>
      <c r="N967" s="1637"/>
      <c r="O967" s="1637"/>
      <c r="P967" s="1637"/>
      <c r="Q967" s="1637"/>
      <c r="R967" s="1637"/>
      <c r="S967" s="1638"/>
      <c r="U967" s="66" t="s">
        <v>13</v>
      </c>
      <c r="V967" s="5"/>
      <c r="W967" s="5"/>
      <c r="X967" s="5"/>
      <c r="Y967" s="5"/>
      <c r="Z967" s="5"/>
      <c r="AA967" s="5"/>
      <c r="AB967" s="5"/>
      <c r="AC967" s="5"/>
      <c r="AD967" s="46"/>
      <c r="AE967" s="1636"/>
      <c r="AF967" s="1637"/>
      <c r="AG967" s="1637"/>
      <c r="AH967" s="1637"/>
      <c r="AI967" s="1637"/>
      <c r="AJ967" s="1637"/>
      <c r="AK967" s="1638"/>
      <c r="AZ967" s="34"/>
      <c r="BA967" s="34"/>
      <c r="BB967" s="34"/>
      <c r="BC967" s="34"/>
    </row>
    <row r="968" spans="1:64" ht="13" customHeight="1">
      <c r="C968" s="66" t="s">
        <v>14</v>
      </c>
      <c r="D968" s="5"/>
      <c r="E968" s="5"/>
      <c r="F968" s="5"/>
      <c r="G968" s="5"/>
      <c r="H968" s="5"/>
      <c r="I968" s="5"/>
      <c r="J968" s="5"/>
      <c r="K968" s="5"/>
      <c r="L968" s="46"/>
      <c r="M968" s="1644"/>
      <c r="N968" s="1645"/>
      <c r="O968" s="1645"/>
      <c r="P968" s="1645"/>
      <c r="Q968" s="1645"/>
      <c r="R968" s="1645"/>
      <c r="S968" s="1646"/>
      <c r="U968" s="66" t="s">
        <v>14</v>
      </c>
      <c r="V968" s="5"/>
      <c r="W968" s="5"/>
      <c r="X968" s="5"/>
      <c r="Y968" s="5"/>
      <c r="Z968" s="5"/>
      <c r="AA968" s="5"/>
      <c r="AB968" s="5"/>
      <c r="AC968" s="5"/>
      <c r="AD968" s="46"/>
      <c r="AE968" s="1644"/>
      <c r="AF968" s="1645"/>
      <c r="AG968" s="1645"/>
      <c r="AH968" s="1645"/>
      <c r="AI968" s="1645"/>
      <c r="AJ968" s="1645"/>
      <c r="AK968" s="1646"/>
      <c r="AV968" s="2"/>
      <c r="AW968" s="2"/>
      <c r="AX968" s="2"/>
      <c r="AY968" s="2"/>
      <c r="AZ968" s="34"/>
      <c r="BA968" s="34"/>
      <c r="BB968" s="34"/>
      <c r="BC968" s="34"/>
    </row>
    <row r="969" spans="1:64" ht="13" customHeight="1">
      <c r="C969" s="66" t="s">
        <v>15</v>
      </c>
      <c r="D969" s="5"/>
      <c r="E969" s="5"/>
      <c r="F969" s="5"/>
      <c r="G969" s="5"/>
      <c r="H969" s="5"/>
      <c r="I969" s="5"/>
      <c r="J969" s="5"/>
      <c r="K969" s="5"/>
      <c r="L969" s="46"/>
      <c r="M969" s="1414"/>
      <c r="N969" s="1415"/>
      <c r="O969" s="1415"/>
      <c r="P969" s="1415"/>
      <c r="Q969" s="1415"/>
      <c r="R969" s="1415"/>
      <c r="S969" s="1416"/>
      <c r="U969" s="66" t="s">
        <v>15</v>
      </c>
      <c r="V969" s="5"/>
      <c r="W969" s="5"/>
      <c r="X969" s="5"/>
      <c r="Y969" s="5"/>
      <c r="Z969" s="5"/>
      <c r="AA969" s="5"/>
      <c r="AB969" s="5"/>
      <c r="AC969" s="5"/>
      <c r="AD969" s="46"/>
      <c r="AE969" s="1414"/>
      <c r="AF969" s="1415"/>
      <c r="AG969" s="1415"/>
      <c r="AH969" s="1415"/>
      <c r="AI969" s="1415"/>
      <c r="AJ969" s="1415"/>
      <c r="AK969" s="1416"/>
      <c r="AV969" s="2"/>
      <c r="AW969" s="2"/>
      <c r="AX969" s="2"/>
      <c r="AY969" s="2"/>
      <c r="AZ969" s="34"/>
      <c r="BA969" s="34"/>
      <c r="BB969" s="34"/>
      <c r="BC969" s="34"/>
    </row>
    <row r="970" spans="1:64" ht="13" customHeight="1">
      <c r="C970" s="66" t="s">
        <v>16</v>
      </c>
      <c r="D970" s="5"/>
      <c r="E970" s="5"/>
      <c r="F970" s="5"/>
      <c r="G970" s="5"/>
      <c r="H970" s="5"/>
      <c r="I970" s="5"/>
      <c r="J970" s="5"/>
      <c r="K970" s="5"/>
      <c r="L970" s="46"/>
      <c r="M970" s="1414"/>
      <c r="N970" s="1415"/>
      <c r="O970" s="1415"/>
      <c r="P970" s="1415"/>
      <c r="Q970" s="1415"/>
      <c r="R970" s="1415"/>
      <c r="S970" s="1416"/>
      <c r="U970" s="66" t="s">
        <v>16</v>
      </c>
      <c r="V970" s="5"/>
      <c r="W970" s="5"/>
      <c r="X970" s="5"/>
      <c r="Y970" s="5"/>
      <c r="Z970" s="5"/>
      <c r="AA970" s="5"/>
      <c r="AB970" s="5"/>
      <c r="AC970" s="5"/>
      <c r="AD970" s="46"/>
      <c r="AE970" s="1414"/>
      <c r="AF970" s="1415"/>
      <c r="AG970" s="1415"/>
      <c r="AH970" s="1415"/>
      <c r="AI970" s="1415"/>
      <c r="AJ970" s="1415"/>
      <c r="AK970" s="1416"/>
      <c r="AV970" s="2"/>
      <c r="AW970" s="2"/>
      <c r="AX970" s="2"/>
      <c r="AY970" s="2"/>
      <c r="AZ970" s="34"/>
      <c r="BB970" s="34"/>
      <c r="BC970" s="34"/>
    </row>
    <row r="971" spans="1:64" ht="13" customHeight="1">
      <c r="C971" s="121" t="s">
        <v>1650</v>
      </c>
      <c r="D971" s="5"/>
      <c r="E971" s="5"/>
      <c r="F971" s="5"/>
      <c r="G971" s="5"/>
      <c r="H971" s="5"/>
      <c r="I971" s="5"/>
      <c r="J971" s="5"/>
      <c r="K971" s="5"/>
      <c r="L971" s="46"/>
      <c r="M971" s="1411"/>
      <c r="N971" s="1412"/>
      <c r="O971" s="1412"/>
      <c r="P971" s="1412"/>
      <c r="Q971" s="1412"/>
      <c r="R971" s="1412"/>
      <c r="S971" s="1413"/>
      <c r="U971" s="121" t="s">
        <v>1650</v>
      </c>
      <c r="V971" s="5"/>
      <c r="W971" s="5"/>
      <c r="X971" s="5"/>
      <c r="Y971" s="5"/>
      <c r="Z971" s="5"/>
      <c r="AA971" s="5"/>
      <c r="AB971" s="5"/>
      <c r="AC971" s="5"/>
      <c r="AD971" s="46"/>
      <c r="AE971" s="1411"/>
      <c r="AF971" s="1412"/>
      <c r="AG971" s="1412"/>
      <c r="AH971" s="1412"/>
      <c r="AI971" s="1412"/>
      <c r="AJ971" s="1412"/>
      <c r="AK971" s="1413"/>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79"/>
      <c r="N976" s="1380"/>
      <c r="O976" s="1380"/>
      <c r="P976" s="1380"/>
      <c r="Q976" s="1380"/>
      <c r="R976" s="1380"/>
      <c r="S976" s="1381"/>
      <c r="T976" s="66" t="s">
        <v>790</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79"/>
      <c r="N977" s="1380"/>
      <c r="O977" s="1380"/>
      <c r="P977" s="1380"/>
      <c r="Q977" s="1380"/>
      <c r="R977" s="1380"/>
      <c r="S977" s="1381"/>
      <c r="T977" s="66" t="s">
        <v>789</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58" t="s">
        <v>591</v>
      </c>
      <c r="N978" s="1659"/>
      <c r="O978" s="1659"/>
      <c r="P978" s="1659"/>
      <c r="Q978" s="1659"/>
      <c r="R978" s="1659"/>
      <c r="S978" s="1660"/>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79"/>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85" t="s">
        <v>307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65" t="s">
        <v>669</v>
      </c>
      <c r="P983" s="1566"/>
      <c r="Q983" s="92"/>
      <c r="R983" s="92"/>
      <c r="S983" s="93"/>
      <c r="T983" s="41" t="s">
        <v>170</v>
      </c>
      <c r="U983" s="42"/>
      <c r="V983" s="42"/>
      <c r="W983" s="1583" t="s">
        <v>334</v>
      </c>
      <c r="X983" s="1584"/>
      <c r="Y983" s="1584"/>
      <c r="Z983" s="1584"/>
      <c r="AA983" s="1584"/>
      <c r="AB983" s="1584"/>
      <c r="AC983" s="1584"/>
      <c r="AD983" s="1584"/>
      <c r="AE983" s="1584"/>
      <c r="AF983" s="1584"/>
      <c r="AG983" s="1585"/>
      <c r="AU983" s="68"/>
      <c r="AV983" s="95"/>
      <c r="AW983" s="95"/>
      <c r="AX983" s="95"/>
      <c r="AY983" s="95"/>
      <c r="AZ983" s="34"/>
      <c r="BB983" s="34"/>
      <c r="BC983" s="34"/>
      <c r="BD983" s="34"/>
      <c r="BE983" s="34"/>
      <c r="BF983" s="34"/>
      <c r="BG983" s="34"/>
      <c r="BH983" s="34"/>
      <c r="BI983" s="34"/>
      <c r="BJ983" s="34"/>
      <c r="BK983" s="34"/>
      <c r="BL983" s="34"/>
    </row>
    <row r="984" spans="1:64" ht="13" customHeight="1">
      <c r="F984" s="1628" t="s">
        <v>33</v>
      </c>
      <c r="G984" s="1437"/>
      <c r="H984" s="1437"/>
      <c r="I984" s="1437"/>
      <c r="J984" s="1437"/>
      <c r="K984" s="1437"/>
      <c r="L984" s="1437"/>
      <c r="M984" s="1379"/>
      <c r="N984" s="1380"/>
      <c r="O984" s="1380"/>
      <c r="P984" s="1380"/>
      <c r="Q984" s="1380"/>
      <c r="R984" s="1380"/>
      <c r="S984" s="1381"/>
      <c r="T984" s="47"/>
      <c r="U984" s="48"/>
      <c r="V984" s="48"/>
      <c r="W984" s="48"/>
      <c r="X984" s="48"/>
      <c r="Y984" s="48"/>
      <c r="Z984" s="124" t="s">
        <v>134</v>
      </c>
      <c r="AA984" s="1605"/>
      <c r="AB984" s="1606"/>
      <c r="AC984" s="1606"/>
      <c r="AD984" s="1606"/>
      <c r="AE984" s="1606"/>
      <c r="AF984" s="1606"/>
      <c r="AG984" s="1607"/>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2"/>
      <c r="BH985" s="1672"/>
      <c r="BI985" s="1672"/>
      <c r="BJ985" s="1672"/>
      <c r="BK985" s="1672"/>
      <c r="BL985" s="1672"/>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67" t="s">
        <v>548</v>
      </c>
      <c r="B988" s="1467"/>
      <c r="C988" s="1467"/>
      <c r="D988" s="1467"/>
      <c r="E988" s="1467"/>
      <c r="F988" s="1467"/>
      <c r="G988" s="1467"/>
      <c r="H988" s="1467"/>
      <c r="I988" s="1467"/>
      <c r="J988" s="1467"/>
      <c r="K988" s="1467"/>
      <c r="L988" s="1467"/>
      <c r="M988" s="1467"/>
      <c r="N988" s="1467"/>
      <c r="O988" s="1467"/>
      <c r="P988" s="1467"/>
      <c r="Q988" s="1467"/>
      <c r="R988" s="1467"/>
      <c r="S988" s="1467"/>
      <c r="T988" s="1467"/>
      <c r="U988" s="1467"/>
      <c r="V988" s="1467"/>
      <c r="W988" s="1467"/>
      <c r="X988" s="1467"/>
      <c r="Y988" s="1467"/>
      <c r="Z988" s="1467"/>
      <c r="AA988" s="1467"/>
      <c r="AB988" s="1467"/>
      <c r="AC988" s="1467"/>
      <c r="AD988" s="1467"/>
      <c r="AE988" s="1467"/>
      <c r="AF988" s="1467"/>
      <c r="AG988" s="1467"/>
      <c r="AH988" s="1467"/>
      <c r="AI988" s="1467"/>
      <c r="AJ988" s="1467"/>
      <c r="AK988" s="1467"/>
      <c r="AL988" s="1467"/>
      <c r="AM988" s="1467"/>
      <c r="AN988" s="1467"/>
      <c r="AO988" s="1467"/>
      <c r="AP988" s="1467"/>
      <c r="AQ988" s="1467"/>
      <c r="AR988" s="1467"/>
      <c r="AS988" s="1467"/>
      <c r="AT988" s="1467"/>
      <c r="AU988" s="68"/>
      <c r="AV988" s="68"/>
      <c r="AW988" s="68"/>
      <c r="AX988" s="68"/>
      <c r="AY988" s="68"/>
      <c r="AZ988" s="14"/>
      <c r="BA988" s="14"/>
      <c r="BB988" s="908"/>
      <c r="BC988" s="908"/>
    </row>
    <row r="989" spans="1:64" ht="13" customHeight="1">
      <c r="A989" s="1467"/>
      <c r="B989" s="1467"/>
      <c r="C989" s="1467"/>
      <c r="D989" s="1467"/>
      <c r="E989" s="1467"/>
      <c r="F989" s="1467"/>
      <c r="G989" s="1467"/>
      <c r="H989" s="1467"/>
      <c r="I989" s="1467"/>
      <c r="J989" s="1467"/>
      <c r="K989" s="1467"/>
      <c r="L989" s="1467"/>
      <c r="M989" s="1467"/>
      <c r="N989" s="1467"/>
      <c r="O989" s="1467"/>
      <c r="P989" s="1467"/>
      <c r="Q989" s="1467"/>
      <c r="R989" s="1467"/>
      <c r="S989" s="1467"/>
      <c r="T989" s="1467"/>
      <c r="U989" s="1467"/>
      <c r="V989" s="1467"/>
      <c r="W989" s="1467"/>
      <c r="X989" s="1467"/>
      <c r="Y989" s="1467"/>
      <c r="Z989" s="1467"/>
      <c r="AA989" s="1467"/>
      <c r="AB989" s="1467"/>
      <c r="AC989" s="1467"/>
      <c r="AD989" s="1467"/>
      <c r="AE989" s="1467"/>
      <c r="AF989" s="1467"/>
      <c r="AG989" s="1467"/>
      <c r="AH989" s="1467"/>
      <c r="AI989" s="1467"/>
      <c r="AJ989" s="1467"/>
      <c r="AK989" s="1467"/>
      <c r="AL989" s="1467"/>
      <c r="AM989" s="1467"/>
      <c r="AN989" s="1467"/>
      <c r="AO989" s="1467"/>
      <c r="AP989" s="1467"/>
      <c r="AQ989" s="1467"/>
      <c r="AR989" s="1467"/>
      <c r="AS989" s="1467"/>
      <c r="AT989" s="1467"/>
      <c r="AU989" s="68"/>
      <c r="AV989" s="68"/>
      <c r="AW989" s="68"/>
      <c r="AX989" s="68"/>
      <c r="AY989" s="68"/>
      <c r="AZ989" s="30"/>
      <c r="BA989" s="14"/>
      <c r="BB989" s="14"/>
      <c r="BC989" s="14"/>
    </row>
    <row r="990" spans="1:64" ht="13" customHeight="1">
      <c r="A990" s="1467"/>
      <c r="B990" s="1467"/>
      <c r="C990" s="1467"/>
      <c r="D990" s="1467"/>
      <c r="E990" s="1467"/>
      <c r="F990" s="1467"/>
      <c r="G990" s="1467"/>
      <c r="H990" s="1467"/>
      <c r="I990" s="1467"/>
      <c r="J990" s="1467"/>
      <c r="K990" s="1467"/>
      <c r="L990" s="1467"/>
      <c r="M990" s="1467"/>
      <c r="N990" s="1467"/>
      <c r="O990" s="1467"/>
      <c r="P990" s="1467"/>
      <c r="Q990" s="1467"/>
      <c r="R990" s="1467"/>
      <c r="S990" s="1467"/>
      <c r="T990" s="1467"/>
      <c r="U990" s="1467"/>
      <c r="V990" s="1467"/>
      <c r="W990" s="1467"/>
      <c r="X990" s="1467"/>
      <c r="Y990" s="1467"/>
      <c r="Z990" s="1467"/>
      <c r="AA990" s="1467"/>
      <c r="AB990" s="1467"/>
      <c r="AC990" s="1467"/>
      <c r="AD990" s="1467"/>
      <c r="AE990" s="1467"/>
      <c r="AF990" s="1467"/>
      <c r="AG990" s="1467"/>
      <c r="AH990" s="1467"/>
      <c r="AI990" s="1467"/>
      <c r="AJ990" s="1467"/>
      <c r="AK990" s="1467"/>
      <c r="AL990" s="1467"/>
      <c r="AM990" s="1467"/>
      <c r="AN990" s="1467"/>
      <c r="AO990" s="1467"/>
      <c r="AP990" s="1467"/>
      <c r="AQ990" s="1467"/>
      <c r="AR990" s="1467"/>
      <c r="AS990" s="1467"/>
      <c r="AT990" s="146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580" t="s">
        <v>638</v>
      </c>
      <c r="E994" s="1581"/>
      <c r="F994" s="1581"/>
      <c r="G994" s="1581"/>
      <c r="H994" s="1581"/>
      <c r="I994" s="1581"/>
      <c r="J994" s="1581"/>
      <c r="K994" s="1581"/>
      <c r="L994" s="1581"/>
      <c r="M994" s="1581"/>
      <c r="N994" s="1581"/>
      <c r="O994" s="1581"/>
      <c r="P994" s="1581"/>
      <c r="Q994" s="1582"/>
      <c r="R994" s="1580" t="s">
        <v>639</v>
      </c>
      <c r="S994" s="1581"/>
      <c r="T994" s="1581"/>
      <c r="U994" s="1581"/>
      <c r="V994" s="1581"/>
      <c r="W994" s="1581"/>
      <c r="X994" s="1581"/>
      <c r="Y994" s="1581"/>
      <c r="Z994" s="1581"/>
      <c r="AA994" s="1582"/>
      <c r="AB994" s="1580" t="s">
        <v>640</v>
      </c>
      <c r="AC994" s="1581"/>
      <c r="AD994" s="1581"/>
      <c r="AE994" s="1581"/>
      <c r="AF994" s="1581"/>
      <c r="AG994" s="1581"/>
      <c r="AH994" s="1581"/>
      <c r="AI994" s="1582"/>
      <c r="AJ994" s="1580" t="s">
        <v>641</v>
      </c>
      <c r="AK994" s="1581"/>
      <c r="AL994" s="1581"/>
      <c r="AM994" s="1581"/>
      <c r="AN994" s="1581"/>
      <c r="AO994" s="1581"/>
      <c r="AP994" s="1581"/>
      <c r="AQ994" s="1582"/>
      <c r="AR994" s="68"/>
      <c r="AS994" s="68"/>
      <c r="AT994" s="68"/>
      <c r="AU994" s="68"/>
      <c r="AV994" s="68"/>
      <c r="AW994" s="68"/>
      <c r="AX994" s="68"/>
      <c r="AY994" s="68"/>
      <c r="AZ994" s="30"/>
      <c r="BB994" s="14"/>
      <c r="BC994" s="14"/>
    </row>
    <row r="995" spans="1:55" ht="13" customHeight="1">
      <c r="A995" s="14"/>
      <c r="B995" s="73"/>
      <c r="C995" s="925"/>
      <c r="D995" s="1559" t="s">
        <v>633</v>
      </c>
      <c r="E995" s="1560"/>
      <c r="F995" s="1560"/>
      <c r="G995" s="1560"/>
      <c r="H995" s="1560"/>
      <c r="I995" s="1560"/>
      <c r="J995" s="1560"/>
      <c r="K995" s="1560"/>
      <c r="L995" s="1560"/>
      <c r="M995" s="1560"/>
      <c r="N995" s="1560"/>
      <c r="O995" s="1560"/>
      <c r="P995" s="1560"/>
      <c r="Q995" s="1561"/>
      <c r="R995" s="1558">
        <f>IF(ISNA(IF($CU$122="4%",(INDEX($CS$160:$CW$217,MATCH($DG$122,$CR$160:$CR$217,0),MATCH(D995,$CS$159:$CW$159,0))),(INDEX($CZ$160:$DD$217,MATCH($DG$122,$CY$160:$CY$217,0),MATCH(D995,$CZ$159:$DD$159,0))))),0,IF($CU$122="4%",(INDEX($CS$160:$CW$217,MATCH($DG$122,$CR$160:$CR$217,0),MATCH(D995,$CS$159:$CW$159,0))),(INDEX($CZ$160:$DD$217,MATCH($DG$122,$CY$160:$CY$217,0),MATCH(D995,$CZ$159:$DD$159,0)))))</f>
        <v>491221</v>
      </c>
      <c r="S995" s="1558"/>
      <c r="T995" s="1558"/>
      <c r="U995" s="1558"/>
      <c r="V995" s="1558"/>
      <c r="W995" s="1558"/>
      <c r="X995" s="1558"/>
      <c r="Y995" s="1558"/>
      <c r="Z995" s="1558"/>
      <c r="AA995" s="1558"/>
      <c r="AB995" s="1562">
        <f>CP810</f>
        <v>47</v>
      </c>
      <c r="AC995" s="1563"/>
      <c r="AD995" s="1563"/>
      <c r="AE995" s="1563"/>
      <c r="AF995" s="1563"/>
      <c r="AG995" s="1563"/>
      <c r="AH995" s="1563"/>
      <c r="AI995" s="1564"/>
      <c r="AJ995" s="1395">
        <f>IF(ISERROR((R995*AB995)),0,(R995*AB995))</f>
        <v>23087387</v>
      </c>
      <c r="AK995" s="1396"/>
      <c r="AL995" s="1396"/>
      <c r="AM995" s="1396"/>
      <c r="AN995" s="1396"/>
      <c r="AO995" s="1396"/>
      <c r="AP995" s="1396"/>
      <c r="AQ995" s="1397"/>
      <c r="AR995" s="68"/>
      <c r="AS995" s="68"/>
      <c r="AT995" s="68"/>
      <c r="AU995" s="68"/>
      <c r="AV995" s="68"/>
      <c r="AW995" s="68"/>
      <c r="AX995" s="68"/>
      <c r="AY995" s="68"/>
      <c r="AZ995" s="30"/>
      <c r="BB995" s="14"/>
      <c r="BC995" s="14"/>
    </row>
    <row r="996" spans="1:55" ht="13" customHeight="1">
      <c r="A996" s="14"/>
      <c r="B996" s="73"/>
      <c r="C996" s="83"/>
      <c r="D996" s="1559" t="s">
        <v>325</v>
      </c>
      <c r="E996" s="1560"/>
      <c r="F996" s="1560"/>
      <c r="G996" s="1560"/>
      <c r="H996" s="1560"/>
      <c r="I996" s="1560"/>
      <c r="J996" s="1560"/>
      <c r="K996" s="1560"/>
      <c r="L996" s="1560"/>
      <c r="M996" s="1560"/>
      <c r="N996" s="1560"/>
      <c r="O996" s="1560"/>
      <c r="P996" s="1560"/>
      <c r="Q996" s="1561"/>
      <c r="R996" s="1558">
        <f>IF(ISNA(IF($CU$122="4%",(INDEX($CS$160:$CW$217,MATCH($DG$122,$CR$160:$CR$217,0),MATCH(D996,$CS$159:$CW$159,0))),(INDEX($CZ$160:$DD$217,MATCH($DG$122,$CY$160:$CY$217,0),MATCH(D996,$CZ$159:$DD$159,0))))),0,IF($CU$122="4%",(INDEX($CS$160:$CW$217,MATCH($DG$122,$CR$160:$CR$217,0),MATCH(D996,$CS$159:$CW$159,0))),(INDEX($CZ$160:$DD$217,MATCH($DG$122,$CY$160:$CY$217,0),MATCH(D996,$CZ$159:$DD$159,0)))))</f>
        <v>566373</v>
      </c>
      <c r="S996" s="1558"/>
      <c r="T996" s="1558"/>
      <c r="U996" s="1558"/>
      <c r="V996" s="1558"/>
      <c r="W996" s="1558"/>
      <c r="X996" s="1558"/>
      <c r="Y996" s="1558"/>
      <c r="Z996" s="1558"/>
      <c r="AA996" s="1558"/>
      <c r="AB996" s="1562">
        <f>CU810</f>
        <v>0</v>
      </c>
      <c r="AC996" s="1563"/>
      <c r="AD996" s="1563"/>
      <c r="AE996" s="1563"/>
      <c r="AF996" s="1563"/>
      <c r="AG996" s="1563"/>
      <c r="AH996" s="1563"/>
      <c r="AI996" s="1564"/>
      <c r="AJ996" s="1395">
        <f>IF(ISERROR((R996*AB996)),0,(R996*AB996))</f>
        <v>0</v>
      </c>
      <c r="AK996" s="1396"/>
      <c r="AL996" s="1396"/>
      <c r="AM996" s="1396"/>
      <c r="AN996" s="1396"/>
      <c r="AO996" s="1396"/>
      <c r="AP996" s="1396"/>
      <c r="AQ996" s="1397"/>
      <c r="AR996" s="68"/>
      <c r="AS996" s="68"/>
      <c r="AT996" s="68"/>
      <c r="AU996" s="68"/>
      <c r="AV996" s="68"/>
      <c r="AW996" s="68"/>
      <c r="AX996" s="68"/>
      <c r="AY996" s="68"/>
      <c r="AZ996" s="30"/>
      <c r="BB996" s="14"/>
      <c r="BC996" s="14"/>
    </row>
    <row r="997" spans="1:55" ht="13" customHeight="1">
      <c r="A997" s="14"/>
      <c r="B997" s="73"/>
      <c r="C997" s="83"/>
      <c r="D997" s="1559" t="s">
        <v>163</v>
      </c>
      <c r="E997" s="1560"/>
      <c r="F997" s="1560"/>
      <c r="G997" s="1560"/>
      <c r="H997" s="1560"/>
      <c r="I997" s="1560"/>
      <c r="J997" s="1560"/>
      <c r="K997" s="1560"/>
      <c r="L997" s="1560"/>
      <c r="M997" s="1560"/>
      <c r="N997" s="1560"/>
      <c r="O997" s="1560"/>
      <c r="P997" s="1560"/>
      <c r="Q997" s="1561"/>
      <c r="R997" s="1558">
        <f>IF(ISNA(IF($CU$122="4%",(INDEX($CS$160:$CW$217,MATCH($DG$122,$CR$160:$CR$217,0),MATCH(D997,$CS$159:$CW$159,0))),(INDEX($CZ$160:$DD$217,MATCH($DG$122,$CY$160:$CY$217,0),MATCH(D997,$CZ$159:$DD$159,0))))),0,IF($CU$122="4%",(INDEX($CS$160:$CW$217,MATCH($DG$122,$CR$160:$CR$217,0),MATCH(D997,$CS$159:$CW$159,0))),(INDEX($CZ$160:$DD$217,MATCH($DG$122,$CY$160:$CY$217,0),MATCH(D997,$CZ$159:$DD$159,0)))))</f>
        <v>683200</v>
      </c>
      <c r="S997" s="1558"/>
      <c r="T997" s="1558"/>
      <c r="U997" s="1558"/>
      <c r="V997" s="1558"/>
      <c r="W997" s="1558"/>
      <c r="X997" s="1558"/>
      <c r="Y997" s="1558"/>
      <c r="Z997" s="1558"/>
      <c r="AA997" s="1558"/>
      <c r="AB997" s="1562">
        <f>CZ810</f>
        <v>25</v>
      </c>
      <c r="AC997" s="1563"/>
      <c r="AD997" s="1563"/>
      <c r="AE997" s="1563"/>
      <c r="AF997" s="1563"/>
      <c r="AG997" s="1563"/>
      <c r="AH997" s="1563"/>
      <c r="AI997" s="1564"/>
      <c r="AJ997" s="1395">
        <f>IF(ISERROR((R997*AB997)),0,(R997*AB997))</f>
        <v>17080000</v>
      </c>
      <c r="AK997" s="1396"/>
      <c r="AL997" s="1396"/>
      <c r="AM997" s="1396"/>
      <c r="AN997" s="1396"/>
      <c r="AO997" s="1396"/>
      <c r="AP997" s="1396"/>
      <c r="AQ997" s="1397"/>
      <c r="AR997" s="68"/>
      <c r="AS997" s="68"/>
      <c r="AT997" s="68"/>
      <c r="AU997" s="68"/>
      <c r="AV997" s="68"/>
      <c r="AW997" s="68"/>
      <c r="AX997" s="68"/>
      <c r="AY997" s="68"/>
      <c r="AZ997" s="30"/>
      <c r="BB997" s="14"/>
      <c r="BC997" s="14"/>
    </row>
    <row r="998" spans="1:55" ht="13" customHeight="1">
      <c r="A998" s="14"/>
      <c r="B998" s="73"/>
      <c r="C998" s="83"/>
      <c r="D998" s="1559" t="s">
        <v>164</v>
      </c>
      <c r="E998" s="1560"/>
      <c r="F998" s="1560"/>
      <c r="G998" s="1560"/>
      <c r="H998" s="1560"/>
      <c r="I998" s="1560"/>
      <c r="J998" s="1560"/>
      <c r="K998" s="1560"/>
      <c r="L998" s="1560"/>
      <c r="M998" s="1560"/>
      <c r="N998" s="1560"/>
      <c r="O998" s="1560"/>
      <c r="P998" s="1560"/>
      <c r="Q998" s="1561"/>
      <c r="R998" s="1558">
        <f>IF(ISNA(IF($CU$122="4%",(INDEX($CS$160:$CW$217,MATCH($DG$122,$CR$160:$CR$217,0),MATCH(D998,$CS$159:$CW$159,0))),(INDEX($CZ$160:$DD$217,MATCH($DG$122,$CY$160:$CY$217,0),MATCH(D998,$CZ$159:$DD$159,0))))),0,IF($CU$122="4%",(INDEX($CS$160:$CW$217,MATCH($DG$122,$CR$160:$CR$217,0),MATCH(D998,$CS$159:$CW$159,0))),(INDEX($CZ$160:$DD$217,MATCH($DG$122,$CY$160:$CY$217,0),MATCH(D998,$CZ$159:$DD$159,0)))))</f>
        <v>874496</v>
      </c>
      <c r="S998" s="1558"/>
      <c r="T998" s="1558"/>
      <c r="U998" s="1558"/>
      <c r="V998" s="1558"/>
      <c r="W998" s="1558"/>
      <c r="X998" s="1558"/>
      <c r="Y998" s="1558"/>
      <c r="Z998" s="1558"/>
      <c r="AA998" s="1558"/>
      <c r="AB998" s="1562">
        <f>DE810</f>
        <v>24</v>
      </c>
      <c r="AC998" s="1563"/>
      <c r="AD998" s="1563"/>
      <c r="AE998" s="1563"/>
      <c r="AF998" s="1563"/>
      <c r="AG998" s="1563"/>
      <c r="AH998" s="1563"/>
      <c r="AI998" s="1564"/>
      <c r="AJ998" s="1395">
        <f>IF(ISERROR((R998*AB998)),0,(R998*AB998))</f>
        <v>20987904</v>
      </c>
      <c r="AK998" s="1396"/>
      <c r="AL998" s="1396"/>
      <c r="AM998" s="1396"/>
      <c r="AN998" s="1396"/>
      <c r="AO998" s="1396"/>
      <c r="AP998" s="1396"/>
      <c r="AQ998" s="1397"/>
      <c r="AR998" s="68"/>
      <c r="AS998" s="68"/>
      <c r="AT998" s="68"/>
      <c r="AU998" s="68"/>
      <c r="AV998" s="68"/>
      <c r="AW998" s="68"/>
      <c r="AX998" s="68"/>
      <c r="AY998" s="68"/>
      <c r="AZ998" s="30"/>
      <c r="BA998" s="34"/>
      <c r="BB998" s="14"/>
      <c r="BC998" s="14"/>
    </row>
    <row r="999" spans="1:55" ht="13" customHeight="1">
      <c r="A999" s="14"/>
      <c r="B999" s="47"/>
      <c r="C999" s="78"/>
      <c r="D999" s="1559" t="s">
        <v>460</v>
      </c>
      <c r="E999" s="1560"/>
      <c r="F999" s="1560"/>
      <c r="G999" s="1560"/>
      <c r="H999" s="1560"/>
      <c r="I999" s="1560"/>
      <c r="J999" s="1560"/>
      <c r="K999" s="1560"/>
      <c r="L999" s="1560"/>
      <c r="M999" s="1560"/>
      <c r="N999" s="1560"/>
      <c r="O999" s="1560"/>
      <c r="P999" s="1560"/>
      <c r="Q999" s="1561"/>
      <c r="R999" s="1558">
        <f>IF(ISNA(IF($CU$122="4%",(INDEX($CS$160:$CW$217,MATCH($DG$122,$CR$160:$CR$217,0),MATCH(D999,$CS$159:$CW$159,0))),(INDEX($CZ$160:$DD$217,MATCH($DG$122,$CY$160:$CY$217,0),MATCH(D999,$CZ$159:$DD$159,0))))),0,IF($CU$122="4%",(INDEX($CS$160:$CW$217,MATCH($DG$122,$CR$160:$CR$217,0),MATCH(D999,$CS$159:$CW$159,0))),(INDEX($CZ$160:$DD$217,MATCH($DG$122,$CY$160:$CY$217,0),MATCH(D999,$CZ$159:$DD$159,0)))))</f>
        <v>974243</v>
      </c>
      <c r="S999" s="1558"/>
      <c r="T999" s="1558"/>
      <c r="U999" s="1558"/>
      <c r="V999" s="1558"/>
      <c r="W999" s="1558"/>
      <c r="X999" s="1558"/>
      <c r="Y999" s="1558"/>
      <c r="Z999" s="1558"/>
      <c r="AA999" s="1558"/>
      <c r="AB999" s="1562">
        <f>DO810+DJ810</f>
        <v>0</v>
      </c>
      <c r="AC999" s="1563"/>
      <c r="AD999" s="1563"/>
      <c r="AE999" s="1563"/>
      <c r="AF999" s="1563"/>
      <c r="AG999" s="1563"/>
      <c r="AH999" s="1563"/>
      <c r="AI999" s="1564"/>
      <c r="AJ999" s="1395">
        <f>IF(ISERROR((R999*AB999)),0,(R999*AB999))</f>
        <v>0</v>
      </c>
      <c r="AK999" s="1396"/>
      <c r="AL999" s="1396"/>
      <c r="AM999" s="1396"/>
      <c r="AN999" s="1396"/>
      <c r="AO999" s="1396"/>
      <c r="AP999" s="1396"/>
      <c r="AQ999" s="1397"/>
      <c r="AR999" s="68"/>
      <c r="AS999" s="68"/>
      <c r="AT999" s="68"/>
      <c r="AU999" s="68"/>
      <c r="AV999" s="68"/>
      <c r="AW999" s="68"/>
      <c r="AX999" s="68"/>
      <c r="AY999" s="68"/>
      <c r="AZ999" s="30"/>
      <c r="BB999" s="14"/>
      <c r="BC999" s="14"/>
    </row>
    <row r="1000" spans="1:55" ht="13" customHeight="1">
      <c r="A1000" s="14"/>
      <c r="B1000" s="1632" t="s">
        <v>791</v>
      </c>
      <c r="C1000" s="1633"/>
      <c r="D1000" s="1633"/>
      <c r="E1000" s="1633"/>
      <c r="F1000" s="1633"/>
      <c r="G1000" s="1633"/>
      <c r="H1000" s="1633"/>
      <c r="I1000" s="1633"/>
      <c r="J1000" s="1633"/>
      <c r="K1000" s="1633"/>
      <c r="L1000" s="1633"/>
      <c r="M1000" s="1633"/>
      <c r="N1000" s="1633"/>
      <c r="O1000" s="1633"/>
      <c r="P1000" s="1633"/>
      <c r="Q1000" s="1633"/>
      <c r="R1000" s="1633"/>
      <c r="S1000" s="1633"/>
      <c r="T1000" s="1633"/>
      <c r="U1000" s="1633"/>
      <c r="V1000" s="1633"/>
      <c r="W1000" s="1633"/>
      <c r="X1000" s="1633"/>
      <c r="Y1000" s="1633"/>
      <c r="Z1000" s="1633"/>
      <c r="AA1000" s="1634"/>
      <c r="AB1000" s="1562">
        <f>SUM(AB995:AI999)</f>
        <v>96</v>
      </c>
      <c r="AC1000" s="1563"/>
      <c r="AD1000" s="1563"/>
      <c r="AE1000" s="1563"/>
      <c r="AF1000" s="1563"/>
      <c r="AG1000" s="1563"/>
      <c r="AH1000" s="1563"/>
      <c r="AI1000" s="1564"/>
      <c r="AJ1000" s="1395"/>
      <c r="AK1000" s="1396"/>
      <c r="AL1000" s="1396"/>
      <c r="AM1000" s="1396"/>
      <c r="AN1000" s="1396"/>
      <c r="AO1000" s="1396"/>
      <c r="AP1000" s="1396"/>
      <c r="AQ1000" s="1397"/>
      <c r="AR1000" s="68"/>
      <c r="AS1000" s="68"/>
      <c r="AT1000" s="68"/>
      <c r="AU1000" s="68"/>
      <c r="AV1000" s="68"/>
      <c r="AW1000" s="68"/>
      <c r="AX1000" s="68"/>
      <c r="AY1000" s="68"/>
      <c r="AZ1000" s="34"/>
      <c r="BA1000" s="34"/>
      <c r="BB1000" s="14"/>
      <c r="BC1000" s="14"/>
    </row>
    <row r="1001" spans="1:55" ht="13" customHeight="1">
      <c r="A1001" s="14"/>
      <c r="B1001" s="1629" t="s">
        <v>512</v>
      </c>
      <c r="C1001" s="1630"/>
      <c r="D1001" s="1630"/>
      <c r="E1001" s="1630"/>
      <c r="F1001" s="1630"/>
      <c r="G1001" s="1630"/>
      <c r="H1001" s="1630"/>
      <c r="I1001" s="1630"/>
      <c r="J1001" s="1630"/>
      <c r="K1001" s="1630"/>
      <c r="L1001" s="1630"/>
      <c r="M1001" s="1630"/>
      <c r="N1001" s="1630"/>
      <c r="O1001" s="1630"/>
      <c r="P1001" s="1630"/>
      <c r="Q1001" s="1630"/>
      <c r="R1001" s="1630"/>
      <c r="S1001" s="1630"/>
      <c r="T1001" s="1630"/>
      <c r="U1001" s="1630"/>
      <c r="V1001" s="1630"/>
      <c r="W1001" s="1630"/>
      <c r="X1001" s="1630"/>
      <c r="Y1001" s="1630"/>
      <c r="Z1001" s="1630"/>
      <c r="AA1001" s="1630"/>
      <c r="AB1001" s="1630"/>
      <c r="AC1001" s="1630"/>
      <c r="AD1001" s="1630"/>
      <c r="AE1001" s="1630"/>
      <c r="AF1001" s="1630"/>
      <c r="AG1001" s="1630"/>
      <c r="AH1001" s="1630"/>
      <c r="AI1001" s="1631"/>
      <c r="AJ1001" s="1395">
        <f>SUM(AJ995:AQ999)</f>
        <v>61155291</v>
      </c>
      <c r="AK1001" s="1396"/>
      <c r="AL1001" s="1396"/>
      <c r="AM1001" s="1396"/>
      <c r="AN1001" s="1396"/>
      <c r="AO1001" s="1396"/>
      <c r="AP1001" s="1396"/>
      <c r="AQ1001" s="1397"/>
      <c r="AR1001" s="68"/>
      <c r="AS1001" s="68"/>
      <c r="AT1001" s="68"/>
      <c r="AU1001" s="68"/>
      <c r="AV1001" s="68"/>
      <c r="AW1001" s="68"/>
      <c r="AX1001" s="68"/>
      <c r="AY1001" s="68"/>
      <c r="AZ1001" s="34"/>
      <c r="BB1001" s="34"/>
      <c r="BC1001" s="34"/>
    </row>
    <row r="1002" spans="1:55" ht="13" customHeight="1">
      <c r="A1002" s="14"/>
      <c r="B1002" s="1398"/>
      <c r="C1002" s="1399"/>
      <c r="D1002" s="1399"/>
      <c r="E1002" s="1399"/>
      <c r="F1002" s="1399"/>
      <c r="G1002" s="1399"/>
      <c r="H1002" s="1399"/>
      <c r="I1002" s="1399"/>
      <c r="J1002" s="1399"/>
      <c r="K1002" s="1399"/>
      <c r="L1002" s="1399"/>
      <c r="M1002" s="1399"/>
      <c r="N1002" s="1399"/>
      <c r="O1002" s="1399"/>
      <c r="P1002" s="1399"/>
      <c r="Q1002" s="1399"/>
      <c r="R1002" s="1399"/>
      <c r="S1002" s="1399"/>
      <c r="T1002" s="1399"/>
      <c r="U1002" s="1399"/>
      <c r="V1002" s="1399"/>
      <c r="W1002" s="1399"/>
      <c r="X1002" s="1399"/>
      <c r="Y1002" s="1399"/>
      <c r="Z1002" s="1399"/>
      <c r="AA1002" s="1399"/>
      <c r="AB1002" s="1399"/>
      <c r="AC1002" s="1399"/>
      <c r="AD1002" s="1399"/>
      <c r="AE1002" s="1400"/>
      <c r="AF1002" s="1608" t="s">
        <v>666</v>
      </c>
      <c r="AG1002" s="1609"/>
      <c r="AH1002" s="1609"/>
      <c r="AI1002" s="1610"/>
      <c r="AJ1002" s="1398"/>
      <c r="AK1002" s="1399"/>
      <c r="AL1002" s="1399"/>
      <c r="AM1002" s="1399"/>
      <c r="AN1002" s="1399"/>
      <c r="AO1002" s="1399"/>
      <c r="AP1002" s="1399"/>
      <c r="AQ1002" s="1400"/>
      <c r="AR1002" s="68"/>
      <c r="AS1002" s="68"/>
      <c r="AT1002" s="68"/>
      <c r="AU1002" s="68"/>
      <c r="AV1002" s="68"/>
      <c r="AW1002" s="68"/>
      <c r="AX1002" s="68"/>
      <c r="AY1002" s="68"/>
      <c r="AZ1002" s="34"/>
      <c r="BA1002" s="34"/>
      <c r="BB1002" s="34"/>
      <c r="BC1002" s="34"/>
    </row>
    <row r="1003" spans="1:55" ht="13" customHeight="1">
      <c r="A1003" s="14"/>
      <c r="B1003" s="73"/>
      <c r="C1003" s="923" t="s">
        <v>668</v>
      </c>
      <c r="D1003" s="1540" t="s">
        <v>1220</v>
      </c>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9"/>
      <c r="AG1003" s="1611" t="s">
        <v>545</v>
      </c>
      <c r="AH1003" s="1612"/>
      <c r="AI1003" s="87"/>
      <c r="AJ1003" s="1367">
        <f>ROUND(IF(AND(AG1003="yes",D1009&gt;0),AJ1001*0.2,0),0)</f>
        <v>12231058</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3" customHeight="1">
      <c r="A1004" s="14"/>
      <c r="B1004" s="257"/>
      <c r="C1004" s="256"/>
      <c r="D1004" s="1546" t="s">
        <v>2190</v>
      </c>
      <c r="E1004" s="1547"/>
      <c r="F1004" s="1547"/>
      <c r="G1004" s="1547"/>
      <c r="H1004" s="1547"/>
      <c r="I1004" s="1547"/>
      <c r="J1004" s="1547"/>
      <c r="K1004" s="1547"/>
      <c r="L1004" s="1547"/>
      <c r="M1004" s="1547"/>
      <c r="N1004" s="1547"/>
      <c r="O1004" s="1547"/>
      <c r="P1004" s="1547"/>
      <c r="Q1004" s="1547"/>
      <c r="R1004" s="1547"/>
      <c r="S1004" s="1547"/>
      <c r="T1004" s="1547"/>
      <c r="U1004" s="1547"/>
      <c r="V1004" s="1547"/>
      <c r="W1004" s="1547"/>
      <c r="X1004" s="1547"/>
      <c r="Y1004" s="1547"/>
      <c r="Z1004" s="1547"/>
      <c r="AA1004" s="1547"/>
      <c r="AB1004" s="1547"/>
      <c r="AC1004" s="1547"/>
      <c r="AD1004" s="1547"/>
      <c r="AE1004" s="1548"/>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3" customHeight="1">
      <c r="A1005" s="14"/>
      <c r="B1005" s="257"/>
      <c r="C1005" s="256"/>
      <c r="D1005" s="1546"/>
      <c r="E1005" s="1547"/>
      <c r="F1005" s="1547"/>
      <c r="G1005" s="1547"/>
      <c r="H1005" s="1547"/>
      <c r="I1005" s="1547"/>
      <c r="J1005" s="1547"/>
      <c r="K1005" s="1547"/>
      <c r="L1005" s="1547"/>
      <c r="M1005" s="1547"/>
      <c r="N1005" s="1547"/>
      <c r="O1005" s="1547"/>
      <c r="P1005" s="1547"/>
      <c r="Q1005" s="1547"/>
      <c r="R1005" s="1547"/>
      <c r="S1005" s="1547"/>
      <c r="T1005" s="1547"/>
      <c r="U1005" s="1547"/>
      <c r="V1005" s="1547"/>
      <c r="W1005" s="1547"/>
      <c r="X1005" s="1547"/>
      <c r="Y1005" s="1547"/>
      <c r="Z1005" s="1547"/>
      <c r="AA1005" s="1547"/>
      <c r="AB1005" s="1547"/>
      <c r="AC1005" s="1547"/>
      <c r="AD1005" s="1547"/>
      <c r="AE1005" s="1548"/>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3" customHeight="1">
      <c r="A1006" s="14"/>
      <c r="B1006" s="257"/>
      <c r="C1006" s="256"/>
      <c r="D1006" s="1546"/>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3" customHeight="1">
      <c r="A1007" s="14"/>
      <c r="B1007" s="257"/>
      <c r="C1007" s="256"/>
      <c r="D1007" s="1546"/>
      <c r="E1007" s="1547"/>
      <c r="F1007" s="1547"/>
      <c r="G1007" s="1547"/>
      <c r="H1007" s="1547"/>
      <c r="I1007" s="1547"/>
      <c r="J1007" s="1547"/>
      <c r="K1007" s="1547"/>
      <c r="L1007" s="1547"/>
      <c r="M1007" s="1547"/>
      <c r="N1007" s="1547"/>
      <c r="O1007" s="1547"/>
      <c r="P1007" s="1547"/>
      <c r="Q1007" s="1547"/>
      <c r="R1007" s="1547"/>
      <c r="S1007" s="1547"/>
      <c r="T1007" s="1547"/>
      <c r="U1007" s="1547"/>
      <c r="V1007" s="1547"/>
      <c r="W1007" s="1547"/>
      <c r="X1007" s="1547"/>
      <c r="Y1007" s="1547"/>
      <c r="Z1007" s="1547"/>
      <c r="AA1007" s="1547"/>
      <c r="AB1007" s="1547"/>
      <c r="AC1007" s="1547"/>
      <c r="AD1007" s="1547"/>
      <c r="AE1007" s="1548"/>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3" customHeight="1">
      <c r="A1008" s="14"/>
      <c r="B1008" s="257"/>
      <c r="C1008" s="256"/>
      <c r="D1008" s="1549" t="s">
        <v>2161</v>
      </c>
      <c r="E1008" s="1550"/>
      <c r="F1008" s="1550"/>
      <c r="G1008" s="1550"/>
      <c r="H1008" s="1550"/>
      <c r="I1008" s="1550"/>
      <c r="J1008" s="1550"/>
      <c r="K1008" s="1550"/>
      <c r="L1008" s="1550"/>
      <c r="M1008" s="1550"/>
      <c r="N1008" s="1550"/>
      <c r="O1008" s="1550"/>
      <c r="P1008" s="1550"/>
      <c r="Q1008" s="1550"/>
      <c r="R1008" s="1550"/>
      <c r="S1008" s="1550"/>
      <c r="T1008" s="1550"/>
      <c r="U1008" s="1550"/>
      <c r="V1008" s="1550"/>
      <c r="W1008" s="1550"/>
      <c r="X1008" s="1550"/>
      <c r="Y1008" s="1550"/>
      <c r="Z1008" s="1550"/>
      <c r="AA1008" s="1550"/>
      <c r="AB1008" s="1550"/>
      <c r="AC1008" s="1550"/>
      <c r="AD1008" s="1550"/>
      <c r="AE1008" s="1551"/>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3" customHeight="1">
      <c r="A1009" s="14"/>
      <c r="B1009" s="257"/>
      <c r="C1009" s="256"/>
      <c r="D1009" s="1543" t="s">
        <v>2759</v>
      </c>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3" customHeight="1">
      <c r="A1010" s="14"/>
      <c r="B1010" s="255"/>
      <c r="C1010" s="318"/>
      <c r="D1010" s="1552" t="s">
        <v>1286</v>
      </c>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4"/>
      <c r="AF1010" s="79"/>
      <c r="AG1010" s="1578" t="s">
        <v>669</v>
      </c>
      <c r="AH1010" s="1579"/>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3" customHeight="1">
      <c r="A1011" s="14"/>
      <c r="B1011" s="257"/>
      <c r="C1011" s="82"/>
      <c r="D1011" s="1546" t="s">
        <v>1284</v>
      </c>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8"/>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3" customHeight="1">
      <c r="A1012" s="14"/>
      <c r="B1012" s="257"/>
      <c r="C1012" s="82"/>
      <c r="D1012" s="1546"/>
      <c r="E1012" s="1547"/>
      <c r="F1012" s="1547"/>
      <c r="G1012" s="1547"/>
      <c r="H1012" s="1547"/>
      <c r="I1012" s="1547"/>
      <c r="J1012" s="1547"/>
      <c r="K1012" s="1547"/>
      <c r="L1012" s="1547"/>
      <c r="M1012" s="1547"/>
      <c r="N1012" s="1547"/>
      <c r="O1012" s="1547"/>
      <c r="P1012" s="1547"/>
      <c r="Q1012" s="1547"/>
      <c r="R1012" s="1547"/>
      <c r="S1012" s="1547"/>
      <c r="T1012" s="1547"/>
      <c r="U1012" s="1547"/>
      <c r="V1012" s="1547"/>
      <c r="W1012" s="1547"/>
      <c r="X1012" s="1547"/>
      <c r="Y1012" s="1547"/>
      <c r="Z1012" s="1547"/>
      <c r="AA1012" s="1547"/>
      <c r="AB1012" s="1547"/>
      <c r="AC1012" s="1547"/>
      <c r="AD1012" s="1547"/>
      <c r="AE1012" s="1548"/>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95</v>
      </c>
      <c r="AZ1012" s="34"/>
      <c r="BB1012" s="34"/>
    </row>
    <row r="1013" spans="1:55" ht="13" customHeight="1">
      <c r="A1013" s="14"/>
      <c r="B1013" s="257"/>
      <c r="C1013" s="82"/>
      <c r="D1013" s="1546"/>
      <c r="E1013" s="1547"/>
      <c r="F1013" s="1547"/>
      <c r="G1013" s="1547"/>
      <c r="H1013" s="1547"/>
      <c r="I1013" s="1547"/>
      <c r="J1013" s="1547"/>
      <c r="K1013" s="1547"/>
      <c r="L1013" s="1547"/>
      <c r="M1013" s="1547"/>
      <c r="N1013" s="1547"/>
      <c r="O1013" s="1547"/>
      <c r="P1013" s="1547"/>
      <c r="Q1013" s="1547"/>
      <c r="R1013" s="1547"/>
      <c r="S1013" s="1547"/>
      <c r="T1013" s="1547"/>
      <c r="U1013" s="1547"/>
      <c r="V1013" s="1547"/>
      <c r="W1013" s="1547"/>
      <c r="X1013" s="1547"/>
      <c r="Y1013" s="1547"/>
      <c r="Z1013" s="1547"/>
      <c r="AA1013" s="1547"/>
      <c r="AB1013" s="1547"/>
      <c r="AC1013" s="1547"/>
      <c r="AD1013" s="1547"/>
      <c r="AE1013" s="1548"/>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3" customHeight="1">
      <c r="A1014" s="14"/>
      <c r="B1014" s="257"/>
      <c r="C1014" s="82"/>
      <c r="D1014" s="1546"/>
      <c r="E1014" s="1547"/>
      <c r="F1014" s="1547"/>
      <c r="G1014" s="1547"/>
      <c r="H1014" s="1547"/>
      <c r="I1014" s="1547"/>
      <c r="J1014" s="1547"/>
      <c r="K1014" s="1547"/>
      <c r="L1014" s="1547"/>
      <c r="M1014" s="1547"/>
      <c r="N1014" s="1547"/>
      <c r="O1014" s="1547"/>
      <c r="P1014" s="1547"/>
      <c r="Q1014" s="1547"/>
      <c r="R1014" s="1547"/>
      <c r="S1014" s="1547"/>
      <c r="T1014" s="1547"/>
      <c r="U1014" s="1547"/>
      <c r="V1014" s="1547"/>
      <c r="W1014" s="1547"/>
      <c r="X1014" s="1547"/>
      <c r="Y1014" s="1547"/>
      <c r="Z1014" s="1547"/>
      <c r="AA1014" s="1547"/>
      <c r="AB1014" s="1547"/>
      <c r="AC1014" s="1547"/>
      <c r="AD1014" s="1547"/>
      <c r="AE1014" s="1548"/>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0.31</v>
      </c>
      <c r="AZ1014" s="34"/>
      <c r="BB1014" s="34"/>
    </row>
    <row r="1015" spans="1:55" ht="13" customHeight="1">
      <c r="A1015" s="14"/>
      <c r="B1015" s="75"/>
      <c r="C1015" s="76"/>
      <c r="D1015" s="1549"/>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0.31</v>
      </c>
      <c r="AZ1015" s="34"/>
      <c r="BB1015" s="34"/>
    </row>
    <row r="1016" spans="1:55" ht="13" customHeight="1">
      <c r="A1016" s="14"/>
      <c r="B1016" s="255"/>
      <c r="C1016" s="80" t="s">
        <v>672</v>
      </c>
      <c r="D1016" s="1552" t="s">
        <v>1672</v>
      </c>
      <c r="E1016" s="1553"/>
      <c r="F1016" s="1553"/>
      <c r="G1016" s="1553"/>
      <c r="H1016" s="1553"/>
      <c r="I1016" s="1553"/>
      <c r="J1016" s="1553"/>
      <c r="K1016" s="1553"/>
      <c r="L1016" s="1553"/>
      <c r="M1016" s="1553"/>
      <c r="N1016" s="1553"/>
      <c r="O1016" s="1553"/>
      <c r="P1016" s="1553"/>
      <c r="Q1016" s="1553"/>
      <c r="R1016" s="1553"/>
      <c r="S1016" s="1553"/>
      <c r="T1016" s="1553"/>
      <c r="U1016" s="1553"/>
      <c r="V1016" s="1553"/>
      <c r="W1016" s="1553"/>
      <c r="X1016" s="1553"/>
      <c r="Y1016" s="1553"/>
      <c r="Z1016" s="1553"/>
      <c r="AA1016" s="1553"/>
      <c r="AB1016" s="1553"/>
      <c r="AC1016" s="1553"/>
      <c r="AD1016" s="1553"/>
      <c r="AE1016" s="1554"/>
      <c r="AF1016" s="86"/>
      <c r="AG1016" s="1578" t="s">
        <v>545</v>
      </c>
      <c r="AH1016" s="1579"/>
      <c r="AI1016" s="87"/>
      <c r="AJ1016" s="1367">
        <f>ROUND(IF(AG1016="yes",AJ1001*0.1,0),0)</f>
        <v>6115529</v>
      </c>
      <c r="AK1016" s="1368"/>
      <c r="AL1016" s="1368"/>
      <c r="AM1016" s="1368"/>
      <c r="AN1016" s="1368"/>
      <c r="AO1016" s="1368"/>
      <c r="AP1016" s="1368"/>
      <c r="AQ1016" s="1369"/>
      <c r="AR1016" s="68"/>
      <c r="AS1016" s="68"/>
      <c r="AT1016" s="68"/>
      <c r="AU1016" s="68"/>
      <c r="AV1016" s="68"/>
      <c r="AW1016" s="68"/>
      <c r="AX1016" s="68"/>
      <c r="BB1016" s="34"/>
    </row>
    <row r="1017" spans="1:55" ht="13" customHeight="1">
      <c r="A1017" s="14"/>
      <c r="B1017" s="73"/>
      <c r="C1017" s="74"/>
      <c r="D1017" s="1569" t="s">
        <v>1285</v>
      </c>
      <c r="E1017" s="1570"/>
      <c r="F1017" s="1570"/>
      <c r="G1017" s="1570"/>
      <c r="H1017" s="1570"/>
      <c r="I1017" s="1570"/>
      <c r="J1017" s="1570"/>
      <c r="K1017" s="1570"/>
      <c r="L1017" s="1570"/>
      <c r="M1017" s="1570"/>
      <c r="N1017" s="1570"/>
      <c r="O1017" s="1570"/>
      <c r="P1017" s="1570"/>
      <c r="Q1017" s="1570"/>
      <c r="R1017" s="1570"/>
      <c r="S1017" s="1570"/>
      <c r="T1017" s="1570"/>
      <c r="U1017" s="1570"/>
      <c r="V1017" s="1570"/>
      <c r="W1017" s="1570"/>
      <c r="X1017" s="1570"/>
      <c r="Y1017" s="1570"/>
      <c r="Z1017" s="1570"/>
      <c r="AA1017" s="1570"/>
      <c r="AB1017" s="1570"/>
      <c r="AC1017" s="1570"/>
      <c r="AD1017" s="1570"/>
      <c r="AE1017" s="1571"/>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3" customHeight="1">
      <c r="A1018" s="14"/>
      <c r="B1018" s="73"/>
      <c r="C1018" s="74"/>
      <c r="D1018" s="1569"/>
      <c r="E1018" s="1570"/>
      <c r="F1018" s="1570"/>
      <c r="G1018" s="1570"/>
      <c r="H1018" s="1570"/>
      <c r="I1018" s="1570"/>
      <c r="J1018" s="1570"/>
      <c r="K1018" s="1570"/>
      <c r="L1018" s="1570"/>
      <c r="M1018" s="1570"/>
      <c r="N1018" s="1570"/>
      <c r="O1018" s="1570"/>
      <c r="P1018" s="1570"/>
      <c r="Q1018" s="1570"/>
      <c r="R1018" s="1570"/>
      <c r="S1018" s="1570"/>
      <c r="T1018" s="1570"/>
      <c r="U1018" s="1570"/>
      <c r="V1018" s="1570"/>
      <c r="W1018" s="1570"/>
      <c r="X1018" s="1570"/>
      <c r="Y1018" s="1570"/>
      <c r="Z1018" s="1570"/>
      <c r="AA1018" s="1570"/>
      <c r="AB1018" s="1570"/>
      <c r="AC1018" s="1570"/>
      <c r="AD1018" s="1570"/>
      <c r="AE1018" s="1571"/>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3" customHeight="1">
      <c r="A1019" s="14"/>
      <c r="B1019" s="85"/>
      <c r="C1019" s="76"/>
      <c r="D1019" s="1555"/>
      <c r="E1019" s="1556"/>
      <c r="F1019" s="1556"/>
      <c r="G1019" s="1556"/>
      <c r="H1019" s="1556"/>
      <c r="I1019" s="1556"/>
      <c r="J1019" s="1556"/>
      <c r="K1019" s="1556"/>
      <c r="L1019" s="1556"/>
      <c r="M1019" s="1556"/>
      <c r="N1019" s="1556"/>
      <c r="O1019" s="1556"/>
      <c r="P1019" s="1556"/>
      <c r="Q1019" s="1556"/>
      <c r="R1019" s="1556"/>
      <c r="S1019" s="1556"/>
      <c r="T1019" s="1556"/>
      <c r="U1019" s="1556"/>
      <c r="V1019" s="1556"/>
      <c r="W1019" s="1556"/>
      <c r="X1019" s="1556"/>
      <c r="Y1019" s="1556"/>
      <c r="Z1019" s="1556"/>
      <c r="AA1019" s="1556"/>
      <c r="AB1019" s="1556"/>
      <c r="AC1019" s="1556"/>
      <c r="AD1019" s="1556"/>
      <c r="AE1019" s="1557"/>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3" customHeight="1">
      <c r="A1020" s="14"/>
      <c r="B1020" s="79"/>
      <c r="C1020" s="80" t="s">
        <v>212</v>
      </c>
      <c r="D1020" s="1552" t="s">
        <v>1287</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4"/>
      <c r="AF1020" s="79"/>
      <c r="AG1020" s="1578" t="s">
        <v>669</v>
      </c>
      <c r="AH1020" s="1579"/>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55" t="s">
        <v>1288</v>
      </c>
      <c r="E1021" s="1556"/>
      <c r="F1021" s="1556"/>
      <c r="G1021" s="1556"/>
      <c r="H1021" s="1556"/>
      <c r="I1021" s="1556"/>
      <c r="J1021" s="1556"/>
      <c r="K1021" s="1556"/>
      <c r="L1021" s="1556"/>
      <c r="M1021" s="1556"/>
      <c r="N1021" s="1556"/>
      <c r="O1021" s="1556"/>
      <c r="P1021" s="1556"/>
      <c r="Q1021" s="1556"/>
      <c r="R1021" s="1556"/>
      <c r="S1021" s="1556"/>
      <c r="T1021" s="1556"/>
      <c r="U1021" s="1556"/>
      <c r="V1021" s="1556"/>
      <c r="W1021" s="1556"/>
      <c r="X1021" s="1556"/>
      <c r="Y1021" s="1556"/>
      <c r="Z1021" s="1556"/>
      <c r="AA1021" s="1556"/>
      <c r="AB1021" s="1556"/>
      <c r="AC1021" s="1556"/>
      <c r="AD1021" s="1556"/>
      <c r="AE1021" s="1557"/>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1818</v>
      </c>
      <c r="AZ1021" s="3" t="s">
        <v>2534</v>
      </c>
    </row>
    <row r="1022" spans="1:55" ht="13" customHeight="1">
      <c r="A1022" s="14"/>
      <c r="B1022" s="79"/>
      <c r="C1022" s="80" t="s">
        <v>215</v>
      </c>
      <c r="D1022" s="1552" t="s">
        <v>1289</v>
      </c>
      <c r="E1022" s="1553"/>
      <c r="F1022" s="1553"/>
      <c r="G1022" s="1553"/>
      <c r="H1022" s="1553"/>
      <c r="I1022" s="1553"/>
      <c r="J1022" s="1553"/>
      <c r="K1022" s="1553"/>
      <c r="L1022" s="1553"/>
      <c r="M1022" s="1553"/>
      <c r="N1022" s="1553"/>
      <c r="O1022" s="1553"/>
      <c r="P1022" s="1553"/>
      <c r="Q1022" s="1553"/>
      <c r="R1022" s="1553"/>
      <c r="S1022" s="1553"/>
      <c r="T1022" s="1553"/>
      <c r="U1022" s="1553"/>
      <c r="V1022" s="1553"/>
      <c r="W1022" s="1553"/>
      <c r="X1022" s="1553"/>
      <c r="Y1022" s="1553"/>
      <c r="Z1022" s="1553"/>
      <c r="AA1022" s="1553"/>
      <c r="AB1022" s="1553"/>
      <c r="AC1022" s="1553"/>
      <c r="AD1022" s="1553"/>
      <c r="AE1022" s="1554"/>
      <c r="AF1022" s="79"/>
      <c r="AG1022" s="1578" t="s">
        <v>669</v>
      </c>
      <c r="AH1022" s="1579"/>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69" t="s">
        <v>1290</v>
      </c>
      <c r="E1023" s="1570"/>
      <c r="F1023" s="1570"/>
      <c r="G1023" s="1570"/>
      <c r="H1023" s="1570"/>
      <c r="I1023" s="1570"/>
      <c r="J1023" s="1570"/>
      <c r="K1023" s="1570"/>
      <c r="L1023" s="1570"/>
      <c r="M1023" s="1570"/>
      <c r="N1023" s="1570"/>
      <c r="O1023" s="1570"/>
      <c r="P1023" s="1570"/>
      <c r="Q1023" s="1570"/>
      <c r="R1023" s="1570"/>
      <c r="S1023" s="1570"/>
      <c r="T1023" s="1570"/>
      <c r="U1023" s="1570"/>
      <c r="V1023" s="1570"/>
      <c r="W1023" s="1570"/>
      <c r="X1023" s="1570"/>
      <c r="Y1023" s="1570"/>
      <c r="Z1023" s="1570"/>
      <c r="AA1023" s="1570"/>
      <c r="AB1023" s="1570"/>
      <c r="AC1023" s="1570"/>
      <c r="AD1023" s="1570"/>
      <c r="AE1023" s="1571"/>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55"/>
      <c r="E1024" s="1556"/>
      <c r="F1024" s="1556"/>
      <c r="G1024" s="1556"/>
      <c r="H1024" s="1556"/>
      <c r="I1024" s="1556"/>
      <c r="J1024" s="1556"/>
      <c r="K1024" s="1556"/>
      <c r="L1024" s="1556"/>
      <c r="M1024" s="1556"/>
      <c r="N1024" s="1556"/>
      <c r="O1024" s="1556"/>
      <c r="P1024" s="1556"/>
      <c r="Q1024" s="1556"/>
      <c r="R1024" s="1556"/>
      <c r="S1024" s="1556"/>
      <c r="T1024" s="1556"/>
      <c r="U1024" s="1556"/>
      <c r="V1024" s="1556"/>
      <c r="W1024" s="1556"/>
      <c r="X1024" s="1556"/>
      <c r="Y1024" s="1556"/>
      <c r="Z1024" s="1556"/>
      <c r="AA1024" s="1556"/>
      <c r="AB1024" s="1556"/>
      <c r="AC1024" s="1556"/>
      <c r="AD1024" s="1556"/>
      <c r="AE1024" s="1557"/>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5"/>
        <v>0</v>
      </c>
      <c r="AZ1024" s="1189">
        <v>0.05</v>
      </c>
    </row>
    <row r="1025" spans="1:52" ht="13" customHeight="1">
      <c r="A1025" s="14"/>
      <c r="B1025" s="79"/>
      <c r="C1025" s="80" t="s">
        <v>218</v>
      </c>
      <c r="D1025" s="1540" t="s">
        <v>2191</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79"/>
      <c r="AG1025" s="1578" t="s">
        <v>669</v>
      </c>
      <c r="AH1025" s="1579"/>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5"/>
        <v>0</v>
      </c>
      <c r="AZ1025" s="1189">
        <v>0.02</v>
      </c>
    </row>
    <row r="1026" spans="1:52" ht="13" customHeight="1">
      <c r="A1026" s="14"/>
      <c r="B1026" s="73"/>
      <c r="C1026" s="74"/>
      <c r="D1026" s="1569" t="s">
        <v>2600</v>
      </c>
      <c r="E1026" s="1570"/>
      <c r="F1026" s="1570"/>
      <c r="G1026" s="1570"/>
      <c r="H1026" s="1570"/>
      <c r="I1026" s="1570"/>
      <c r="J1026" s="1570"/>
      <c r="K1026" s="1570"/>
      <c r="L1026" s="1570"/>
      <c r="M1026" s="1570"/>
      <c r="N1026" s="1570"/>
      <c r="O1026" s="1570"/>
      <c r="P1026" s="1570"/>
      <c r="Q1026" s="1570"/>
      <c r="R1026" s="1570"/>
      <c r="S1026" s="1570"/>
      <c r="T1026" s="1570"/>
      <c r="U1026" s="1570"/>
      <c r="V1026" s="1570"/>
      <c r="W1026" s="1570"/>
      <c r="X1026" s="1570"/>
      <c r="Y1026" s="1570"/>
      <c r="Z1026" s="1570"/>
      <c r="AA1026" s="1570"/>
      <c r="AB1026" s="1570"/>
      <c r="AC1026" s="1570"/>
      <c r="AD1026" s="1570"/>
      <c r="AE1026" s="1571"/>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5"/>
        <v>0</v>
      </c>
      <c r="AZ1026" s="1189">
        <v>0.04</v>
      </c>
    </row>
    <row r="1027" spans="1:52" ht="13" customHeight="1">
      <c r="A1027" s="14"/>
      <c r="B1027" s="73"/>
      <c r="C1027" s="74"/>
      <c r="D1027" s="1569"/>
      <c r="E1027" s="1570"/>
      <c r="F1027" s="1570"/>
      <c r="G1027" s="1570"/>
      <c r="H1027" s="1570"/>
      <c r="I1027" s="1570"/>
      <c r="J1027" s="1570"/>
      <c r="K1027" s="1570"/>
      <c r="L1027" s="1570"/>
      <c r="M1027" s="1570"/>
      <c r="N1027" s="1570"/>
      <c r="O1027" s="1570"/>
      <c r="P1027" s="1570"/>
      <c r="Q1027" s="1570"/>
      <c r="R1027" s="1570"/>
      <c r="S1027" s="1570"/>
      <c r="T1027" s="1570"/>
      <c r="U1027" s="1570"/>
      <c r="V1027" s="1570"/>
      <c r="W1027" s="1570"/>
      <c r="X1027" s="1570"/>
      <c r="Y1027" s="1570"/>
      <c r="Z1027" s="1570"/>
      <c r="AA1027" s="1570"/>
      <c r="AB1027" s="1570"/>
      <c r="AC1027" s="1570"/>
      <c r="AD1027" s="1570"/>
      <c r="AE1027" s="1571"/>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5"/>
        <v>0</v>
      </c>
      <c r="AZ1027" s="1189">
        <v>0.04</v>
      </c>
    </row>
    <row r="1028" spans="1:52" ht="13" customHeight="1">
      <c r="A1028" s="14"/>
      <c r="B1028" s="81"/>
      <c r="C1028" s="82"/>
      <c r="D1028" s="1555"/>
      <c r="E1028" s="1556"/>
      <c r="F1028" s="1556"/>
      <c r="G1028" s="1556"/>
      <c r="H1028" s="1556"/>
      <c r="I1028" s="1556"/>
      <c r="J1028" s="1556"/>
      <c r="K1028" s="1556"/>
      <c r="L1028" s="1556"/>
      <c r="M1028" s="1556"/>
      <c r="N1028" s="1556"/>
      <c r="O1028" s="1556"/>
      <c r="P1028" s="1556"/>
      <c r="Q1028" s="1556"/>
      <c r="R1028" s="1556"/>
      <c r="S1028" s="1556"/>
      <c r="T1028" s="1556"/>
      <c r="U1028" s="1556"/>
      <c r="V1028" s="1556"/>
      <c r="W1028" s="1556"/>
      <c r="X1028" s="1556"/>
      <c r="Y1028" s="1556"/>
      <c r="Z1028" s="1556"/>
      <c r="AA1028" s="1556"/>
      <c r="AB1028" s="1556"/>
      <c r="AC1028" s="1556"/>
      <c r="AD1028" s="1556"/>
      <c r="AE1028" s="1557"/>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5"/>
        <v>0</v>
      </c>
      <c r="AZ1028" s="1189">
        <v>0.01</v>
      </c>
    </row>
    <row r="1029" spans="1:52" ht="13" customHeight="1">
      <c r="A1029" s="14"/>
      <c r="B1029" s="79"/>
      <c r="C1029" s="80" t="s">
        <v>223</v>
      </c>
      <c r="D1029" s="1613" t="s">
        <v>1291</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5"/>
      <c r="AF1029" s="79"/>
      <c r="AG1029" s="1578" t="s">
        <v>669</v>
      </c>
      <c r="AH1029" s="1579"/>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5"/>
        <v>0</v>
      </c>
      <c r="AZ1029" s="1189">
        <v>0.01</v>
      </c>
    </row>
    <row r="1030" spans="1:52" ht="13" customHeight="1">
      <c r="A1030" s="14"/>
      <c r="B1030" s="81"/>
      <c r="C1030" s="84"/>
      <c r="D1030" s="1616"/>
      <c r="E1030" s="1617"/>
      <c r="F1030" s="1617"/>
      <c r="G1030" s="1617"/>
      <c r="H1030" s="1617"/>
      <c r="I1030" s="1617"/>
      <c r="J1030" s="1617"/>
      <c r="K1030" s="1617"/>
      <c r="L1030" s="1617"/>
      <c r="M1030" s="1617"/>
      <c r="N1030" s="1617"/>
      <c r="O1030" s="1617"/>
      <c r="P1030" s="1617"/>
      <c r="Q1030" s="1617"/>
      <c r="R1030" s="1617"/>
      <c r="S1030" s="1617"/>
      <c r="T1030" s="1617"/>
      <c r="U1030" s="1617"/>
      <c r="V1030" s="1617"/>
      <c r="W1030" s="1617"/>
      <c r="X1030" s="1617"/>
      <c r="Y1030" s="1617"/>
      <c r="Z1030" s="1617"/>
      <c r="AA1030" s="1617"/>
      <c r="AB1030" s="1617"/>
      <c r="AC1030" s="1617"/>
      <c r="AD1030" s="1617"/>
      <c r="AE1030" s="1618"/>
      <c r="AF1030" s="1586" t="str">
        <f>IF(AG1029="yes","Please Select Type and Enter Amount:","")</f>
        <v/>
      </c>
      <c r="AG1030" s="1587"/>
      <c r="AH1030" s="1587"/>
      <c r="AI1030" s="1588"/>
      <c r="AJ1030" s="1370"/>
      <c r="AK1030" s="1371"/>
      <c r="AL1030" s="1371"/>
      <c r="AM1030" s="1371"/>
      <c r="AN1030" s="1371"/>
      <c r="AO1030" s="1371"/>
      <c r="AP1030" s="1371"/>
      <c r="AQ1030" s="1372"/>
      <c r="AR1030" s="68"/>
      <c r="AS1030" s="68"/>
      <c r="AT1030" s="68"/>
      <c r="AU1030" s="68"/>
      <c r="AV1030" s="68"/>
      <c r="AW1030" s="68"/>
      <c r="AX1030" s="3">
        <v>9</v>
      </c>
      <c r="AY1030" s="200">
        <f t="shared" si="55"/>
        <v>0</v>
      </c>
      <c r="AZ1030" s="1189">
        <v>0.01</v>
      </c>
    </row>
    <row r="1031" spans="1:52" ht="13" customHeight="1">
      <c r="A1031" s="14"/>
      <c r="B1031" s="81"/>
      <c r="C1031" s="84"/>
      <c r="D1031" s="1569" t="s">
        <v>1292</v>
      </c>
      <c r="E1031" s="1570"/>
      <c r="F1031" s="1570"/>
      <c r="G1031" s="1570"/>
      <c r="H1031" s="1570"/>
      <c r="I1031" s="1570"/>
      <c r="J1031" s="1570"/>
      <c r="K1031" s="1570"/>
      <c r="L1031" s="1570"/>
      <c r="M1031" s="1570"/>
      <c r="N1031" s="1570"/>
      <c r="O1031" s="1570"/>
      <c r="P1031" s="1570"/>
      <c r="Q1031" s="1570"/>
      <c r="R1031" s="1570"/>
      <c r="S1031" s="1570"/>
      <c r="T1031" s="1570"/>
      <c r="U1031" s="1570"/>
      <c r="V1031" s="1570"/>
      <c r="W1031" s="1570"/>
      <c r="X1031" s="1570"/>
      <c r="Y1031" s="1570"/>
      <c r="Z1031" s="1570"/>
      <c r="AA1031" s="1570"/>
      <c r="AB1031" s="1570"/>
      <c r="AC1031" s="1570"/>
      <c r="AD1031" s="1570"/>
      <c r="AE1031" s="1571"/>
      <c r="AF1031" s="1586"/>
      <c r="AG1031" s="1587"/>
      <c r="AH1031" s="1587"/>
      <c r="AI1031" s="1588"/>
      <c r="AJ1031" s="1370"/>
      <c r="AK1031" s="1371"/>
      <c r="AL1031" s="1371"/>
      <c r="AM1031" s="1371"/>
      <c r="AN1031" s="1371"/>
      <c r="AO1031" s="1371"/>
      <c r="AP1031" s="1371"/>
      <c r="AQ1031" s="1372"/>
      <c r="AR1031" s="68"/>
      <c r="AS1031" s="68"/>
      <c r="AT1031" s="68"/>
      <c r="AU1031" s="68"/>
      <c r="AV1031" s="68"/>
      <c r="AW1031" s="68"/>
      <c r="AX1031" s="3">
        <v>10</v>
      </c>
      <c r="AY1031" s="200">
        <f t="shared" si="55"/>
        <v>0</v>
      </c>
      <c r="AZ1031" s="1189">
        <v>0.02</v>
      </c>
    </row>
    <row r="1032" spans="1:52" ht="13" customHeight="1">
      <c r="A1032" s="14"/>
      <c r="B1032" s="81"/>
      <c r="C1032" s="84"/>
      <c r="D1032" s="1569"/>
      <c r="E1032" s="1570"/>
      <c r="F1032" s="1570"/>
      <c r="G1032" s="1570"/>
      <c r="H1032" s="1570"/>
      <c r="I1032" s="1570"/>
      <c r="J1032" s="1570"/>
      <c r="K1032" s="1570"/>
      <c r="L1032" s="1570"/>
      <c r="M1032" s="1570"/>
      <c r="N1032" s="1570"/>
      <c r="O1032" s="1570"/>
      <c r="P1032" s="1570"/>
      <c r="Q1032" s="1570"/>
      <c r="R1032" s="1570"/>
      <c r="S1032" s="1570"/>
      <c r="T1032" s="1570"/>
      <c r="U1032" s="1570"/>
      <c r="V1032" s="1570"/>
      <c r="W1032" s="1570"/>
      <c r="X1032" s="1570"/>
      <c r="Y1032" s="1570"/>
      <c r="Z1032" s="1570"/>
      <c r="AA1032" s="1570"/>
      <c r="AB1032" s="1570"/>
      <c r="AC1032" s="1570"/>
      <c r="AD1032" s="1570"/>
      <c r="AE1032" s="1571"/>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392" t="s">
        <v>591</v>
      </c>
      <c r="K1033" s="1393"/>
      <c r="L1033" s="1393"/>
      <c r="M1033" s="1393"/>
      <c r="N1033" s="1393"/>
      <c r="O1033" s="1393"/>
      <c r="P1033" s="1393"/>
      <c r="Q1033" s="1393"/>
      <c r="R1033" s="1393"/>
      <c r="S1033" s="1393"/>
      <c r="T1033" s="1393"/>
      <c r="U1033" s="1393"/>
      <c r="V1033" s="1393"/>
      <c r="W1033" s="1393"/>
      <c r="X1033" s="1393"/>
      <c r="Y1033" s="1393"/>
      <c r="Z1033" s="1393"/>
      <c r="AA1033" s="1393"/>
      <c r="AB1033" s="1393"/>
      <c r="AC1033" s="1393"/>
      <c r="AD1033" s="1393"/>
      <c r="AE1033" s="139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2533</v>
      </c>
      <c r="AY1033" s="201">
        <f>IF(SUM(AY1022:AY1032)&lt;=0.2,SUM(AY1022:AY1032),0.2)</f>
        <v>0</v>
      </c>
    </row>
    <row r="1034" spans="1:52" ht="13" customHeight="1">
      <c r="A1034" s="14"/>
      <c r="B1034" s="79"/>
      <c r="C1034" s="80" t="s">
        <v>229</v>
      </c>
      <c r="D1034" s="1552" t="s">
        <v>1293</v>
      </c>
      <c r="E1034" s="1553"/>
      <c r="F1034" s="1553"/>
      <c r="G1034" s="1553"/>
      <c r="H1034" s="1553"/>
      <c r="I1034" s="1553"/>
      <c r="J1034" s="1553"/>
      <c r="K1034" s="1553"/>
      <c r="L1034" s="1553"/>
      <c r="M1034" s="1553"/>
      <c r="N1034" s="1553"/>
      <c r="O1034" s="1553"/>
      <c r="P1034" s="1553"/>
      <c r="Q1034" s="1553"/>
      <c r="R1034" s="1553"/>
      <c r="S1034" s="1553"/>
      <c r="T1034" s="1553"/>
      <c r="U1034" s="1553"/>
      <c r="V1034" s="1553"/>
      <c r="W1034" s="1553"/>
      <c r="X1034" s="1553"/>
      <c r="Y1034" s="1553"/>
      <c r="Z1034" s="1553"/>
      <c r="AA1034" s="1553"/>
      <c r="AB1034" s="1553"/>
      <c r="AC1034" s="1553"/>
      <c r="AD1034" s="1553"/>
      <c r="AE1034" s="1554"/>
      <c r="AF1034" s="79"/>
      <c r="AG1034" s="1578" t="s">
        <v>669</v>
      </c>
      <c r="AH1034" s="1579"/>
      <c r="AI1034" s="87"/>
      <c r="AJ1034" s="1367">
        <f>ROUND(IF(AG1034="Yes",AF1036,0),0)</f>
        <v>0</v>
      </c>
      <c r="AK1034" s="1368"/>
      <c r="AL1034" s="1368"/>
      <c r="AM1034" s="1368"/>
      <c r="AN1034" s="1368"/>
      <c r="AO1034" s="1368"/>
      <c r="AP1034" s="1368"/>
      <c r="AQ1034" s="1369"/>
      <c r="AR1034" s="68"/>
      <c r="AS1034" s="68"/>
      <c r="AT1034" s="68"/>
      <c r="AU1034" s="68"/>
      <c r="AV1034" s="68"/>
      <c r="AW1034" s="68"/>
      <c r="AX1034" s="68"/>
      <c r="AY1034" s="68"/>
    </row>
    <row r="1035" spans="1:52" ht="13" customHeight="1">
      <c r="A1035" s="14"/>
      <c r="B1035" s="73"/>
      <c r="C1035" s="74"/>
      <c r="D1035" s="1569" t="s">
        <v>1679</v>
      </c>
      <c r="E1035" s="1570"/>
      <c r="F1035" s="1570"/>
      <c r="G1035" s="1570"/>
      <c r="H1035" s="1570"/>
      <c r="I1035" s="1570"/>
      <c r="J1035" s="1570"/>
      <c r="K1035" s="1570"/>
      <c r="L1035" s="1570"/>
      <c r="M1035" s="1570"/>
      <c r="N1035" s="1570"/>
      <c r="O1035" s="1570"/>
      <c r="P1035" s="1570"/>
      <c r="Q1035" s="1570"/>
      <c r="R1035" s="1570"/>
      <c r="S1035" s="1570"/>
      <c r="T1035" s="1570"/>
      <c r="U1035" s="1570"/>
      <c r="V1035" s="1570"/>
      <c r="W1035" s="1570"/>
      <c r="X1035" s="1570"/>
      <c r="Y1035" s="1570"/>
      <c r="Z1035" s="1570"/>
      <c r="AA1035" s="1570"/>
      <c r="AB1035" s="1570"/>
      <c r="AC1035" s="1570"/>
      <c r="AD1035" s="1570"/>
      <c r="AE1035" s="1571"/>
      <c r="AF1035" s="1619" t="str">
        <f>IF(AG1034="yes","Enter Amount:","")</f>
        <v/>
      </c>
      <c r="AG1035" s="1620"/>
      <c r="AH1035" s="1620"/>
      <c r="AI1035" s="1621"/>
      <c r="AJ1035" s="1370"/>
      <c r="AK1035" s="1371"/>
      <c r="AL1035" s="1371"/>
      <c r="AM1035" s="1371"/>
      <c r="AN1035" s="1371"/>
      <c r="AO1035" s="1371"/>
      <c r="AP1035" s="1371"/>
      <c r="AQ1035" s="1372"/>
      <c r="AR1035" s="68"/>
      <c r="AS1035" s="68"/>
      <c r="AT1035" s="68"/>
      <c r="AU1035" s="68"/>
      <c r="AV1035" s="68"/>
      <c r="AW1035" s="68"/>
      <c r="AX1035" s="68"/>
      <c r="AY1035" s="68"/>
    </row>
    <row r="1036" spans="1:52" ht="13" customHeight="1">
      <c r="A1036" s="14"/>
      <c r="B1036" s="73"/>
      <c r="C1036" s="74"/>
      <c r="D1036" s="1569"/>
      <c r="E1036" s="1570"/>
      <c r="F1036" s="1570"/>
      <c r="G1036" s="1570"/>
      <c r="H1036" s="1570"/>
      <c r="I1036" s="1570"/>
      <c r="J1036" s="1570"/>
      <c r="K1036" s="1570"/>
      <c r="L1036" s="1570"/>
      <c r="M1036" s="1570"/>
      <c r="N1036" s="1570"/>
      <c r="O1036" s="1570"/>
      <c r="P1036" s="1570"/>
      <c r="Q1036" s="1570"/>
      <c r="R1036" s="1570"/>
      <c r="S1036" s="1570"/>
      <c r="T1036" s="1570"/>
      <c r="U1036" s="1570"/>
      <c r="V1036" s="1570"/>
      <c r="W1036" s="1570"/>
      <c r="X1036" s="1570"/>
      <c r="Y1036" s="1570"/>
      <c r="Z1036" s="1570"/>
      <c r="AA1036" s="1570"/>
      <c r="AB1036" s="1570"/>
      <c r="AC1036" s="1570"/>
      <c r="AD1036" s="1570"/>
      <c r="AE1036" s="1571"/>
      <c r="AF1036" s="1388"/>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55"/>
      <c r="E1037" s="1556"/>
      <c r="F1037" s="1556"/>
      <c r="G1037" s="1556"/>
      <c r="H1037" s="1556"/>
      <c r="I1037" s="1556"/>
      <c r="J1037" s="1556"/>
      <c r="K1037" s="1556"/>
      <c r="L1037" s="1556"/>
      <c r="M1037" s="1556"/>
      <c r="N1037" s="1556"/>
      <c r="O1037" s="1556"/>
      <c r="P1037" s="1556"/>
      <c r="Q1037" s="1556"/>
      <c r="R1037" s="1556"/>
      <c r="S1037" s="1556"/>
      <c r="T1037" s="1556"/>
      <c r="U1037" s="1556"/>
      <c r="V1037" s="1556"/>
      <c r="W1037" s="1556"/>
      <c r="X1037" s="1556"/>
      <c r="Y1037" s="1556"/>
      <c r="Z1037" s="1556"/>
      <c r="AA1037" s="1556"/>
      <c r="AB1037" s="1556"/>
      <c r="AC1037" s="1556"/>
      <c r="AD1037" s="1556"/>
      <c r="AE1037" s="1557"/>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3" customHeight="1">
      <c r="A1038" s="14"/>
      <c r="B1038" s="79"/>
      <c r="C1038" s="80" t="s">
        <v>234</v>
      </c>
      <c r="D1038" s="1540" t="s">
        <v>1294</v>
      </c>
      <c r="E1038" s="1541"/>
      <c r="F1038" s="1541"/>
      <c r="G1038" s="1541"/>
      <c r="H1038" s="1541"/>
      <c r="I1038" s="1541"/>
      <c r="J1038" s="1541"/>
      <c r="K1038" s="1541"/>
      <c r="L1038" s="1541"/>
      <c r="M1038" s="1541"/>
      <c r="N1038" s="1541"/>
      <c r="O1038" s="1541"/>
      <c r="P1038" s="1541"/>
      <c r="Q1038" s="1541"/>
      <c r="R1038" s="1541"/>
      <c r="S1038" s="1541"/>
      <c r="T1038" s="1541"/>
      <c r="U1038" s="1541"/>
      <c r="V1038" s="1541"/>
      <c r="W1038" s="1541"/>
      <c r="X1038" s="1541"/>
      <c r="Y1038" s="1541"/>
      <c r="Z1038" s="1541"/>
      <c r="AA1038" s="1541"/>
      <c r="AB1038" s="1541"/>
      <c r="AC1038" s="1541"/>
      <c r="AD1038" s="1541"/>
      <c r="AE1038" s="1542"/>
      <c r="AF1038" s="79"/>
      <c r="AG1038" s="1578" t="s">
        <v>545</v>
      </c>
      <c r="AH1038" s="1579"/>
      <c r="AI1038" s="87"/>
      <c r="AJ1038" s="1367">
        <f>ROUND(IF(AG1038="yes",(AJ1001*0.1),0),0)</f>
        <v>6115529</v>
      </c>
      <c r="AK1038" s="1368"/>
      <c r="AL1038" s="1368"/>
      <c r="AM1038" s="1368"/>
      <c r="AN1038" s="1368"/>
      <c r="AO1038" s="1368"/>
      <c r="AP1038" s="1368"/>
      <c r="AQ1038" s="1369"/>
      <c r="AR1038" s="68"/>
      <c r="AS1038" s="68"/>
      <c r="AT1038" s="68"/>
      <c r="AU1038" s="68"/>
      <c r="AV1038" s="68"/>
      <c r="AW1038" s="68"/>
      <c r="AX1038" s="68"/>
      <c r="AY1038" s="68"/>
    </row>
    <row r="1039" spans="1:52" ht="13" customHeight="1">
      <c r="A1039" s="14"/>
      <c r="B1039" s="73"/>
      <c r="C1039" s="74"/>
      <c r="D1039" s="1569" t="s">
        <v>1295</v>
      </c>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3" customHeight="1">
      <c r="A1040" s="14"/>
      <c r="B1040" s="77"/>
      <c r="C1040" s="74"/>
      <c r="D1040" s="1555"/>
      <c r="E1040" s="1556"/>
      <c r="F1040" s="1556"/>
      <c r="G1040" s="1556"/>
      <c r="H1040" s="1556"/>
      <c r="I1040" s="1556"/>
      <c r="J1040" s="1556"/>
      <c r="K1040" s="1556"/>
      <c r="L1040" s="1556"/>
      <c r="M1040" s="1556"/>
      <c r="N1040" s="1556"/>
      <c r="O1040" s="1556"/>
      <c r="P1040" s="1556"/>
      <c r="Q1040" s="1556"/>
      <c r="R1040" s="1556"/>
      <c r="S1040" s="1556"/>
      <c r="T1040" s="1556"/>
      <c r="U1040" s="1556"/>
      <c r="V1040" s="1556"/>
      <c r="W1040" s="1556"/>
      <c r="X1040" s="1556"/>
      <c r="Y1040" s="1556"/>
      <c r="Z1040" s="1556"/>
      <c r="AA1040" s="1556"/>
      <c r="AB1040" s="1556"/>
      <c r="AC1040" s="1556"/>
      <c r="AD1040" s="1556"/>
      <c r="AE1040" s="1557"/>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3" customHeight="1">
      <c r="A1041" s="14"/>
      <c r="B1041" s="73"/>
      <c r="C1041" s="339" t="s">
        <v>687</v>
      </c>
      <c r="D1041" s="1552" t="s">
        <v>1675</v>
      </c>
      <c r="E1041" s="1553"/>
      <c r="F1041" s="1553"/>
      <c r="G1041" s="1553"/>
      <c r="H1041" s="1553"/>
      <c r="I1041" s="1553"/>
      <c r="J1041" s="1553"/>
      <c r="K1041" s="1553"/>
      <c r="L1041" s="1553"/>
      <c r="M1041" s="1553"/>
      <c r="N1041" s="1553"/>
      <c r="O1041" s="1553"/>
      <c r="P1041" s="1553"/>
      <c r="Q1041" s="1553"/>
      <c r="R1041" s="1553"/>
      <c r="S1041" s="1553"/>
      <c r="T1041" s="1553"/>
      <c r="U1041" s="1553"/>
      <c r="V1041" s="1553"/>
      <c r="W1041" s="1553"/>
      <c r="X1041" s="1553"/>
      <c r="Y1041" s="1553"/>
      <c r="Z1041" s="1553"/>
      <c r="AA1041" s="1553"/>
      <c r="AB1041" s="1553"/>
      <c r="AC1041" s="1553"/>
      <c r="AD1041" s="1553"/>
      <c r="AE1041" s="1554"/>
      <c r="AF1041" s="79"/>
      <c r="AG1041" s="1578" t="s">
        <v>669</v>
      </c>
      <c r="AH1041" s="1579"/>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3" customHeight="1">
      <c r="A1042" s="14"/>
      <c r="B1042" s="73"/>
      <c r="C1042" s="74"/>
      <c r="D1042" s="1592"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3"/>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3" customHeight="1">
      <c r="A1043" s="14"/>
      <c r="B1043" s="73"/>
      <c r="C1043" s="74"/>
      <c r="D1043" s="1592"/>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3"/>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3" customHeight="1">
      <c r="A1044" s="14"/>
      <c r="B1044" s="73"/>
      <c r="C1044" s="74"/>
      <c r="D1044" s="1594"/>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6"/>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3" customHeight="1">
      <c r="A1045" s="14"/>
      <c r="B1045" s="73"/>
      <c r="C1045" s="339" t="s">
        <v>687</v>
      </c>
      <c r="D1045" s="1540" t="s">
        <v>1677</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73"/>
      <c r="AG1045" s="1597" t="s">
        <v>545</v>
      </c>
      <c r="AH1045" s="1598"/>
      <c r="AI1045" s="83"/>
      <c r="AJ1045" s="1367">
        <f>ROUND(IF(AND(AG1045="yes",AJ1041=0),(AJ1001*0.1),0),0)</f>
        <v>6115529</v>
      </c>
      <c r="AK1045" s="1368"/>
      <c r="AL1045" s="1368"/>
      <c r="AM1045" s="1368"/>
      <c r="AN1045" s="1368"/>
      <c r="AO1045" s="1368"/>
      <c r="AP1045" s="1368"/>
      <c r="AQ1045" s="1369"/>
      <c r="AR1045" s="68"/>
      <c r="AS1045" s="68"/>
      <c r="AT1045" s="68"/>
      <c r="AU1045" s="68"/>
      <c r="AV1045" s="68"/>
      <c r="AW1045" s="68"/>
      <c r="AX1045" s="68"/>
      <c r="AY1045" s="68"/>
    </row>
    <row r="1046" spans="1:57" ht="13" customHeight="1">
      <c r="A1046" s="14"/>
      <c r="B1046" s="73"/>
      <c r="C1046" s="74"/>
      <c r="D1046" s="1592"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3"/>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3" customHeight="1">
      <c r="A1047" s="14"/>
      <c r="B1047" s="73"/>
      <c r="C1047" s="74"/>
      <c r="D1047" s="1592"/>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3"/>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3" customHeight="1">
      <c r="A1048" s="14"/>
      <c r="B1048" s="73"/>
      <c r="C1048" s="74"/>
      <c r="D1048" s="1592"/>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3"/>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0.63157894736842102</v>
      </c>
      <c r="BB1048" s="3" t="s">
        <v>2425</v>
      </c>
    </row>
    <row r="1049" spans="1:57" ht="13" customHeight="1">
      <c r="A1049" s="14"/>
      <c r="B1049" s="73"/>
      <c r="C1049" s="74"/>
      <c r="D1049" s="1594"/>
      <c r="E1049" s="1595"/>
      <c r="F1049" s="1595"/>
      <c r="G1049" s="1595"/>
      <c r="H1049" s="1595"/>
      <c r="I1049" s="1595"/>
      <c r="J1049" s="1595"/>
      <c r="K1049" s="1595"/>
      <c r="L1049" s="1595"/>
      <c r="M1049" s="1595"/>
      <c r="N1049" s="1595"/>
      <c r="O1049" s="1595"/>
      <c r="P1049" s="1595"/>
      <c r="Q1049" s="1595"/>
      <c r="R1049" s="1595"/>
      <c r="S1049" s="1595"/>
      <c r="T1049" s="1595"/>
      <c r="U1049" s="1595"/>
      <c r="V1049" s="1595"/>
      <c r="W1049" s="1595"/>
      <c r="X1049" s="1595"/>
      <c r="Y1049" s="1595"/>
      <c r="Z1049" s="1595"/>
      <c r="AA1049" s="1595"/>
      <c r="AB1049" s="1595"/>
      <c r="AC1049" s="1595"/>
      <c r="AD1049" s="1595"/>
      <c r="AE1049" s="1596"/>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1</v>
      </c>
      <c r="BB1049" s="3" t="s">
        <v>2422</v>
      </c>
    </row>
    <row r="1050" spans="1:57" ht="13" customHeight="1">
      <c r="A1050" s="14"/>
      <c r="B1050" s="79"/>
      <c r="C1050" s="131" t="s">
        <v>1010</v>
      </c>
      <c r="D1050" s="1552" t="s">
        <v>1296</v>
      </c>
      <c r="E1050" s="1553"/>
      <c r="F1050" s="1553"/>
      <c r="G1050" s="1553"/>
      <c r="H1050" s="1553"/>
      <c r="I1050" s="1553"/>
      <c r="J1050" s="1553"/>
      <c r="K1050" s="1553"/>
      <c r="L1050" s="1553"/>
      <c r="M1050" s="1553"/>
      <c r="N1050" s="1553"/>
      <c r="O1050" s="1553"/>
      <c r="P1050" s="1553"/>
      <c r="Q1050" s="1553"/>
      <c r="R1050" s="1553"/>
      <c r="S1050" s="1553"/>
      <c r="T1050" s="1553"/>
      <c r="U1050" s="1553"/>
      <c r="V1050" s="1553"/>
      <c r="W1050" s="1553"/>
      <c r="X1050" s="1553"/>
      <c r="Y1050" s="1553"/>
      <c r="Z1050" s="1553"/>
      <c r="AA1050" s="1553"/>
      <c r="AB1050" s="1553"/>
      <c r="AC1050" s="1553"/>
      <c r="AD1050" s="1553"/>
      <c r="AE1050" s="1554"/>
      <c r="AF1050" s="79"/>
      <c r="AG1050" s="1578" t="s">
        <v>669</v>
      </c>
      <c r="AH1050" s="1579"/>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0</v>
      </c>
      <c r="BB1050" s="3" t="s">
        <v>2423</v>
      </c>
    </row>
    <row r="1051" spans="1:57" ht="13" customHeight="1">
      <c r="A1051" s="14"/>
      <c r="B1051" s="73"/>
      <c r="C1051" s="74"/>
      <c r="D1051" s="1569" t="s">
        <v>2100</v>
      </c>
      <c r="E1051" s="1570"/>
      <c r="F1051" s="1570"/>
      <c r="G1051" s="1570"/>
      <c r="H1051" s="1570"/>
      <c r="I1051" s="1570"/>
      <c r="J1051" s="1570"/>
      <c r="K1051" s="1570"/>
      <c r="L1051" s="1570"/>
      <c r="M1051" s="1570"/>
      <c r="N1051" s="1570"/>
      <c r="O1051" s="1570"/>
      <c r="P1051" s="1570"/>
      <c r="Q1051" s="1570"/>
      <c r="R1051" s="1570"/>
      <c r="S1051" s="1570"/>
      <c r="T1051" s="1570"/>
      <c r="U1051" s="1570"/>
      <c r="V1051" s="1570"/>
      <c r="W1051" s="1570"/>
      <c r="X1051" s="1570"/>
      <c r="Y1051" s="1570"/>
      <c r="Z1051" s="1570"/>
      <c r="AA1051" s="1570"/>
      <c r="AB1051" s="1570"/>
      <c r="AC1051" s="1570"/>
      <c r="AD1051" s="1570"/>
      <c r="AE1051" s="1571"/>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v>
      </c>
      <c r="BB1051" s="3" t="s">
        <v>2424</v>
      </c>
    </row>
    <row r="1052" spans="1:57" ht="13" customHeight="1">
      <c r="A1052" s="14"/>
      <c r="B1052" s="73"/>
      <c r="C1052" s="74"/>
      <c r="D1052" s="1569"/>
      <c r="E1052" s="1570"/>
      <c r="F1052" s="1570"/>
      <c r="G1052" s="1570"/>
      <c r="H1052" s="1570"/>
      <c r="I1052" s="1570"/>
      <c r="J1052" s="1570"/>
      <c r="K1052" s="1570"/>
      <c r="L1052" s="1570"/>
      <c r="M1052" s="1570"/>
      <c r="N1052" s="1570"/>
      <c r="O1052" s="1570"/>
      <c r="P1052" s="1570"/>
      <c r="Q1052" s="1570"/>
      <c r="R1052" s="1570"/>
      <c r="S1052" s="1570"/>
      <c r="T1052" s="1570"/>
      <c r="U1052" s="1570"/>
      <c r="V1052" s="1570"/>
      <c r="W1052" s="1570"/>
      <c r="X1052" s="1570"/>
      <c r="Y1052" s="1570"/>
      <c r="Z1052" s="1570"/>
      <c r="AA1052" s="1570"/>
      <c r="AB1052" s="1570"/>
      <c r="AC1052" s="1570"/>
      <c r="AD1052" s="1570"/>
      <c r="AE1052" s="1571"/>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3" customHeight="1">
      <c r="A1053" s="14"/>
      <c r="B1053" s="73"/>
      <c r="C1053" s="74"/>
      <c r="D1053" s="1555"/>
      <c r="E1053" s="1556"/>
      <c r="F1053" s="1556"/>
      <c r="G1053" s="1556"/>
      <c r="H1053" s="1556"/>
      <c r="I1053" s="1556"/>
      <c r="J1053" s="1556"/>
      <c r="K1053" s="1556"/>
      <c r="L1053" s="1556"/>
      <c r="M1053" s="1556"/>
      <c r="N1053" s="1556"/>
      <c r="O1053" s="1556"/>
      <c r="P1053" s="1556"/>
      <c r="Q1053" s="1556"/>
      <c r="R1053" s="1556"/>
      <c r="S1053" s="1556"/>
      <c r="T1053" s="1556"/>
      <c r="U1053" s="1556"/>
      <c r="V1053" s="1556"/>
      <c r="W1053" s="1556"/>
      <c r="X1053" s="1556"/>
      <c r="Y1053" s="1556"/>
      <c r="Z1053" s="1556"/>
      <c r="AA1053" s="1556"/>
      <c r="AB1053" s="1556"/>
      <c r="AC1053" s="1556"/>
      <c r="AD1053" s="1556"/>
      <c r="AE1053" s="1557"/>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3" customHeight="1">
      <c r="A1054" s="14"/>
      <c r="B1054" s="79"/>
      <c r="C1054" s="131" t="s">
        <v>1673</v>
      </c>
      <c r="D1054" s="1540" t="s">
        <v>1839</v>
      </c>
      <c r="E1054" s="1541"/>
      <c r="F1054" s="1541"/>
      <c r="G1054" s="1541"/>
      <c r="H1054" s="1541"/>
      <c r="I1054" s="1541"/>
      <c r="J1054" s="1541"/>
      <c r="K1054" s="1541"/>
      <c r="L1054" s="1541"/>
      <c r="M1054" s="1541"/>
      <c r="N1054" s="1541"/>
      <c r="O1054" s="1541"/>
      <c r="P1054" s="1541"/>
      <c r="Q1054" s="1541"/>
      <c r="R1054" s="1541"/>
      <c r="S1054" s="1541"/>
      <c r="T1054" s="1541"/>
      <c r="U1054" s="1541"/>
      <c r="V1054" s="1541"/>
      <c r="W1054" s="1541"/>
      <c r="X1054" s="1541"/>
      <c r="Y1054" s="1541"/>
      <c r="Z1054" s="1541"/>
      <c r="AA1054" s="1541"/>
      <c r="AB1054" s="1541"/>
      <c r="AC1054" s="1541"/>
      <c r="AD1054" s="1541"/>
      <c r="AE1054" s="1542"/>
      <c r="AF1054" s="79"/>
      <c r="AG1054" s="1576" t="str">
        <f>IF(X1057&gt;0,"Yes","No")</f>
        <v>Yes</v>
      </c>
      <c r="AH1054" s="1577"/>
      <c r="AI1054" s="87"/>
      <c r="AJ1054" s="1367">
        <f>IF((X1057=0),0,AY1014*AJ1001)</f>
        <v>18958140.210000001</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3" customHeight="1">
      <c r="A1055" s="14"/>
      <c r="B1055" s="73"/>
      <c r="C1055" s="442"/>
      <c r="D1055" s="1569" t="s">
        <v>1298</v>
      </c>
      <c r="E1055" s="1570"/>
      <c r="F1055" s="1570"/>
      <c r="G1055" s="1570"/>
      <c r="H1055" s="1570"/>
      <c r="I1055" s="1570"/>
      <c r="J1055" s="1570"/>
      <c r="K1055" s="1570"/>
      <c r="L1055" s="1570"/>
      <c r="M1055" s="1570"/>
      <c r="N1055" s="1570"/>
      <c r="O1055" s="1570"/>
      <c r="P1055" s="1570"/>
      <c r="Q1055" s="1570"/>
      <c r="R1055" s="1570"/>
      <c r="S1055" s="1570"/>
      <c r="T1055" s="1570"/>
      <c r="U1055" s="1570"/>
      <c r="V1055" s="1570"/>
      <c r="W1055" s="1570"/>
      <c r="X1055" s="1570"/>
      <c r="Y1055" s="1570"/>
      <c r="Z1055" s="1570"/>
      <c r="AA1055" s="1570"/>
      <c r="AB1055" s="1570"/>
      <c r="AC1055" s="1570"/>
      <c r="AD1055" s="1570"/>
      <c r="AE1055" s="1571"/>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13491280</v>
      </c>
      <c r="BA1055" s="1175">
        <f>IF(BA1049,20%,15%)</f>
        <v>0.2</v>
      </c>
      <c r="BB1055" s="3" t="s">
        <v>2411</v>
      </c>
      <c r="BC1055" s="3" t="s">
        <v>2412</v>
      </c>
      <c r="BD1055" s="3"/>
    </row>
    <row r="1056" spans="1:57" ht="13" customHeight="1">
      <c r="A1056" s="14"/>
      <c r="B1056" s="73"/>
      <c r="C1056" s="442"/>
      <c r="D1056" s="1569"/>
      <c r="E1056" s="1570"/>
      <c r="F1056" s="1570"/>
      <c r="G1056" s="1570"/>
      <c r="H1056" s="1570"/>
      <c r="I1056" s="1570"/>
      <c r="J1056" s="1570"/>
      <c r="K1056" s="1570"/>
      <c r="L1056" s="1570"/>
      <c r="M1056" s="1570"/>
      <c r="N1056" s="1570"/>
      <c r="O1056" s="1570"/>
      <c r="P1056" s="1570"/>
      <c r="Q1056" s="1570"/>
      <c r="R1056" s="1570"/>
      <c r="S1056" s="1570"/>
      <c r="T1056" s="1570"/>
      <c r="U1056" s="1570"/>
      <c r="V1056" s="1570"/>
      <c r="W1056" s="1570"/>
      <c r="X1056" s="1570"/>
      <c r="Y1056" s="1570"/>
      <c r="Z1056" s="1570"/>
      <c r="AA1056" s="1570"/>
      <c r="AB1056" s="1570"/>
      <c r="AC1056" s="1570"/>
      <c r="AD1056" s="1570"/>
      <c r="AE1056" s="1571"/>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3" customHeight="1">
      <c r="A1057" s="14"/>
      <c r="B1057" s="77"/>
      <c r="C1057" s="78"/>
      <c r="D1057" s="132" t="s">
        <v>972</v>
      </c>
      <c r="E1057" s="133"/>
      <c r="F1057" s="133"/>
      <c r="G1057" s="133"/>
      <c r="H1057" s="133"/>
      <c r="I1057" s="1574">
        <f>AY1012</f>
        <v>95</v>
      </c>
      <c r="J1057" s="1575"/>
      <c r="K1057" s="7"/>
      <c r="L1057" s="133"/>
      <c r="M1057" s="133"/>
      <c r="N1057" s="133"/>
      <c r="O1057" s="133"/>
      <c r="P1057" s="133"/>
      <c r="Q1057" s="133"/>
      <c r="R1057" s="133"/>
      <c r="S1057" s="133"/>
      <c r="T1057" s="133"/>
      <c r="U1057" s="133"/>
      <c r="V1057" s="134" t="s">
        <v>973</v>
      </c>
      <c r="W1057" s="48"/>
      <c r="X1057" s="1572">
        <f>CI761</f>
        <v>30</v>
      </c>
      <c r="Y1057" s="1573"/>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3" customHeight="1">
      <c r="A1058" s="14"/>
      <c r="B1058" s="79"/>
      <c r="C1058" s="131" t="s">
        <v>1674</v>
      </c>
      <c r="D1058" s="1552" t="s">
        <v>2126</v>
      </c>
      <c r="E1058" s="1553"/>
      <c r="F1058" s="1553"/>
      <c r="G1058" s="1553"/>
      <c r="H1058" s="1553"/>
      <c r="I1058" s="1553"/>
      <c r="J1058" s="1553"/>
      <c r="K1058" s="1553"/>
      <c r="L1058" s="1553"/>
      <c r="M1058" s="1553"/>
      <c r="N1058" s="1553"/>
      <c r="O1058" s="1553"/>
      <c r="P1058" s="1553"/>
      <c r="Q1058" s="1553"/>
      <c r="R1058" s="1553"/>
      <c r="S1058" s="1553"/>
      <c r="T1058" s="1553"/>
      <c r="U1058" s="1553"/>
      <c r="V1058" s="1553"/>
      <c r="W1058" s="1553"/>
      <c r="X1058" s="1553"/>
      <c r="Y1058" s="1553"/>
      <c r="Z1058" s="1553"/>
      <c r="AA1058" s="1553"/>
      <c r="AB1058" s="1553"/>
      <c r="AC1058" s="1553"/>
      <c r="AD1058" s="1553"/>
      <c r="AE1058" s="1554"/>
      <c r="AF1058" s="73"/>
      <c r="AG1058" s="1576" t="str">
        <f>IF(X1061&gt;0,"Yes","No")</f>
        <v>Yes</v>
      </c>
      <c r="AH1058" s="1577"/>
      <c r="AI1058" s="83"/>
      <c r="AJ1058" s="1367">
        <f>IF((X1061=0),0,(2*AY1015)*AJ1001)</f>
        <v>37916280.420000002</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2411</v>
      </c>
      <c r="BC1058" s="3" t="s">
        <v>2415</v>
      </c>
      <c r="BD1058" s="3"/>
    </row>
    <row r="1059" spans="1:56" ht="13" customHeight="1">
      <c r="A1059" s="14"/>
      <c r="B1059" s="73"/>
      <c r="C1059" s="442"/>
      <c r="D1059" s="1569" t="s">
        <v>1297</v>
      </c>
      <c r="E1059" s="1570"/>
      <c r="F1059" s="1570"/>
      <c r="G1059" s="1570"/>
      <c r="H1059" s="1570"/>
      <c r="I1059" s="1570"/>
      <c r="J1059" s="1570"/>
      <c r="K1059" s="1570"/>
      <c r="L1059" s="1570"/>
      <c r="M1059" s="1570"/>
      <c r="N1059" s="1570"/>
      <c r="O1059" s="1570"/>
      <c r="P1059" s="1570"/>
      <c r="Q1059" s="1570"/>
      <c r="R1059" s="1570"/>
      <c r="S1059" s="1570"/>
      <c r="T1059" s="1570"/>
      <c r="U1059" s="1570"/>
      <c r="V1059" s="1570"/>
      <c r="W1059" s="1570"/>
      <c r="X1059" s="1570"/>
      <c r="Y1059" s="1570"/>
      <c r="Z1059" s="1570"/>
      <c r="AA1059" s="1570"/>
      <c r="AB1059" s="1570"/>
      <c r="AC1059" s="1570"/>
      <c r="AD1059" s="1570"/>
      <c r="AE1059" s="1571"/>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3" customHeight="1">
      <c r="A1060" s="14"/>
      <c r="B1060" s="73"/>
      <c r="C1060" s="83"/>
      <c r="D1060" s="1569"/>
      <c r="E1060" s="1570"/>
      <c r="F1060" s="1570"/>
      <c r="G1060" s="1570"/>
      <c r="H1060" s="1570"/>
      <c r="I1060" s="1570"/>
      <c r="J1060" s="1570"/>
      <c r="K1060" s="1570"/>
      <c r="L1060" s="1570"/>
      <c r="M1060" s="1570"/>
      <c r="N1060" s="1570"/>
      <c r="O1060" s="1570"/>
      <c r="P1060" s="1570"/>
      <c r="Q1060" s="1570"/>
      <c r="R1060" s="1570"/>
      <c r="S1060" s="1570"/>
      <c r="T1060" s="1570"/>
      <c r="U1060" s="1570"/>
      <c r="V1060" s="1570"/>
      <c r="W1060" s="1570"/>
      <c r="X1060" s="1570"/>
      <c r="Y1060" s="1570"/>
      <c r="Z1060" s="1570"/>
      <c r="AA1060" s="1570"/>
      <c r="AB1060" s="1570"/>
      <c r="AC1060" s="1570"/>
      <c r="AD1060" s="1570"/>
      <c r="AE1060" s="1571"/>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3000000</v>
      </c>
      <c r="BA1060" s="3" t="s">
        <v>2416</v>
      </c>
      <c r="BB1060" s="3"/>
      <c r="BC1060" s="3"/>
      <c r="BD1060" s="3" cm="1">
        <f t="array" ref="BD1060">_xlfn.IFS(BA1049,3000000,AND(BA1050&gt;=25%,BA1051&gt;=15),2800000,TRUE,2500000)</f>
        <v>3000000</v>
      </c>
    </row>
    <row r="1061" spans="1:56" ht="13" customHeight="1">
      <c r="A1061" s="14"/>
      <c r="B1061" s="77"/>
      <c r="C1061" s="78"/>
      <c r="D1061" s="132" t="s">
        <v>972</v>
      </c>
      <c r="E1061" s="133"/>
      <c r="F1061" s="133"/>
      <c r="G1061" s="133"/>
      <c r="H1061" s="133"/>
      <c r="I1061" s="1574">
        <f>AY1012</f>
        <v>95</v>
      </c>
      <c r="J1061" s="1575"/>
      <c r="K1061" s="14"/>
      <c r="L1061" s="133"/>
      <c r="M1061" s="133"/>
      <c r="N1061" s="133"/>
      <c r="O1061" s="133"/>
      <c r="P1061" s="133"/>
      <c r="Q1061" s="133"/>
      <c r="R1061" s="133"/>
      <c r="S1061" s="133"/>
      <c r="T1061" s="133"/>
      <c r="U1061" s="133"/>
      <c r="V1061" s="134" t="s">
        <v>974</v>
      </c>
      <c r="X1061" s="1572">
        <f>CM761</f>
        <v>30</v>
      </c>
      <c r="Y1061" s="1573"/>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3" customHeight="1">
      <c r="A1062" s="14"/>
      <c r="B1062" s="102"/>
      <c r="C1062" s="103"/>
      <c r="D1062" s="1567" t="s">
        <v>513</v>
      </c>
      <c r="E1062" s="1567"/>
      <c r="F1062" s="1567"/>
      <c r="G1062" s="1567"/>
      <c r="H1062" s="1567"/>
      <c r="I1062" s="1567"/>
      <c r="J1062" s="1567"/>
      <c r="K1062" s="1567"/>
      <c r="L1062" s="1567"/>
      <c r="M1062" s="1567"/>
      <c r="N1062" s="1567"/>
      <c r="O1062" s="1567"/>
      <c r="P1062" s="1567"/>
      <c r="Q1062" s="1567"/>
      <c r="R1062" s="1567"/>
      <c r="S1062" s="1567"/>
      <c r="T1062" s="1567"/>
      <c r="U1062" s="1567"/>
      <c r="V1062" s="1567"/>
      <c r="W1062" s="1567"/>
      <c r="X1062" s="1567"/>
      <c r="Y1062" s="1567"/>
      <c r="Z1062" s="1567"/>
      <c r="AA1062" s="1567"/>
      <c r="AB1062" s="1567"/>
      <c r="AC1062" s="1567"/>
      <c r="AD1062" s="1567"/>
      <c r="AE1062" s="1567"/>
      <c r="AF1062" s="1567"/>
      <c r="AG1062" s="1567"/>
      <c r="AH1062" s="1567"/>
      <c r="AI1062" s="1568"/>
      <c r="AJ1062" s="1589">
        <f>SUM(AJ1001:AQ1061)</f>
        <v>148607356.63</v>
      </c>
      <c r="AK1062" s="1590"/>
      <c r="AL1062" s="1590"/>
      <c r="AM1062" s="1590"/>
      <c r="AN1062" s="1590"/>
      <c r="AO1062" s="1590"/>
      <c r="AP1062" s="1590"/>
      <c r="AQ1062" s="1591"/>
      <c r="AR1062" s="68"/>
      <c r="AS1062" s="68"/>
      <c r="AT1062" s="68"/>
      <c r="AU1062" s="68"/>
      <c r="AV1062" s="68"/>
      <c r="AW1062" s="68"/>
      <c r="AX1062" s="68"/>
      <c r="AY1062" s="68"/>
      <c r="AZ1062" s="1174">
        <v>6000000</v>
      </c>
      <c r="BA1062" s="3" t="s">
        <v>2418</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2419</v>
      </c>
      <c r="BC1064" s="3"/>
      <c r="BD1064" s="3"/>
    </row>
    <row r="1065" spans="1:56" ht="13"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1">
        <f>'Sources and Uses Budget'!S107+'Sources and Uses Budget'!T107</f>
        <v>80947680</v>
      </c>
      <c r="AB1065" s="1861"/>
      <c r="AC1065" s="1861"/>
      <c r="AD1065" s="1861"/>
      <c r="AE1065" s="1861"/>
      <c r="AF1065" s="186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13491280</v>
      </c>
      <c r="BB1065" s="3" t="s">
        <v>2420</v>
      </c>
      <c r="BC1065" s="3"/>
      <c r="BD1065" s="3"/>
    </row>
    <row r="1066" spans="1:56" ht="13"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2">
        <f>IFERROR((AA1065-BA1068)/(AJ1062-AJ1054-AJ1058),"")</f>
        <v>0.7680600128180789</v>
      </c>
      <c r="AB1066" s="1863"/>
      <c r="AC1066" s="1863"/>
      <c r="AD1066" s="1863"/>
      <c r="AE1066" s="1863"/>
      <c r="AF1066" s="186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68"/>
      <c r="AP1067" s="68"/>
      <c r="AQ1067" s="68"/>
      <c r="AR1067" s="68"/>
      <c r="AS1067" s="68"/>
      <c r="AT1067" s="68"/>
      <c r="AU1067" s="68"/>
      <c r="AV1067" s="14"/>
      <c r="AW1067" s="14"/>
      <c r="AX1067" s="14"/>
      <c r="AY1067" s="14"/>
      <c r="BA1067" s="1178">
        <f>'Sources and Uses Budget'!$S$104+'Sources and Uses Budget'!$T$104</f>
        <v>13491280</v>
      </c>
      <c r="BB1067" s="3" t="s">
        <v>2426</v>
      </c>
    </row>
    <row r="1068" spans="1:56" ht="13" customHeight="1">
      <c r="A1068" s="14"/>
      <c r="B1068" s="14"/>
      <c r="C1068" s="208"/>
      <c r="D1068" s="854"/>
      <c r="E1068" s="854"/>
      <c r="F1068" s="854"/>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68"/>
      <c r="AP1068" s="68"/>
      <c r="AQ1068" s="68"/>
      <c r="AR1068" s="68"/>
      <c r="AS1068" s="68"/>
      <c r="AT1068" s="68"/>
      <c r="AU1068" s="68"/>
      <c r="AV1068" s="14"/>
      <c r="AW1068" s="14"/>
      <c r="AX1068" s="14"/>
      <c r="AY1068" s="14"/>
      <c r="BA1068" s="1179">
        <f>MAX($BA$1067-$BA$1064,0)</f>
        <v>10491280</v>
      </c>
      <c r="BB1068" s="3" t="s">
        <v>2427</v>
      </c>
    </row>
    <row r="1069" spans="1:56" ht="13" customHeight="1">
      <c r="A1069" s="88"/>
      <c r="B1069" s="1165"/>
      <c r="C1069" s="1165"/>
      <c r="D1069" s="1165"/>
      <c r="E1069" s="1165"/>
      <c r="F1069" s="1165"/>
      <c r="G1069" s="1865"/>
      <c r="H1069" s="1865"/>
      <c r="I1069" s="1865"/>
      <c r="J1069" s="1865"/>
      <c r="K1069" s="1865"/>
      <c r="L1069" s="1865"/>
      <c r="M1069" s="1865"/>
      <c r="N1069" s="1865"/>
      <c r="O1069" s="1865"/>
      <c r="P1069" s="1865"/>
      <c r="Q1069" s="1865"/>
      <c r="R1069" s="1865"/>
      <c r="S1069" s="1865"/>
      <c r="T1069" s="1865"/>
      <c r="U1069" s="1865"/>
      <c r="V1069" s="1865"/>
      <c r="W1069" s="1865"/>
      <c r="X1069" s="1865"/>
      <c r="Y1069" s="1865"/>
      <c r="Z1069" s="1865"/>
      <c r="AA1069" s="1865"/>
      <c r="AB1069" s="1865"/>
      <c r="AC1069" s="1865"/>
      <c r="AD1069" s="1865"/>
      <c r="AE1069" s="1865"/>
      <c r="AF1069" s="1865"/>
      <c r="AG1069" s="1865"/>
      <c r="AH1069" s="1865"/>
      <c r="AI1069" s="1865"/>
      <c r="AJ1069" s="1865"/>
      <c r="AK1069" s="1865"/>
      <c r="AL1069" s="1865"/>
      <c r="AM1069" s="1865"/>
      <c r="AN1069" s="1865"/>
      <c r="AO1069" s="1165"/>
      <c r="AP1069" s="1165"/>
      <c r="AQ1069" s="68"/>
      <c r="AR1069" s="68"/>
      <c r="AS1069" s="68"/>
      <c r="AT1069" s="68"/>
      <c r="AU1069" s="68"/>
      <c r="AV1069" s="68"/>
      <c r="AW1069" s="68"/>
      <c r="AX1069" s="68"/>
      <c r="AY1069" s="68"/>
    </row>
    <row r="1070" spans="1:56" ht="13" customHeight="1">
      <c r="A1070" s="1344" t="s">
        <v>794</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0" t="s">
        <v>591</v>
      </c>
      <c r="B1074" s="1340"/>
      <c r="C1074" s="1341">
        <v>1</v>
      </c>
      <c r="D1074" s="1341"/>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0" t="s">
        <v>591</v>
      </c>
      <c r="B1076" s="1340"/>
      <c r="C1076" s="1341">
        <v>2</v>
      </c>
      <c r="D1076" s="1341"/>
      <c r="E1076" s="1343" t="s">
        <v>2193</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3"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3"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0" t="s">
        <v>591</v>
      </c>
      <c r="B1079" s="1340"/>
      <c r="C1079" s="1342">
        <v>3</v>
      </c>
      <c r="D1079" s="1342"/>
      <c r="E1079" s="1302" t="s">
        <v>1080</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3"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3"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3"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3"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0" t="s">
        <v>591</v>
      </c>
      <c r="B1084" s="1340"/>
      <c r="C1084" s="1342">
        <v>4</v>
      </c>
      <c r="D1084" s="1342"/>
      <c r="E1084" s="1302" t="s">
        <v>1079</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3"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3"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3"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3"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3"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0" t="s">
        <v>591</v>
      </c>
      <c r="B1090" s="1340"/>
      <c r="C1090" s="1342">
        <v>5</v>
      </c>
      <c r="D1090" s="1342"/>
      <c r="E1090" s="1302" t="s">
        <v>2196</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3"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3"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3"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0" t="s">
        <v>591</v>
      </c>
      <c r="B1094" s="1340"/>
      <c r="C1094" s="1342">
        <v>6</v>
      </c>
      <c r="D1094" s="1342"/>
      <c r="E1094" s="1302" t="s">
        <v>2197</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3"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3"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3"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0" t="s">
        <v>591</v>
      </c>
      <c r="B1098" s="1340"/>
      <c r="C1098" s="1342">
        <v>7</v>
      </c>
      <c r="D1098" s="1342"/>
      <c r="E1098" s="1302" t="s">
        <v>2095</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3"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3"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3"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0" t="s">
        <v>591</v>
      </c>
      <c r="B1103" s="1340"/>
      <c r="C1103" s="1342">
        <v>8</v>
      </c>
      <c r="D1103" s="1342"/>
      <c r="E1103" s="1302" t="s">
        <v>1073</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3"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3"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0" t="s">
        <v>591</v>
      </c>
      <c r="B1106" s="1340"/>
      <c r="C1106" s="1341">
        <v>9</v>
      </c>
      <c r="D1106" s="1341"/>
      <c r="E1106" s="1302" t="s">
        <v>1075</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3"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3"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0" t="s">
        <v>591</v>
      </c>
      <c r="B1109" s="1340"/>
      <c r="C1109" s="1341">
        <v>10</v>
      </c>
      <c r="D1109" s="1341"/>
      <c r="E1109" s="1304" t="s">
        <v>2194</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3"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0" t="s">
        <v>591</v>
      </c>
      <c r="B1112" s="1340"/>
      <c r="C1112" s="1341">
        <v>11</v>
      </c>
      <c r="D1112" s="1341"/>
      <c r="E1112" s="1304" t="s">
        <v>2195</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3"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69" t="s">
        <v>1074</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P742:CT742"/>
    <mergeCell ref="CM755:CN755"/>
    <mergeCell ref="CG740:CH740"/>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K755:CL755"/>
    <mergeCell ref="CM753:CN753"/>
    <mergeCell ref="CG754:CH754"/>
    <mergeCell ref="CI754:CJ754"/>
    <mergeCell ref="DE747:DI747"/>
    <mergeCell ref="CG746:CH746"/>
    <mergeCell ref="AK754:AO754"/>
    <mergeCell ref="CG744:CH744"/>
    <mergeCell ref="FJ750:FN750"/>
    <mergeCell ref="FO750:FS750"/>
    <mergeCell ref="EE749:EI749"/>
    <mergeCell ref="EJ749:EN749"/>
    <mergeCell ref="EO749:ES749"/>
    <mergeCell ref="CU750:CY750"/>
    <mergeCell ref="CZ750:DD750"/>
    <mergeCell ref="DE754:DI754"/>
    <mergeCell ref="DO750:DS750"/>
    <mergeCell ref="CU751:CY751"/>
    <mergeCell ref="CZ751:DD751"/>
    <mergeCell ref="DE751:DI751"/>
    <mergeCell ref="DJ755:DN755"/>
    <mergeCell ref="CP750:CT750"/>
    <mergeCell ref="CP751:CT751"/>
    <mergeCell ref="DJ751:DN751"/>
    <mergeCell ref="DO751:DS751"/>
    <mergeCell ref="DO752:DS752"/>
    <mergeCell ref="DZ753:ED753"/>
    <mergeCell ref="FJ749:FN749"/>
    <mergeCell ref="FO749:FS749"/>
    <mergeCell ref="EZ754:FD754"/>
    <mergeCell ref="DU754:DY754"/>
    <mergeCell ref="DZ754:ED754"/>
    <mergeCell ref="EE754:EI754"/>
    <mergeCell ref="EJ754:EN754"/>
    <mergeCell ref="EO754:ES754"/>
    <mergeCell ref="ET754:EX754"/>
    <mergeCell ref="DU755:DY755"/>
    <mergeCell ref="DZ755:ED755"/>
    <mergeCell ref="EE755:EI755"/>
    <mergeCell ref="EJ755:EN755"/>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57:EX757"/>
    <mergeCell ref="DU758:DY758"/>
    <mergeCell ref="DZ758:ED758"/>
    <mergeCell ref="EE758:EI758"/>
    <mergeCell ref="EJ758:EN758"/>
    <mergeCell ref="EO758:ES758"/>
    <mergeCell ref="ET758:EX758"/>
    <mergeCell ref="EZ757:FD757"/>
    <mergeCell ref="FE757:FI757"/>
    <mergeCell ref="FJ757:FN757"/>
    <mergeCell ref="FO757:FS757"/>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6:FA666"/>
    <mergeCell ref="EC673:EG673"/>
    <mergeCell ref="EZ749:FD749"/>
    <mergeCell ref="FE749:FI749"/>
    <mergeCell ref="EW667:FA667"/>
    <mergeCell ref="DX668:EB668"/>
    <mergeCell ref="EC668:EG668"/>
    <mergeCell ref="ET749:EX749"/>
    <mergeCell ref="DU750:DY750"/>
    <mergeCell ref="DZ750:ED750"/>
    <mergeCell ref="ET750:EX750"/>
    <mergeCell ref="FE750:FI750"/>
    <mergeCell ref="ET753:EX753"/>
    <mergeCell ref="EE750:EI750"/>
    <mergeCell ref="EJ750:EN750"/>
    <mergeCell ref="EO750:ES750"/>
    <mergeCell ref="EC672:EG672"/>
    <mergeCell ref="DZ742:ED742"/>
    <mergeCell ref="EJ735:EN735"/>
    <mergeCell ref="EO737:ES737"/>
    <mergeCell ref="EO740:ES740"/>
    <mergeCell ref="EJ738:EN738"/>
    <mergeCell ref="DX676:EB676"/>
    <mergeCell ref="EC676:EG676"/>
    <mergeCell ref="ET735:EX735"/>
    <mergeCell ref="EE731:EI731"/>
    <mergeCell ref="EJ731:EN731"/>
    <mergeCell ref="EO733:ES733"/>
    <mergeCell ref="EJ732:EN732"/>
    <mergeCell ref="EO731:ES731"/>
    <mergeCell ref="EO732:ES732"/>
    <mergeCell ref="ET732:EX732"/>
    <mergeCell ref="DU749:DY749"/>
    <mergeCell ref="DU753:DY753"/>
    <mergeCell ref="FY758:GC758"/>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5:GC755"/>
    <mergeCell ref="EE757:EI757"/>
    <mergeCell ref="EJ757:EN757"/>
    <mergeCell ref="EO757:ES757"/>
    <mergeCell ref="EJ753:EN753"/>
    <mergeCell ref="EZ756:FD756"/>
    <mergeCell ref="FY757:GC757"/>
    <mergeCell ref="FE754:FI754"/>
    <mergeCell ref="FJ754:FN754"/>
    <mergeCell ref="FO754:FS754"/>
    <mergeCell ref="FY756:GC756"/>
    <mergeCell ref="FY753:GC753"/>
    <mergeCell ref="ER645:EV645"/>
    <mergeCell ref="DX666:EB666"/>
    <mergeCell ref="EC666:EG666"/>
    <mergeCell ref="EH666:EL666"/>
    <mergeCell ref="EM666:EQ666"/>
    <mergeCell ref="ER666:EV666"/>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CK749:CL749"/>
    <mergeCell ref="CM749:CN749"/>
    <mergeCell ref="FT754:FX754"/>
    <mergeCell ref="C564:L564"/>
    <mergeCell ref="C567:L567"/>
    <mergeCell ref="B559:L561"/>
    <mergeCell ref="AC518:AF518"/>
    <mergeCell ref="Q567:S567"/>
    <mergeCell ref="AC515:AF515"/>
    <mergeCell ref="M569:P569"/>
    <mergeCell ref="AC524:AF524"/>
    <mergeCell ref="AC546:AF546"/>
    <mergeCell ref="Z562:AD562"/>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X750:AB750"/>
    <mergeCell ref="AH750:AJ750"/>
    <mergeCell ref="AK747:AO747"/>
    <mergeCell ref="B749:F749"/>
    <mergeCell ref="DJ741:DN741"/>
    <mergeCell ref="D480:V480"/>
    <mergeCell ref="EW644:FA644"/>
    <mergeCell ref="W569:Y569"/>
    <mergeCell ref="W570:Y570"/>
    <mergeCell ref="T567:V567"/>
    <mergeCell ref="Z577:AK577"/>
    <mergeCell ref="AH523:AK523"/>
    <mergeCell ref="AC549:AF549"/>
    <mergeCell ref="Q562:S562"/>
    <mergeCell ref="AH537:AK537"/>
    <mergeCell ref="AH542:AK542"/>
    <mergeCell ref="O531:AA531"/>
    <mergeCell ref="M566:P566"/>
    <mergeCell ref="G579:R579"/>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E568:AH568"/>
    <mergeCell ref="Z559:AD561"/>
    <mergeCell ref="AH521:AK521"/>
    <mergeCell ref="C563:L563"/>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M564:P564"/>
    <mergeCell ref="Z567:AD567"/>
    <mergeCell ref="AC547:AF547"/>
    <mergeCell ref="AE559:AH561"/>
    <mergeCell ref="AI559:AL561"/>
    <mergeCell ref="AC541:AF541"/>
    <mergeCell ref="O540:AA540"/>
    <mergeCell ref="AH534:AK534"/>
    <mergeCell ref="AC529:AF529"/>
    <mergeCell ref="AH535:AK535"/>
    <mergeCell ref="AC525:AF525"/>
    <mergeCell ref="T565:V565"/>
    <mergeCell ref="W564:Y564"/>
    <mergeCell ref="Q564:S564"/>
    <mergeCell ref="M562:P562"/>
    <mergeCell ref="T564:V564"/>
    <mergeCell ref="AH533:AK533"/>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M503:P503"/>
    <mergeCell ref="AC509:AF509"/>
    <mergeCell ref="AG447:AJ447"/>
    <mergeCell ref="B509:H510"/>
    <mergeCell ref="AC534:AF534"/>
    <mergeCell ref="AG459:AJ459"/>
    <mergeCell ref="D475:V475"/>
    <mergeCell ref="AG450:AJ450"/>
    <mergeCell ref="AH539:AK539"/>
    <mergeCell ref="AH548:AK548"/>
    <mergeCell ref="L516:AB516"/>
    <mergeCell ref="W480:Y480"/>
    <mergeCell ref="AH518:AK518"/>
    <mergeCell ref="AG453:AJ453"/>
    <mergeCell ref="D449:AF449"/>
    <mergeCell ref="AH541:AK541"/>
    <mergeCell ref="B528:H550"/>
    <mergeCell ref="Q495:AK495"/>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CK741:CL741"/>
    <mergeCell ref="CK758:CL758"/>
    <mergeCell ref="CM758:CN758"/>
    <mergeCell ref="CG755:CH755"/>
    <mergeCell ref="CI755:CJ755"/>
    <mergeCell ref="CP753:CT753"/>
    <mergeCell ref="Z693:AK693"/>
    <mergeCell ref="AE706:AI706"/>
    <mergeCell ref="AC722:AG725"/>
    <mergeCell ref="AC645:AE645"/>
    <mergeCell ref="X722:AB725"/>
    <mergeCell ref="AE702:AF702"/>
    <mergeCell ref="A717:AT719"/>
    <mergeCell ref="G668:R668"/>
    <mergeCell ref="T642:V642"/>
    <mergeCell ref="G654:R654"/>
    <mergeCell ref="Z660:AK660"/>
    <mergeCell ref="G722:J725"/>
    <mergeCell ref="P589:R589"/>
    <mergeCell ref="N599:O599"/>
    <mergeCell ref="Q568:S568"/>
    <mergeCell ref="Q573:S573"/>
    <mergeCell ref="Q569:S569"/>
    <mergeCell ref="AM568:AS568"/>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AG449:AJ449"/>
    <mergeCell ref="Z441:AA441"/>
    <mergeCell ref="D447:AF447"/>
    <mergeCell ref="C570:L570"/>
    <mergeCell ref="AM565:AS565"/>
    <mergeCell ref="W638:Y638"/>
    <mergeCell ref="Z667:AK667"/>
    <mergeCell ref="W565:Y565"/>
    <mergeCell ref="AA590:AK590"/>
    <mergeCell ref="H581:R581"/>
    <mergeCell ref="B574:AL574"/>
    <mergeCell ref="N583:O583"/>
    <mergeCell ref="B727:F727"/>
    <mergeCell ref="B726:F726"/>
    <mergeCell ref="C566:L566"/>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AF638:AJ638"/>
    <mergeCell ref="G693:R693"/>
    <mergeCell ref="M643:P643"/>
    <mergeCell ref="AG446:AJ446"/>
    <mergeCell ref="J397:U397"/>
    <mergeCell ref="AG458:AJ458"/>
    <mergeCell ref="AJ365:AK365"/>
    <mergeCell ref="AD386:AE386"/>
    <mergeCell ref="AC380:AF380"/>
    <mergeCell ref="D458:AF458"/>
    <mergeCell ref="AG452:AJ452"/>
    <mergeCell ref="M365:N365"/>
    <mergeCell ref="R421:S421"/>
    <mergeCell ref="Q438:R438"/>
    <mergeCell ref="D457:AF457"/>
    <mergeCell ref="AG454:AJ454"/>
    <mergeCell ref="AC379:AF379"/>
    <mergeCell ref="AI401:AJ401"/>
    <mergeCell ref="AE411:AJ411"/>
    <mergeCell ref="AC394:AJ394"/>
    <mergeCell ref="Q403:U403"/>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H345:R345"/>
    <mergeCell ref="D450:AF450"/>
    <mergeCell ref="AG456:AJ456"/>
    <mergeCell ref="AC463:AF463"/>
    <mergeCell ref="P434:Q434"/>
    <mergeCell ref="I427:K427"/>
    <mergeCell ref="AA309:AF309"/>
    <mergeCell ref="W270:X270"/>
    <mergeCell ref="U272:W272"/>
    <mergeCell ref="M266:T266"/>
    <mergeCell ref="M265:AE265"/>
    <mergeCell ref="Z272:AE272"/>
    <mergeCell ref="AA266:AK266"/>
    <mergeCell ref="M269:AE269"/>
    <mergeCell ref="AA274:AK274"/>
    <mergeCell ref="H304:R304"/>
    <mergeCell ref="M270:T270"/>
    <mergeCell ref="H307:R307"/>
    <mergeCell ref="AA317:AF317"/>
    <mergeCell ref="AA307:AK307"/>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U245:W245"/>
    <mergeCell ref="T189:AE189"/>
    <mergeCell ref="Y120:AK120"/>
    <mergeCell ref="O160:T160"/>
    <mergeCell ref="J173:S173"/>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V226:W226"/>
    <mergeCell ref="V227:W227"/>
    <mergeCell ref="V228:W228"/>
    <mergeCell ref="V229:W229"/>
    <mergeCell ref="AA301:AF301"/>
    <mergeCell ref="AI178:AK178"/>
    <mergeCell ref="AC262:AE262"/>
    <mergeCell ref="AH255:AK255"/>
    <mergeCell ref="W262:X262"/>
    <mergeCell ref="M261:AE261"/>
    <mergeCell ref="H296:R296"/>
    <mergeCell ref="U264:W264"/>
    <mergeCell ref="U175:V175"/>
    <mergeCell ref="AF252:AK252"/>
    <mergeCell ref="W243:X243"/>
    <mergeCell ref="T212:U212"/>
    <mergeCell ref="F150:T150"/>
    <mergeCell ref="O155:AH1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R177:S177"/>
    <mergeCell ref="I185:AE185"/>
    <mergeCell ref="M252:AE252"/>
    <mergeCell ref="D204:M204"/>
    <mergeCell ref="M247:T247"/>
    <mergeCell ref="T197:U197"/>
    <mergeCell ref="M262:T26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M243:T243"/>
    <mergeCell ref="AA329:AK329"/>
    <mergeCell ref="H326:R326"/>
    <mergeCell ref="P332:R332"/>
    <mergeCell ref="AA324:AF324"/>
    <mergeCell ref="H348:M348"/>
    <mergeCell ref="P358:AE358"/>
    <mergeCell ref="AA320:AK32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AA315:AK315"/>
    <mergeCell ref="AA312:AK312"/>
    <mergeCell ref="D279:H279"/>
    <mergeCell ref="X279:AC279"/>
    <mergeCell ref="H320:R320"/>
    <mergeCell ref="M274:T274"/>
    <mergeCell ref="L283:AJ283"/>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H310:R310"/>
    <mergeCell ref="L286:AD286"/>
    <mergeCell ref="H298:R298"/>
    <mergeCell ref="H300:M300"/>
    <mergeCell ref="H308:M308"/>
    <mergeCell ref="H309:M309"/>
    <mergeCell ref="P324:R324"/>
    <mergeCell ref="H317:M317"/>
    <mergeCell ref="P316:R316"/>
    <mergeCell ref="H314:R314"/>
    <mergeCell ref="AA297:AK297"/>
    <mergeCell ref="H321:R321"/>
    <mergeCell ref="AI316:AK316"/>
    <mergeCell ref="H313:R313"/>
    <mergeCell ref="H312:R312"/>
    <mergeCell ref="M263:AE263"/>
    <mergeCell ref="AA299:AK299"/>
    <mergeCell ref="AH271:AK271"/>
    <mergeCell ref="T276:X276"/>
    <mergeCell ref="AA300:AF300"/>
    <mergeCell ref="AI300:AK300"/>
    <mergeCell ref="H305:R305"/>
    <mergeCell ref="L285:S285"/>
    <mergeCell ref="L287:Q287"/>
    <mergeCell ref="AA298:AK298"/>
    <mergeCell ref="AH263:AK263"/>
    <mergeCell ref="M268:AE268"/>
    <mergeCell ref="AA302:AK302"/>
    <mergeCell ref="L289:AD289"/>
    <mergeCell ref="L284:AD284"/>
    <mergeCell ref="H299:R299"/>
    <mergeCell ref="M272:R272"/>
    <mergeCell ref="H340:M340"/>
    <mergeCell ref="H350:R350"/>
    <mergeCell ref="H344:R344"/>
    <mergeCell ref="AA342:AK342"/>
    <mergeCell ref="S422:T422"/>
    <mergeCell ref="H347:R347"/>
    <mergeCell ref="AG402:AJ402"/>
    <mergeCell ref="AG400:AJ400"/>
    <mergeCell ref="K413:AJ413"/>
    <mergeCell ref="AC395:AJ395"/>
    <mergeCell ref="K412:AJ412"/>
    <mergeCell ref="P355:AE355"/>
    <mergeCell ref="Q399:U399"/>
    <mergeCell ref="I419:AE419"/>
    <mergeCell ref="AI398:AJ398"/>
    <mergeCell ref="P356:Z356"/>
    <mergeCell ref="J395:U395"/>
    <mergeCell ref="T407:AJ407"/>
    <mergeCell ref="AA340:AF340"/>
    <mergeCell ref="AA350:AK350"/>
    <mergeCell ref="E377:AH378"/>
    <mergeCell ref="Q374:AG374"/>
    <mergeCell ref="H349:M349"/>
    <mergeCell ref="S411:U411"/>
    <mergeCell ref="AA348:AF348"/>
    <mergeCell ref="P348:R348"/>
    <mergeCell ref="S410:U410"/>
    <mergeCell ref="AG410:AJ410"/>
    <mergeCell ref="AC396:AJ396"/>
    <mergeCell ref="V397:AJ397"/>
    <mergeCell ref="AG404:AJ404"/>
    <mergeCell ref="AG403:AJ403"/>
    <mergeCell ref="R420:S420"/>
    <mergeCell ref="W473:Y473"/>
    <mergeCell ref="D477:V477"/>
    <mergeCell ref="G482:V482"/>
    <mergeCell ref="AD421:AE421"/>
    <mergeCell ref="H423:AE424"/>
    <mergeCell ref="AE434:AF434"/>
    <mergeCell ref="AC528:AF528"/>
    <mergeCell ref="AC535:AF535"/>
    <mergeCell ref="Q494:AK494"/>
    <mergeCell ref="AH510:AK510"/>
    <mergeCell ref="AC507:AK507"/>
    <mergeCell ref="W476:Y476"/>
    <mergeCell ref="B511:H516"/>
    <mergeCell ref="D459:AF459"/>
    <mergeCell ref="N379:Q379"/>
    <mergeCell ref="AH508:AK508"/>
    <mergeCell ref="AH513:AK513"/>
    <mergeCell ref="P433:Q433"/>
    <mergeCell ref="D481:V481"/>
    <mergeCell ref="AC512:AF512"/>
    <mergeCell ref="D478:V478"/>
    <mergeCell ref="S497:AK498"/>
    <mergeCell ref="W477:Y477"/>
    <mergeCell ref="W481:Y481"/>
    <mergeCell ref="D452:AF452"/>
    <mergeCell ref="E429:AJ429"/>
    <mergeCell ref="V386:W386"/>
    <mergeCell ref="S386:T386"/>
    <mergeCell ref="D446:AF446"/>
    <mergeCell ref="D451:AF451"/>
    <mergeCell ref="AF439:AG439"/>
    <mergeCell ref="P427:R427"/>
    <mergeCell ref="Q500:AK500"/>
    <mergeCell ref="AF427:AH427"/>
    <mergeCell ref="AC536:AF536"/>
    <mergeCell ref="C562:L562"/>
    <mergeCell ref="C569:L569"/>
    <mergeCell ref="W571:Y571"/>
    <mergeCell ref="C565:L565"/>
    <mergeCell ref="H323:R323"/>
    <mergeCell ref="H325:M325"/>
    <mergeCell ref="AA331:AK331"/>
    <mergeCell ref="H301:M301"/>
    <mergeCell ref="H318:R318"/>
    <mergeCell ref="O537:AA537"/>
    <mergeCell ref="AA323:AK323"/>
    <mergeCell ref="AA322:AK322"/>
    <mergeCell ref="H328:R328"/>
    <mergeCell ref="AA325:AF325"/>
    <mergeCell ref="AA306:AK306"/>
    <mergeCell ref="AA328:AK328"/>
    <mergeCell ref="AA332:AF332"/>
    <mergeCell ref="H329:R329"/>
    <mergeCell ref="H332:M332"/>
    <mergeCell ref="AA339:AK339"/>
    <mergeCell ref="H333:M333"/>
    <mergeCell ref="AA334:AK334"/>
    <mergeCell ref="H324:M324"/>
    <mergeCell ref="H330:R330"/>
    <mergeCell ref="Q398:U398"/>
    <mergeCell ref="AJ366:AK366"/>
    <mergeCell ref="D453:AF453"/>
    <mergeCell ref="AA345:AK345"/>
    <mergeCell ref="H342:R342"/>
    <mergeCell ref="Q501:AK501"/>
    <mergeCell ref="AC510:AF510"/>
    <mergeCell ref="B522:H524"/>
    <mergeCell ref="B525:H527"/>
    <mergeCell ref="D415:AJ416"/>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W566:Y566"/>
    <mergeCell ref="AE566:AH566"/>
    <mergeCell ref="W559:Y561"/>
    <mergeCell ref="AH529:AK529"/>
    <mergeCell ref="AC538:AF538"/>
    <mergeCell ref="Z563:AD563"/>
    <mergeCell ref="O543:AA543"/>
    <mergeCell ref="AH531:AK531"/>
    <mergeCell ref="AE562:AH562"/>
    <mergeCell ref="I430:K430"/>
    <mergeCell ref="AH532:AK532"/>
    <mergeCell ref="A360:AT361"/>
    <mergeCell ref="T795:W795"/>
    <mergeCell ref="T796:W796"/>
    <mergeCell ref="X785:AB785"/>
    <mergeCell ref="C834:H834"/>
    <mergeCell ref="K760:N760"/>
    <mergeCell ref="O805:S805"/>
    <mergeCell ref="O796:S796"/>
    <mergeCell ref="J796:N796"/>
    <mergeCell ref="Z822:AE822"/>
    <mergeCell ref="Z825:AE825"/>
    <mergeCell ref="P824:Y824"/>
    <mergeCell ref="J782:N782"/>
    <mergeCell ref="O764:R764"/>
    <mergeCell ref="X758:AB758"/>
    <mergeCell ref="AC757:AG757"/>
    <mergeCell ref="AC783:AG783"/>
    <mergeCell ref="AC791:AG794"/>
    <mergeCell ref="AC796:AG796"/>
    <mergeCell ref="O791:S794"/>
    <mergeCell ref="M833:P833"/>
    <mergeCell ref="X802:AB802"/>
    <mergeCell ref="Z826:AE826"/>
    <mergeCell ref="T803:W803"/>
    <mergeCell ref="O803:S803"/>
    <mergeCell ref="AC799:AG799"/>
    <mergeCell ref="C833:H833"/>
    <mergeCell ref="Z815:AE815"/>
    <mergeCell ref="O802:S802"/>
    <mergeCell ref="T777:W780"/>
    <mergeCell ref="AC801:AG801"/>
    <mergeCell ref="X783:AB783"/>
    <mergeCell ref="X784:AB784"/>
    <mergeCell ref="O743:S743"/>
    <mergeCell ref="B733:F733"/>
    <mergeCell ref="B732:F732"/>
    <mergeCell ref="B735:F735"/>
    <mergeCell ref="B731:F731"/>
    <mergeCell ref="B737:F737"/>
    <mergeCell ref="B739:F739"/>
    <mergeCell ref="B738:F738"/>
    <mergeCell ref="AK745:AO745"/>
    <mergeCell ref="X743:AB743"/>
    <mergeCell ref="X744:AB744"/>
    <mergeCell ref="T743:W743"/>
    <mergeCell ref="T742:W742"/>
    <mergeCell ref="B741:F741"/>
    <mergeCell ref="K752:N752"/>
    <mergeCell ref="J798:N798"/>
    <mergeCell ref="AC797:AG797"/>
    <mergeCell ref="AC798:AG798"/>
    <mergeCell ref="T784:W784"/>
    <mergeCell ref="T782:W782"/>
    <mergeCell ref="AH753:AJ753"/>
    <mergeCell ref="AH754:AJ754"/>
    <mergeCell ref="AH755:AJ755"/>
    <mergeCell ref="AH756:AJ756"/>
    <mergeCell ref="AK755:AO755"/>
    <mergeCell ref="T797:W797"/>
    <mergeCell ref="G735:J735"/>
    <mergeCell ref="K737:N737"/>
    <mergeCell ref="B761:F761"/>
    <mergeCell ref="O760:S760"/>
    <mergeCell ref="O782:S782"/>
    <mergeCell ref="X777:AB780"/>
    <mergeCell ref="O801:S801"/>
    <mergeCell ref="J805:N805"/>
    <mergeCell ref="J803:N803"/>
    <mergeCell ref="AC782:AG782"/>
    <mergeCell ref="AC784:AG784"/>
    <mergeCell ref="AC800:AG800"/>
    <mergeCell ref="J797:N797"/>
    <mergeCell ref="X803:AB803"/>
    <mergeCell ref="Z821:AE821"/>
    <mergeCell ref="C806:AN807"/>
    <mergeCell ref="J801:N801"/>
    <mergeCell ref="G760:J760"/>
    <mergeCell ref="Y809:AC809"/>
    <mergeCell ref="Y808:AC808"/>
    <mergeCell ref="T749:W749"/>
    <mergeCell ref="AC804:AG804"/>
    <mergeCell ref="X801:AB801"/>
    <mergeCell ref="O751:S751"/>
    <mergeCell ref="AD767:AF767"/>
    <mergeCell ref="AH758:AJ758"/>
    <mergeCell ref="T783:W783"/>
    <mergeCell ref="C771:AR773"/>
    <mergeCell ref="AC760:AG760"/>
    <mergeCell ref="T757:W757"/>
    <mergeCell ref="J791:N794"/>
    <mergeCell ref="T798:W798"/>
    <mergeCell ref="T801:W801"/>
    <mergeCell ref="O783:S783"/>
    <mergeCell ref="J800:N800"/>
    <mergeCell ref="Z814:AE814"/>
    <mergeCell ref="X799:AB799"/>
    <mergeCell ref="AG764:AJ764"/>
    <mergeCell ref="U836:X836"/>
    <mergeCell ref="AG836:AJ836"/>
    <mergeCell ref="Q835:T835"/>
    <mergeCell ref="M836:P836"/>
    <mergeCell ref="M835:P835"/>
    <mergeCell ref="J802:N802"/>
    <mergeCell ref="Y839:AB839"/>
    <mergeCell ref="W859:AC859"/>
    <mergeCell ref="W863:AC863"/>
    <mergeCell ref="W860:AC860"/>
    <mergeCell ref="W862:AC862"/>
    <mergeCell ref="W883:AC883"/>
    <mergeCell ref="C845:AJ845"/>
    <mergeCell ref="U839:X839"/>
    <mergeCell ref="Q834:T834"/>
    <mergeCell ref="Y831:AB832"/>
    <mergeCell ref="M837:P837"/>
    <mergeCell ref="Z823:AE823"/>
    <mergeCell ref="Z816:AE816"/>
    <mergeCell ref="T802:W802"/>
    <mergeCell ref="C837:H837"/>
    <mergeCell ref="U837:X837"/>
    <mergeCell ref="Q836:T836"/>
    <mergeCell ref="AG831:AJ832"/>
    <mergeCell ref="AC805:AG805"/>
    <mergeCell ref="AC834:AF834"/>
    <mergeCell ref="AC835:AF835"/>
    <mergeCell ref="AG835:AJ835"/>
    <mergeCell ref="C836:H836"/>
    <mergeCell ref="U834:X834"/>
    <mergeCell ref="M838:P838"/>
    <mergeCell ref="C840:L840"/>
    <mergeCell ref="W870:AC870"/>
    <mergeCell ref="M885:V885"/>
    <mergeCell ref="W877:AC877"/>
    <mergeCell ref="W881:AC881"/>
    <mergeCell ref="M884:V884"/>
    <mergeCell ref="W886:AC886"/>
    <mergeCell ref="W880:AC880"/>
    <mergeCell ref="BD911:BE911"/>
    <mergeCell ref="AA937:AF937"/>
    <mergeCell ref="F937:T937"/>
    <mergeCell ref="U935:Z935"/>
    <mergeCell ref="U929:Z929"/>
    <mergeCell ref="BD910:BE910"/>
    <mergeCell ref="AC895:AH895"/>
    <mergeCell ref="AW927:AY927"/>
    <mergeCell ref="AA935:AF935"/>
    <mergeCell ref="U936:Z936"/>
    <mergeCell ref="AA936:AF936"/>
    <mergeCell ref="AC896:AH896"/>
    <mergeCell ref="BD909:BE909"/>
    <mergeCell ref="W878:AC878"/>
    <mergeCell ref="AZ859:BA859"/>
    <mergeCell ref="AC899:AH899"/>
    <mergeCell ref="Q838:T838"/>
    <mergeCell ref="AG839:AJ839"/>
    <mergeCell ref="AH757:AJ757"/>
    <mergeCell ref="AH747:AJ747"/>
    <mergeCell ref="AH748:AJ748"/>
    <mergeCell ref="T736:W736"/>
    <mergeCell ref="AC748:AG748"/>
    <mergeCell ref="AC749:AG749"/>
    <mergeCell ref="AC745:AG745"/>
    <mergeCell ref="U942:Z942"/>
    <mergeCell ref="U943:Z943"/>
    <mergeCell ref="AC902:AH902"/>
    <mergeCell ref="BD908:BE908"/>
    <mergeCell ref="P954:T954"/>
    <mergeCell ref="F939:T939"/>
    <mergeCell ref="F940:T940"/>
    <mergeCell ref="U945:Z945"/>
    <mergeCell ref="F953:T953"/>
    <mergeCell ref="U953:Z953"/>
    <mergeCell ref="F949:T949"/>
    <mergeCell ref="U948:Z948"/>
    <mergeCell ref="U949:Z949"/>
    <mergeCell ref="AA947:AF947"/>
    <mergeCell ref="AG838:AJ838"/>
    <mergeCell ref="U840:X840"/>
    <mergeCell ref="M840:P840"/>
    <mergeCell ref="W875:AC875"/>
    <mergeCell ref="W867:AC867"/>
    <mergeCell ref="W857:AC857"/>
    <mergeCell ref="M886:V88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F951:T951"/>
    <mergeCell ref="U951:Z951"/>
    <mergeCell ref="AA951:AF951"/>
    <mergeCell ref="C901:AB901"/>
    <mergeCell ref="U933:Z933"/>
    <mergeCell ref="AA940:AF940"/>
    <mergeCell ref="U941:Z941"/>
    <mergeCell ref="AA941:AF941"/>
    <mergeCell ref="F947:T947"/>
    <mergeCell ref="F938:T938"/>
    <mergeCell ref="U940:Z940"/>
    <mergeCell ref="F924:T924"/>
    <mergeCell ref="B736:F736"/>
    <mergeCell ref="K745:N745"/>
    <mergeCell ref="X745:AB745"/>
    <mergeCell ref="X756:AB756"/>
    <mergeCell ref="AH746:AJ746"/>
    <mergeCell ref="AH744:AJ744"/>
    <mergeCell ref="AC747:AG747"/>
    <mergeCell ref="X740:AB740"/>
    <mergeCell ref="K742:N742"/>
    <mergeCell ref="AH741:AJ741"/>
    <mergeCell ref="O734:S734"/>
    <mergeCell ref="T730:W730"/>
    <mergeCell ref="G728:J728"/>
    <mergeCell ref="B729:F729"/>
    <mergeCell ref="AH734:AJ734"/>
    <mergeCell ref="T728:W728"/>
    <mergeCell ref="B730:F730"/>
    <mergeCell ref="T752:W752"/>
    <mergeCell ref="O748:S748"/>
    <mergeCell ref="K749:N749"/>
    <mergeCell ref="T750:W750"/>
    <mergeCell ref="X753:AB753"/>
    <mergeCell ref="T746:W746"/>
    <mergeCell ref="O752:S752"/>
    <mergeCell ref="K754:N754"/>
    <mergeCell ref="K755:N755"/>
    <mergeCell ref="O731:S731"/>
    <mergeCell ref="T751:W751"/>
    <mergeCell ref="T754:W754"/>
    <mergeCell ref="B750:F750"/>
    <mergeCell ref="B751:F751"/>
    <mergeCell ref="B742:F742"/>
    <mergeCell ref="N697:O697"/>
    <mergeCell ref="O738:S738"/>
    <mergeCell ref="X730:AB730"/>
    <mergeCell ref="G729:J729"/>
    <mergeCell ref="AH732:AJ732"/>
    <mergeCell ref="G731:J731"/>
    <mergeCell ref="O733:S733"/>
    <mergeCell ref="W714:AK714"/>
    <mergeCell ref="AK735:AO735"/>
    <mergeCell ref="O726:S726"/>
    <mergeCell ref="K722:N725"/>
    <mergeCell ref="AG697:AH697"/>
    <mergeCell ref="X726:AB726"/>
    <mergeCell ref="G730:J730"/>
    <mergeCell ref="X727:AB727"/>
    <mergeCell ref="G744:J744"/>
    <mergeCell ref="AC750:AG750"/>
    <mergeCell ref="O727:S727"/>
    <mergeCell ref="K732:N732"/>
    <mergeCell ref="AK734:AO734"/>
    <mergeCell ref="AK739:AO739"/>
    <mergeCell ref="AK738:AO738"/>
    <mergeCell ref="AK746:AO746"/>
    <mergeCell ref="AH728:AJ728"/>
    <mergeCell ref="AK730:AO730"/>
    <mergeCell ref="AH729:AJ729"/>
    <mergeCell ref="AK727:AO727"/>
    <mergeCell ref="O744:S744"/>
    <mergeCell ref="G738:J738"/>
    <mergeCell ref="X738:AB738"/>
    <mergeCell ref="X739:AB739"/>
    <mergeCell ref="G736:J736"/>
    <mergeCell ref="G683:R683"/>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G727:J727"/>
    <mergeCell ref="G695:L695"/>
    <mergeCell ref="Z685:AK685"/>
    <mergeCell ref="H688:R688"/>
    <mergeCell ref="G691:R691"/>
    <mergeCell ref="N689:O689"/>
    <mergeCell ref="G694:R694"/>
    <mergeCell ref="X732:AB732"/>
    <mergeCell ref="X731:AB731"/>
    <mergeCell ref="T727:W727"/>
    <mergeCell ref="O732:S732"/>
    <mergeCell ref="T733:W733"/>
    <mergeCell ref="G732:J732"/>
    <mergeCell ref="T737:W737"/>
    <mergeCell ref="O722:S725"/>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G750:CH750"/>
    <mergeCell ref="O730:S730"/>
    <mergeCell ref="CM741:CN741"/>
    <mergeCell ref="AK744:AO744"/>
    <mergeCell ref="AC751:AG751"/>
    <mergeCell ref="AC752:AG752"/>
    <mergeCell ref="AC753:AG753"/>
    <mergeCell ref="DJ738:DN738"/>
    <mergeCell ref="DJ735:DN735"/>
    <mergeCell ref="DJ734:DN734"/>
    <mergeCell ref="CI733:CJ733"/>
    <mergeCell ref="CZ740:DD740"/>
    <mergeCell ref="DJ736:DN736"/>
    <mergeCell ref="CM732:CN732"/>
    <mergeCell ref="CU735:CY735"/>
    <mergeCell ref="CK732:CL732"/>
    <mergeCell ref="DE738:DI738"/>
    <mergeCell ref="CM738:CN738"/>
    <mergeCell ref="CK735:CL735"/>
    <mergeCell ref="DE739:DI739"/>
    <mergeCell ref="DE736:DI736"/>
    <mergeCell ref="CU737:CY737"/>
    <mergeCell ref="CP740:CT740"/>
    <mergeCell ref="CM737:CN737"/>
    <mergeCell ref="CM733:CN733"/>
    <mergeCell ref="CK738:CL738"/>
    <mergeCell ref="CP739:CT739"/>
    <mergeCell ref="CI737:CJ737"/>
    <mergeCell ref="CP737:CT737"/>
    <mergeCell ref="CP732:CT732"/>
    <mergeCell ref="CP735:CT735"/>
    <mergeCell ref="CI735:CJ735"/>
    <mergeCell ref="CI739:CJ739"/>
    <mergeCell ref="CI736:CJ736"/>
    <mergeCell ref="CK733:CL733"/>
    <mergeCell ref="CP736:CT736"/>
    <mergeCell ref="CU736:CY736"/>
    <mergeCell ref="CK739:CL739"/>
    <mergeCell ref="CK737:CL737"/>
    <mergeCell ref="G670:R670"/>
    <mergeCell ref="CI741:CJ741"/>
    <mergeCell ref="DE740:DI740"/>
    <mergeCell ref="CM740:CN740"/>
    <mergeCell ref="CP731:CT731"/>
    <mergeCell ref="C638:L638"/>
    <mergeCell ref="C639:L639"/>
    <mergeCell ref="M641:P641"/>
    <mergeCell ref="G652:R652"/>
    <mergeCell ref="P663:R663"/>
    <mergeCell ref="T641:V641"/>
    <mergeCell ref="G655:L655"/>
    <mergeCell ref="Q646:S646"/>
    <mergeCell ref="H656:R656"/>
    <mergeCell ref="W641:Y641"/>
    <mergeCell ref="Z638:AB638"/>
    <mergeCell ref="T638:V638"/>
    <mergeCell ref="T639:V639"/>
    <mergeCell ref="DE732:DI732"/>
    <mergeCell ref="CU726:CY726"/>
    <mergeCell ref="CP725:CT725"/>
    <mergeCell ref="DE733:DI733"/>
    <mergeCell ref="CP734:CT734"/>
    <mergeCell ref="DE737:DI737"/>
    <mergeCell ref="CK740:CL740"/>
    <mergeCell ref="CP733:CT733"/>
    <mergeCell ref="CZ735:DD735"/>
    <mergeCell ref="DE734:DI734"/>
    <mergeCell ref="CZ732:DD732"/>
    <mergeCell ref="CZ733:DD733"/>
    <mergeCell ref="CZ731:DD731"/>
    <mergeCell ref="CI731:CJ731"/>
    <mergeCell ref="CI738:CJ738"/>
    <mergeCell ref="CU730:CY730"/>
    <mergeCell ref="CZ730:DD730"/>
    <mergeCell ref="CK744:CL744"/>
    <mergeCell ref="CZ736:DD736"/>
    <mergeCell ref="CU738:CY738"/>
    <mergeCell ref="CK736:CL736"/>
    <mergeCell ref="CU732:CY732"/>
    <mergeCell ref="CU733:CY733"/>
    <mergeCell ref="CP738:CT738"/>
    <mergeCell ref="CU739:CY739"/>
    <mergeCell ref="CI734:CJ734"/>
    <mergeCell ref="CM735:CN735"/>
    <mergeCell ref="CK734:CL734"/>
    <mergeCell ref="CZ743:DD743"/>
    <mergeCell ref="CU742:CY742"/>
    <mergeCell ref="CP744:CT744"/>
    <mergeCell ref="CM744:CN744"/>
    <mergeCell ref="CU744:CY744"/>
    <mergeCell ref="CI742:CJ742"/>
    <mergeCell ref="CZ742:DD742"/>
    <mergeCell ref="CI743:CJ743"/>
    <mergeCell ref="CP741:CT741"/>
    <mergeCell ref="CK743:CL743"/>
    <mergeCell ref="CM731:CN731"/>
    <mergeCell ref="CZ737:DD737"/>
    <mergeCell ref="CZ739:DD739"/>
    <mergeCell ref="CM739:CN739"/>
    <mergeCell ref="C637:L637"/>
    <mergeCell ref="AO645:AS645"/>
    <mergeCell ref="M640:P640"/>
    <mergeCell ref="Q641:S641"/>
    <mergeCell ref="AF639:AJ639"/>
    <mergeCell ref="CG727:CH727"/>
    <mergeCell ref="CI729:CJ729"/>
    <mergeCell ref="CG733:CH733"/>
    <mergeCell ref="CG735:CH735"/>
    <mergeCell ref="CG734:CH734"/>
    <mergeCell ref="AH736:AJ736"/>
    <mergeCell ref="O737:S737"/>
    <mergeCell ref="N665:O665"/>
    <mergeCell ref="Z668:AK668"/>
    <mergeCell ref="G671:L671"/>
    <mergeCell ref="T740:W740"/>
    <mergeCell ref="T739:W739"/>
    <mergeCell ref="N657:O657"/>
    <mergeCell ref="AH727:AJ727"/>
    <mergeCell ref="CI727:CJ727"/>
    <mergeCell ref="G687:L687"/>
    <mergeCell ref="AG689:AH689"/>
    <mergeCell ref="AI695:AK695"/>
    <mergeCell ref="J713:O713"/>
    <mergeCell ref="G684:R684"/>
    <mergeCell ref="G675:R675"/>
    <mergeCell ref="G679:L679"/>
    <mergeCell ref="T729:W729"/>
    <mergeCell ref="AE703:AI703"/>
    <mergeCell ref="AK737:AO737"/>
    <mergeCell ref="AK736:AO736"/>
    <mergeCell ref="AF646:AJ646"/>
    <mergeCell ref="G593:R593"/>
    <mergeCell ref="N623:O623"/>
    <mergeCell ref="H622:R622"/>
    <mergeCell ref="P597:R597"/>
    <mergeCell ref="C641:L641"/>
    <mergeCell ref="CG741:CH741"/>
    <mergeCell ref="N681:O681"/>
    <mergeCell ref="Z676:AK676"/>
    <mergeCell ref="AG665:AH665"/>
    <mergeCell ref="CI740:CJ740"/>
    <mergeCell ref="G676:R676"/>
    <mergeCell ref="CG732:CH732"/>
    <mergeCell ref="CG738:CH738"/>
    <mergeCell ref="CG736:CH736"/>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AC636:AE636"/>
    <mergeCell ref="Z611:AK611"/>
    <mergeCell ref="N591:O591"/>
    <mergeCell ref="AI568:AL568"/>
    <mergeCell ref="Z570:AD570"/>
    <mergeCell ref="G618:R618"/>
    <mergeCell ref="AG599:AH599"/>
    <mergeCell ref="G605:L605"/>
    <mergeCell ref="Z640:AB640"/>
    <mergeCell ref="M638:P638"/>
    <mergeCell ref="M639:P639"/>
    <mergeCell ref="C640:L640"/>
    <mergeCell ref="H598:R598"/>
    <mergeCell ref="Z637:AB637"/>
    <mergeCell ref="AF642:AJ642"/>
    <mergeCell ref="W645:Y645"/>
    <mergeCell ref="Z642:AB642"/>
    <mergeCell ref="C643:L643"/>
    <mergeCell ref="C635:L635"/>
    <mergeCell ref="M568:P568"/>
    <mergeCell ref="Q571:S571"/>
    <mergeCell ref="AI573:AL573"/>
    <mergeCell ref="AE570:AH570"/>
    <mergeCell ref="Q570:S570"/>
    <mergeCell ref="G576:R576"/>
    <mergeCell ref="T637:V637"/>
    <mergeCell ref="M582:R582"/>
    <mergeCell ref="AA598:AK598"/>
    <mergeCell ref="AI597:AK597"/>
    <mergeCell ref="Z604:AK604"/>
    <mergeCell ref="C573:L573"/>
    <mergeCell ref="AC637:AE637"/>
    <mergeCell ref="Z597:AE597"/>
    <mergeCell ref="Z443:AA443"/>
    <mergeCell ref="AH517:AK517"/>
    <mergeCell ref="Z580:AE580"/>
    <mergeCell ref="AO641:AS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AE567:AH567"/>
    <mergeCell ref="M573:P573"/>
    <mergeCell ref="Z617:AK617"/>
    <mergeCell ref="N615:O615"/>
    <mergeCell ref="G601:R601"/>
    <mergeCell ref="G613:L613"/>
    <mergeCell ref="H614:R614"/>
    <mergeCell ref="AI605:AK605"/>
    <mergeCell ref="Z596:AK596"/>
    <mergeCell ref="W572:Y572"/>
    <mergeCell ref="W573:Y573"/>
    <mergeCell ref="AF582:AK582"/>
    <mergeCell ref="Z593:AK593"/>
    <mergeCell ref="DO734:DS734"/>
    <mergeCell ref="G692:R692"/>
    <mergeCell ref="G589:L589"/>
    <mergeCell ref="Z612:AK612"/>
    <mergeCell ref="AC730:AG730"/>
    <mergeCell ref="H672:R672"/>
    <mergeCell ref="G686:R686"/>
    <mergeCell ref="P687:R687"/>
    <mergeCell ref="Z694:AK694"/>
    <mergeCell ref="Z683:AK683"/>
    <mergeCell ref="CP727:CT727"/>
    <mergeCell ref="AI679:AK679"/>
    <mergeCell ref="Z684:AK684"/>
    <mergeCell ref="CZ727:DD727"/>
    <mergeCell ref="AA680:AK680"/>
    <mergeCell ref="Z692:AK692"/>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DO727:DS727"/>
    <mergeCell ref="DE725:DI725"/>
    <mergeCell ref="CU727:CY727"/>
    <mergeCell ref="CG726:CH726"/>
    <mergeCell ref="AC640:AE640"/>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K729:AO729"/>
    <mergeCell ref="AI663:AK663"/>
    <mergeCell ref="AC646:AE646"/>
    <mergeCell ref="AK722:AO725"/>
    <mergeCell ref="AK726:AO726"/>
    <mergeCell ref="Z661:AK661"/>
    <mergeCell ref="AM566:AS566"/>
    <mergeCell ref="AM574:AS574"/>
    <mergeCell ref="AE564:AH564"/>
    <mergeCell ref="M636:P636"/>
    <mergeCell ref="Z613:AE613"/>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I621:AK621"/>
    <mergeCell ref="AA622:AK622"/>
    <mergeCell ref="AC632:AE634"/>
    <mergeCell ref="G677:R677"/>
    <mergeCell ref="W637:Y637"/>
    <mergeCell ref="T571:V571"/>
    <mergeCell ref="Z572:AD572"/>
    <mergeCell ref="Z573:AD573"/>
    <mergeCell ref="Z652:AK652"/>
    <mergeCell ref="AO644:AS644"/>
    <mergeCell ref="CZ726:DD726"/>
    <mergeCell ref="AC729:AG729"/>
    <mergeCell ref="AI570:AL570"/>
    <mergeCell ref="Z576:AK576"/>
    <mergeCell ref="Z579:AK579"/>
    <mergeCell ref="AI572:AL572"/>
    <mergeCell ref="T569:V569"/>
    <mergeCell ref="G597:L597"/>
    <mergeCell ref="G577:R577"/>
    <mergeCell ref="H590:R590"/>
    <mergeCell ref="Z587:AK587"/>
    <mergeCell ref="G609:R609"/>
    <mergeCell ref="AA581:AK581"/>
    <mergeCell ref="AG607:AH607"/>
    <mergeCell ref="G603:R603"/>
    <mergeCell ref="G604:R604"/>
    <mergeCell ref="Z585:AK585"/>
    <mergeCell ref="Q638:S638"/>
    <mergeCell ref="H606:R606"/>
    <mergeCell ref="AG591:AH591"/>
    <mergeCell ref="G596:R596"/>
    <mergeCell ref="Z588:AK588"/>
    <mergeCell ref="Z603:AK603"/>
    <mergeCell ref="G611:R611"/>
    <mergeCell ref="G610:R610"/>
    <mergeCell ref="G617:R617"/>
    <mergeCell ref="Z601:AK601"/>
    <mergeCell ref="AK637:AN637"/>
    <mergeCell ref="AE569:AH569"/>
    <mergeCell ref="AG583:AH583"/>
    <mergeCell ref="G587:R587"/>
    <mergeCell ref="G602:R602"/>
    <mergeCell ref="Z602:AK602"/>
    <mergeCell ref="P613:R613"/>
    <mergeCell ref="EH676:EL676"/>
    <mergeCell ref="DX665:EB665"/>
    <mergeCell ref="EC665:EG665"/>
    <mergeCell ref="EH665:EL665"/>
    <mergeCell ref="AH525:AK525"/>
    <mergeCell ref="EH660:EL660"/>
    <mergeCell ref="Z687:AE687"/>
    <mergeCell ref="Z678:AK678"/>
    <mergeCell ref="AM569:AS569"/>
    <mergeCell ref="Z639:AB639"/>
    <mergeCell ref="AF632:AJ634"/>
    <mergeCell ref="AM567:AS567"/>
    <mergeCell ref="Z695:AE695"/>
    <mergeCell ref="AK638:AN638"/>
    <mergeCell ref="DJ729:DN729"/>
    <mergeCell ref="Z663:AE663"/>
    <mergeCell ref="AG673:AH673"/>
    <mergeCell ref="A625:AT626"/>
    <mergeCell ref="B632:L634"/>
    <mergeCell ref="G621:L621"/>
    <mergeCell ref="AA614:AK614"/>
    <mergeCell ref="G669:R669"/>
    <mergeCell ref="B728:F728"/>
    <mergeCell ref="AG681:AH681"/>
    <mergeCell ref="G580:L580"/>
    <mergeCell ref="Z589:AE589"/>
    <mergeCell ref="Z594:AK594"/>
    <mergeCell ref="P605:R605"/>
    <mergeCell ref="Z621:AE621"/>
    <mergeCell ref="CZ728:DD728"/>
    <mergeCell ref="AM570:AS570"/>
    <mergeCell ref="DX660:EB660"/>
    <mergeCell ref="EE730:EI730"/>
    <mergeCell ref="DZ726:ED726"/>
    <mergeCell ref="EE726:EI726"/>
    <mergeCell ref="DZ736:ED736"/>
    <mergeCell ref="EE732:EI732"/>
    <mergeCell ref="CP729:CT729"/>
    <mergeCell ref="AK641:AN641"/>
    <mergeCell ref="Z653:AK653"/>
    <mergeCell ref="DU734:DY734"/>
    <mergeCell ref="EE736:EI736"/>
    <mergeCell ref="EH653:EL653"/>
    <mergeCell ref="DJ733:DN733"/>
    <mergeCell ref="CK731:CL731"/>
    <mergeCell ref="CK729:CL729"/>
    <mergeCell ref="CM734:CN734"/>
    <mergeCell ref="CM726:CN726"/>
    <mergeCell ref="CM736:CN736"/>
    <mergeCell ref="CU734:CY734"/>
    <mergeCell ref="CZ734:DD734"/>
    <mergeCell ref="CK730:CL730"/>
    <mergeCell ref="CK727:CL727"/>
    <mergeCell ref="EH673:EL673"/>
    <mergeCell ref="DX671:EB671"/>
    <mergeCell ref="DO728:DS728"/>
    <mergeCell ref="DO730:DS730"/>
    <mergeCell ref="DZ735:ED735"/>
    <mergeCell ref="EE735:EI735"/>
    <mergeCell ref="EC662:EG662"/>
    <mergeCell ref="AA696:AK696"/>
    <mergeCell ref="AE710:AF710"/>
    <mergeCell ref="CI725:CJ725"/>
    <mergeCell ref="AA688:AK688"/>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E741:EI741"/>
    <mergeCell ref="ET740:EX740"/>
    <mergeCell ref="ET729:EX729"/>
    <mergeCell ref="EE728:EI728"/>
    <mergeCell ref="DU738:DY738"/>
    <mergeCell ref="DO737:DS737"/>
    <mergeCell ref="DJ739:DN739"/>
    <mergeCell ref="DJ737:DN737"/>
    <mergeCell ref="DE727:DI727"/>
    <mergeCell ref="EJ741:EN741"/>
    <mergeCell ref="DZ737:ED737"/>
    <mergeCell ref="DG122:DM122"/>
    <mergeCell ref="CU122:CV122"/>
    <mergeCell ref="AH722:AJ725"/>
    <mergeCell ref="AH733:AJ733"/>
    <mergeCell ref="EH651:EL651"/>
    <mergeCell ref="EM651:EQ651"/>
    <mergeCell ref="EC656:EG656"/>
    <mergeCell ref="EW647:FA647"/>
    <mergeCell ref="EC648:EG648"/>
    <mergeCell ref="EW648:FA648"/>
    <mergeCell ref="ER651:EV651"/>
    <mergeCell ref="ER648:EV648"/>
    <mergeCell ref="DZ740:ED740"/>
    <mergeCell ref="EE740:EI740"/>
    <mergeCell ref="EJ740:EN740"/>
    <mergeCell ref="EW646:FA646"/>
    <mergeCell ref="ER656:EV656"/>
    <mergeCell ref="ER655:EV655"/>
    <mergeCell ref="ET737:EX737"/>
    <mergeCell ref="EC649:EG649"/>
    <mergeCell ref="DX647:EB647"/>
    <mergeCell ref="EO727:ES727"/>
    <mergeCell ref="ET727:EX727"/>
    <mergeCell ref="AH740:AJ740"/>
    <mergeCell ref="AE707:AI707"/>
    <mergeCell ref="ER650:EV650"/>
    <mergeCell ref="DX649:EB649"/>
    <mergeCell ref="EC652:EG652"/>
    <mergeCell ref="EH652:EL652"/>
    <mergeCell ref="ER647:EV647"/>
    <mergeCell ref="DX652:EB652"/>
    <mergeCell ref="DX650:EB650"/>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CG743:CH743"/>
    <mergeCell ref="U833:X833"/>
    <mergeCell ref="O795:S795"/>
    <mergeCell ref="AC785:AG785"/>
    <mergeCell ref="T800:W800"/>
    <mergeCell ref="O785:S785"/>
    <mergeCell ref="X796:AB796"/>
    <mergeCell ref="X760:AB760"/>
    <mergeCell ref="J777:N780"/>
    <mergeCell ref="AC795:AG795"/>
    <mergeCell ref="AC761:AG761"/>
    <mergeCell ref="O761:S761"/>
    <mergeCell ref="X797:AB797"/>
    <mergeCell ref="AC831:AF832"/>
    <mergeCell ref="Z824:AE824"/>
    <mergeCell ref="AC781:AG781"/>
    <mergeCell ref="Q833:T833"/>
    <mergeCell ref="W879:AC879"/>
    <mergeCell ref="O798:S798"/>
    <mergeCell ref="K738:N738"/>
    <mergeCell ref="T735:W735"/>
    <mergeCell ref="Z670:AK670"/>
    <mergeCell ref="AK639:AN639"/>
    <mergeCell ref="AK640:AN640"/>
    <mergeCell ref="AF640:AJ640"/>
    <mergeCell ref="AC639:AE639"/>
    <mergeCell ref="AC642:AE642"/>
    <mergeCell ref="AA606:AK606"/>
    <mergeCell ref="C636:L636"/>
    <mergeCell ref="Z618:AK618"/>
    <mergeCell ref="AF636:AJ636"/>
    <mergeCell ref="N607:O607"/>
    <mergeCell ref="BG856:BL856"/>
    <mergeCell ref="AH739:AJ739"/>
    <mergeCell ref="Q840:T840"/>
    <mergeCell ref="BI849:BL849"/>
    <mergeCell ref="AC733:AG733"/>
    <mergeCell ref="AC734:AG734"/>
    <mergeCell ref="AC838:AF838"/>
    <mergeCell ref="Y836:AB836"/>
    <mergeCell ref="AC777:AG780"/>
    <mergeCell ref="Y840:AB840"/>
    <mergeCell ref="AF635:AJ635"/>
    <mergeCell ref="AC839:AF839"/>
    <mergeCell ref="AH742:AJ742"/>
    <mergeCell ref="AK728:AO728"/>
    <mergeCell ref="AH726:AJ726"/>
    <mergeCell ref="AC726:AG726"/>
    <mergeCell ref="AG833:AJ833"/>
    <mergeCell ref="I957:T957"/>
    <mergeCell ref="AC904:AH904"/>
    <mergeCell ref="AA942:AF942"/>
    <mergeCell ref="Z909:AE909"/>
    <mergeCell ref="Y833:AB833"/>
    <mergeCell ref="AC833:AF833"/>
    <mergeCell ref="AA950:AF950"/>
    <mergeCell ref="AA938:AF938"/>
    <mergeCell ref="U939:Z939"/>
    <mergeCell ref="AA939:AF939"/>
    <mergeCell ref="AA945:AF945"/>
    <mergeCell ref="U952:Z952"/>
    <mergeCell ref="U950:Z950"/>
    <mergeCell ref="AA952:AF952"/>
    <mergeCell ref="AC894:AH894"/>
    <mergeCell ref="W869:AC869"/>
    <mergeCell ref="C904:AB904"/>
    <mergeCell ref="F935:T935"/>
    <mergeCell ref="F936:T936"/>
    <mergeCell ref="AC893:AH893"/>
    <mergeCell ref="U932:Z932"/>
    <mergeCell ref="AC837:AF837"/>
    <mergeCell ref="Y834:AB834"/>
    <mergeCell ref="Q837:T837"/>
    <mergeCell ref="Y835:AB835"/>
    <mergeCell ref="C838:H838"/>
    <mergeCell ref="F839:L839"/>
    <mergeCell ref="U835:X835"/>
    <mergeCell ref="C835:H835"/>
    <mergeCell ref="Y837:AB837"/>
    <mergeCell ref="AA953:AF953"/>
    <mergeCell ref="F941:T941"/>
    <mergeCell ref="AA948:AF948"/>
    <mergeCell ref="AA949:AF949"/>
    <mergeCell ref="W861:AC861"/>
    <mergeCell ref="AC836:AF836"/>
    <mergeCell ref="AG837:AJ837"/>
    <mergeCell ref="AG834:AJ834"/>
    <mergeCell ref="U958:Z958"/>
    <mergeCell ref="W851:AC851"/>
    <mergeCell ref="I958:T958"/>
    <mergeCell ref="U947:Z947"/>
    <mergeCell ref="M964:S964"/>
    <mergeCell ref="AB926:AE926"/>
    <mergeCell ref="AA931:AF931"/>
    <mergeCell ref="M834:P834"/>
    <mergeCell ref="M880:V880"/>
    <mergeCell ref="AE965:AK965"/>
    <mergeCell ref="M869:V869"/>
    <mergeCell ref="W853:AC853"/>
    <mergeCell ref="M854:V854"/>
    <mergeCell ref="J857:V857"/>
    <mergeCell ref="W854:AC854"/>
    <mergeCell ref="W850:AC850"/>
    <mergeCell ref="W855:AC855"/>
    <mergeCell ref="W885:AC885"/>
    <mergeCell ref="W887:AC887"/>
    <mergeCell ref="W865:AC865"/>
    <mergeCell ref="M883:V883"/>
    <mergeCell ref="W884:AC884"/>
    <mergeCell ref="T866:V866"/>
    <mergeCell ref="T868:V868"/>
    <mergeCell ref="W876:AC876"/>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967:S967"/>
    <mergeCell ref="AA981:AG981"/>
    <mergeCell ref="AA929:AF929"/>
    <mergeCell ref="AA928:AF928"/>
    <mergeCell ref="U934:Z934"/>
    <mergeCell ref="A919:AT920"/>
    <mergeCell ref="F945:T945"/>
    <mergeCell ref="AA956:AF956"/>
    <mergeCell ref="U931:Z931"/>
    <mergeCell ref="AA933:AF933"/>
    <mergeCell ref="A1134:B1134"/>
    <mergeCell ref="G733:J733"/>
    <mergeCell ref="B740:F740"/>
    <mergeCell ref="T753:W753"/>
    <mergeCell ref="AH738:AJ738"/>
    <mergeCell ref="AC731:AG731"/>
    <mergeCell ref="AC802:AG802"/>
    <mergeCell ref="AC803:AG803"/>
    <mergeCell ref="M831:P832"/>
    <mergeCell ref="T804:W804"/>
    <mergeCell ref="Y838:AB838"/>
    <mergeCell ref="M978:S978"/>
    <mergeCell ref="AA944:AF944"/>
    <mergeCell ref="AA927:AF927"/>
    <mergeCell ref="AA978:AG978"/>
    <mergeCell ref="AA958:AF958"/>
    <mergeCell ref="E894:AB894"/>
    <mergeCell ref="M839:P839"/>
    <mergeCell ref="Q839:T839"/>
    <mergeCell ref="M969:S969"/>
    <mergeCell ref="Z910:AE910"/>
    <mergeCell ref="T791:W794"/>
    <mergeCell ref="X781:AB781"/>
    <mergeCell ref="O797:S797"/>
    <mergeCell ref="J783:N783"/>
    <mergeCell ref="X798:AB798"/>
    <mergeCell ref="O804:S804"/>
    <mergeCell ref="T799:W799"/>
    <mergeCell ref="B760:F760"/>
    <mergeCell ref="B759:F759"/>
    <mergeCell ref="AC755:AG755"/>
    <mergeCell ref="T760:W760"/>
    <mergeCell ref="D1134:AK1136"/>
    <mergeCell ref="X734:AB734"/>
    <mergeCell ref="AH731:AJ731"/>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B744:F744"/>
    <mergeCell ref="AC736:AG736"/>
    <mergeCell ref="AC740:AG740"/>
    <mergeCell ref="X741:AB741"/>
    <mergeCell ref="G740:J740"/>
    <mergeCell ref="AH743:AJ743"/>
    <mergeCell ref="X742:AB742"/>
    <mergeCell ref="O747:S747"/>
    <mergeCell ref="X757:AB757"/>
    <mergeCell ref="G742:J742"/>
    <mergeCell ref="K758:N758"/>
    <mergeCell ref="AH745:AJ745"/>
    <mergeCell ref="X736:AB736"/>
    <mergeCell ref="T982:Z982"/>
    <mergeCell ref="AH759:AJ759"/>
    <mergeCell ref="G761:J761"/>
    <mergeCell ref="J799:N799"/>
    <mergeCell ref="X800:AB800"/>
    <mergeCell ref="X791:AB794"/>
    <mergeCell ref="X795:AB795"/>
    <mergeCell ref="X804:AB804"/>
    <mergeCell ref="I956:T956"/>
    <mergeCell ref="AC735:AG735"/>
    <mergeCell ref="AB994:AI994"/>
    <mergeCell ref="AB995:AI995"/>
    <mergeCell ref="AB996:AI996"/>
    <mergeCell ref="D996:Q996"/>
    <mergeCell ref="R998:AA998"/>
    <mergeCell ref="AJ998:AQ998"/>
    <mergeCell ref="K746:N746"/>
    <mergeCell ref="G746:J746"/>
    <mergeCell ref="O745:S745"/>
    <mergeCell ref="O746:S746"/>
    <mergeCell ref="T747:W747"/>
    <mergeCell ref="AC738:AG738"/>
    <mergeCell ref="X748:AB748"/>
    <mergeCell ref="K741:N741"/>
    <mergeCell ref="O756:S756"/>
    <mergeCell ref="K736:N736"/>
    <mergeCell ref="AC754:AG754"/>
    <mergeCell ref="O754:S754"/>
    <mergeCell ref="G747:J747"/>
    <mergeCell ref="X749:AB749"/>
    <mergeCell ref="O755:S755"/>
    <mergeCell ref="T755:W755"/>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T744:W744"/>
    <mergeCell ref="O728:S728"/>
    <mergeCell ref="O741:S741"/>
    <mergeCell ref="K727:N727"/>
    <mergeCell ref="K739:N73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H749:AJ749"/>
    <mergeCell ref="O749:S749"/>
    <mergeCell ref="O758:S758"/>
    <mergeCell ref="K753:N753"/>
    <mergeCell ref="T748:W748"/>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4:Q994"/>
    <mergeCell ref="D995:Q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G749:J749"/>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B747:F747"/>
    <mergeCell ref="K743:N743"/>
    <mergeCell ref="K744:N744"/>
    <mergeCell ref="FO744:FS744"/>
    <mergeCell ref="FT744:FX744"/>
    <mergeCell ref="O750:S750"/>
    <mergeCell ref="AC756:AG756"/>
    <mergeCell ref="I955:T955"/>
    <mergeCell ref="AA955:AF955"/>
    <mergeCell ref="M887:V887"/>
    <mergeCell ref="U955:Z955"/>
    <mergeCell ref="F955:H955"/>
    <mergeCell ref="AA976:AG976"/>
    <mergeCell ref="M977:S977"/>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Y740:GC740"/>
    <mergeCell ref="FY754:GC754"/>
    <mergeCell ref="EZ755:FD755"/>
    <mergeCell ref="FE755:FI755"/>
    <mergeCell ref="FJ755:FN755"/>
    <mergeCell ref="FO755:FS755"/>
    <mergeCell ref="FT755:FX755"/>
    <mergeCell ref="FT758:FX758"/>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O759:FS759"/>
    <mergeCell ref="EZ747:FD747"/>
    <mergeCell ref="FE747:FI747"/>
    <mergeCell ref="FJ747:FN747"/>
    <mergeCell ref="FO747:FS747"/>
    <mergeCell ref="FT748:FX748"/>
    <mergeCell ref="FT741:FX741"/>
    <mergeCell ref="FT742:FX742"/>
    <mergeCell ref="EO726:ES726"/>
    <mergeCell ref="DU728:DY728"/>
    <mergeCell ref="FY734:GC734"/>
    <mergeCell ref="EZ735:FD735"/>
    <mergeCell ref="EZ739:FD739"/>
    <mergeCell ref="FE739:FI739"/>
    <mergeCell ref="FJ739:FN739"/>
    <mergeCell ref="FO739:FS739"/>
    <mergeCell ref="FT739:FX739"/>
    <mergeCell ref="FY739:GC739"/>
    <mergeCell ref="EZ740:FD740"/>
    <mergeCell ref="FE740:FI740"/>
    <mergeCell ref="FJ740:FN740"/>
    <mergeCell ref="FY750:GC750"/>
    <mergeCell ref="EZ751:FD751"/>
    <mergeCell ref="FO743:FS743"/>
    <mergeCell ref="FT743:FX743"/>
    <mergeCell ref="FY743:GC743"/>
    <mergeCell ref="EZ744:FD744"/>
    <mergeCell ref="FE744:FI744"/>
    <mergeCell ref="FJ744:FN744"/>
    <mergeCell ref="FY742:GC742"/>
    <mergeCell ref="EZ743:FD743"/>
    <mergeCell ref="FE743:FI743"/>
    <mergeCell ref="FT745:FX745"/>
    <mergeCell ref="FE738:FI738"/>
    <mergeCell ref="FJ738:FN738"/>
    <mergeCell ref="FY736:GC736"/>
    <mergeCell ref="EZ737:FD737"/>
    <mergeCell ref="FE737:FI737"/>
    <mergeCell ref="FJ737:FN737"/>
    <mergeCell ref="FO737:FS737"/>
    <mergeCell ref="EC663:EG663"/>
    <mergeCell ref="EH672:EL672"/>
    <mergeCell ref="DX674:EB674"/>
    <mergeCell ref="EC674:EG674"/>
    <mergeCell ref="EH668:EL668"/>
    <mergeCell ref="EM668:EQ668"/>
    <mergeCell ref="DX673:EB673"/>
    <mergeCell ref="EH662:EL662"/>
    <mergeCell ref="EC660:EG660"/>
    <mergeCell ref="DX651:EB651"/>
    <mergeCell ref="EC658:EG658"/>
    <mergeCell ref="EH650:EL650"/>
    <mergeCell ref="EM656:EQ656"/>
    <mergeCell ref="FY748:GC748"/>
    <mergeCell ref="DX654:EB654"/>
    <mergeCell ref="EC654:EG654"/>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W659:FA659"/>
    <mergeCell ref="EW657:FA657"/>
    <mergeCell ref="EM653:EQ653"/>
    <mergeCell ref="EH648:EL648"/>
    <mergeCell ref="EM648:EQ648"/>
    <mergeCell ref="EC651:EG651"/>
    <mergeCell ref="EC650:EG650"/>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74:EV674"/>
    <mergeCell ref="DX663:EB663"/>
    <mergeCell ref="DX664:EB664"/>
    <mergeCell ref="EC664:EG664"/>
    <mergeCell ref="EH664:EL664"/>
    <mergeCell ref="EM664:EQ664"/>
    <mergeCell ref="EW663:FA663"/>
    <mergeCell ref="ER659:EV659"/>
    <mergeCell ref="ER660:EV660"/>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DO736:DS736"/>
    <mergeCell ref="DO731:DS731"/>
    <mergeCell ref="DO732:DS732"/>
    <mergeCell ref="EO729:ES729"/>
    <mergeCell ref="DZ739:ED739"/>
    <mergeCell ref="EJ733:EN733"/>
    <mergeCell ref="EE739:EI739"/>
    <mergeCell ref="EJ739:EN739"/>
    <mergeCell ref="DU740:DY740"/>
    <mergeCell ref="DZ734:ED734"/>
    <mergeCell ref="DU736:DY736"/>
    <mergeCell ref="DU730:DY730"/>
    <mergeCell ref="EO734:ES734"/>
    <mergeCell ref="ET734:EX734"/>
    <mergeCell ref="EJ742:EN742"/>
    <mergeCell ref="DZ741:ED741"/>
    <mergeCell ref="DU742:DY742"/>
    <mergeCell ref="DU741:DY741"/>
    <mergeCell ref="DZ738:ED738"/>
    <mergeCell ref="EE738:EI738"/>
    <mergeCell ref="EW668:FA668"/>
    <mergeCell ref="DX669:EB669"/>
    <mergeCell ref="DX653:EB653"/>
    <mergeCell ref="EW649:FA649"/>
    <mergeCell ref="EW672:FA672"/>
    <mergeCell ref="EW674:FA674"/>
    <mergeCell ref="EW662:FA662"/>
    <mergeCell ref="DX655:EB655"/>
    <mergeCell ref="ER669:EV669"/>
    <mergeCell ref="EM649:EQ649"/>
    <mergeCell ref="EH656:EL656"/>
    <mergeCell ref="EJ737:EN737"/>
    <mergeCell ref="EJ725:EN725"/>
    <mergeCell ref="ER677:EV677"/>
    <mergeCell ref="ER676:EV676"/>
    <mergeCell ref="ET730:EX730"/>
    <mergeCell ref="ET728:EX728"/>
    <mergeCell ref="EO736:ES736"/>
    <mergeCell ref="ET736:EX736"/>
    <mergeCell ref="EO728:ES728"/>
    <mergeCell ref="DX657:EB657"/>
    <mergeCell ref="EJ736:EN736"/>
    <mergeCell ref="EO735:ES735"/>
    <mergeCell ref="ER673:EV673"/>
    <mergeCell ref="EW673:FA673"/>
    <mergeCell ref="EW670:FA670"/>
    <mergeCell ref="EC671:EG671"/>
    <mergeCell ref="EH671:EL671"/>
    <mergeCell ref="EM671:EQ671"/>
    <mergeCell ref="ER671:EV671"/>
    <mergeCell ref="EW671:FA671"/>
    <mergeCell ref="EM650:EQ650"/>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R663:EV663"/>
    <mergeCell ref="EH659:EL659"/>
    <mergeCell ref="EH658:EL658"/>
    <mergeCell ref="EO744:ES744"/>
    <mergeCell ref="DO743:DS743"/>
    <mergeCell ref="EM665:EQ665"/>
    <mergeCell ref="ET725:EX725"/>
    <mergeCell ref="EE737:EI737"/>
    <mergeCell ref="EO739:ES739"/>
    <mergeCell ref="DZ732:ED732"/>
    <mergeCell ref="ET731:EX731"/>
    <mergeCell ref="DJ726:DN726"/>
    <mergeCell ref="EW676:FA676"/>
    <mergeCell ref="DJ731:DN731"/>
    <mergeCell ref="EJ734:EN734"/>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O748:ES748"/>
    <mergeCell ref="DJ745:DN745"/>
    <mergeCell ref="DJ743:DN743"/>
    <mergeCell ref="DE745:DI745"/>
    <mergeCell ref="ET744:EX744"/>
    <mergeCell ref="EE743:EI743"/>
    <mergeCell ref="FJ761:FN761"/>
    <mergeCell ref="DZ749:ED749"/>
    <mergeCell ref="DO747:DS747"/>
    <mergeCell ref="DJ750:DN750"/>
    <mergeCell ref="DZ745:ED745"/>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DO785:DS785"/>
    <mergeCell ref="DE781:DI781"/>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Z785:DD785"/>
    <mergeCell ref="DE785:DI785"/>
    <mergeCell ref="DE783:DI783"/>
    <mergeCell ref="EE759:EI759"/>
    <mergeCell ref="DU759:DY759"/>
    <mergeCell ref="DZ759:ED759"/>
    <mergeCell ref="DU760:DY760"/>
    <mergeCell ref="DZ760:ED760"/>
    <mergeCell ref="DJ760:DN760"/>
    <mergeCell ref="CU782:CY782"/>
    <mergeCell ref="CP749:CT749"/>
    <mergeCell ref="CU748:CY748"/>
    <mergeCell ref="DO758:DS758"/>
    <mergeCell ref="DJ753:DN753"/>
    <mergeCell ref="DO753:DS753"/>
    <mergeCell ref="DU761:DY761"/>
    <mergeCell ref="DJ754:DN754"/>
    <mergeCell ref="CK753:CL753"/>
    <mergeCell ref="DU747:DY747"/>
    <mergeCell ref="DZ747:ED747"/>
    <mergeCell ref="EE747:EI747"/>
    <mergeCell ref="DJ759:DN759"/>
    <mergeCell ref="CZ753:DD753"/>
    <mergeCell ref="DE753:DI753"/>
    <mergeCell ref="CI753:CJ753"/>
    <mergeCell ref="EH663:EL663"/>
    <mergeCell ref="EJ729:EN729"/>
    <mergeCell ref="DZ729:ED729"/>
    <mergeCell ref="DZ730:ED730"/>
    <mergeCell ref="DU725:DY725"/>
    <mergeCell ref="DU727:DY727"/>
    <mergeCell ref="EE725:EI725"/>
    <mergeCell ref="EJ728:EN728"/>
    <mergeCell ref="CI748:CJ748"/>
    <mergeCell ref="CI750:CJ750"/>
    <mergeCell ref="EE733:EI733"/>
    <mergeCell ref="EM678:EQ678"/>
    <mergeCell ref="EE734:EI734"/>
    <mergeCell ref="EJ747:EN747"/>
    <mergeCell ref="DJ746:DN746"/>
    <mergeCell ref="EO745:ES745"/>
    <mergeCell ref="EC667:EG667"/>
    <mergeCell ref="DX670:EB670"/>
    <mergeCell ref="EC670:EG670"/>
    <mergeCell ref="EH670:EL670"/>
    <mergeCell ref="DX667:EB667"/>
    <mergeCell ref="ER668:EV668"/>
    <mergeCell ref="EH674:EL674"/>
    <mergeCell ref="EO730:ES730"/>
    <mergeCell ref="EO725:ES725"/>
    <mergeCell ref="CU729:CY729"/>
    <mergeCell ref="EO746:ES746"/>
    <mergeCell ref="DE746:DI746"/>
    <mergeCell ref="EM657:EQ657"/>
    <mergeCell ref="EM662:EQ662"/>
    <mergeCell ref="DX675:EB675"/>
    <mergeCell ref="DJ747:DN747"/>
    <mergeCell ref="CK748:CL748"/>
    <mergeCell ref="EJ730:EN730"/>
    <mergeCell ref="DZ725:ED725"/>
    <mergeCell ref="EJ726:EN726"/>
    <mergeCell ref="DO726:DS726"/>
    <mergeCell ref="DJ732:DN732"/>
    <mergeCell ref="DE728:DI728"/>
    <mergeCell ref="CP802:CT802"/>
    <mergeCell ref="DO740:DS740"/>
    <mergeCell ref="DE784:DI784"/>
    <mergeCell ref="CP797:CT797"/>
    <mergeCell ref="DO761:DS761"/>
    <mergeCell ref="DO781:DS781"/>
    <mergeCell ref="CP785:CT785"/>
    <mergeCell ref="CP781:CT781"/>
    <mergeCell ref="CU760:CY760"/>
    <mergeCell ref="CU781:CY781"/>
    <mergeCell ref="CP746:CT746"/>
    <mergeCell ref="DE758:DI758"/>
    <mergeCell ref="DJ758:DN758"/>
    <mergeCell ref="DO782:DS782"/>
    <mergeCell ref="DE742:DI742"/>
    <mergeCell ref="EM660:EQ660"/>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CI761:CJ761"/>
    <mergeCell ref="CM761:CN761"/>
    <mergeCell ref="CP761:CT761"/>
    <mergeCell ref="CU743:CY743"/>
    <mergeCell ref="CZ759:DD759"/>
    <mergeCell ref="CI759:CJ759"/>
    <mergeCell ref="CP743:CT743"/>
    <mergeCell ref="DJ744:DN744"/>
    <mergeCell ref="DE744:DI744"/>
    <mergeCell ref="CM748:CN748"/>
    <mergeCell ref="AK758:AO758"/>
    <mergeCell ref="AK753:AO753"/>
    <mergeCell ref="AK748:AO748"/>
    <mergeCell ref="AK749:AO749"/>
    <mergeCell ref="AK760:AO760"/>
    <mergeCell ref="DE760:DI760"/>
    <mergeCell ref="CG760:CH760"/>
    <mergeCell ref="CK759:CL759"/>
    <mergeCell ref="CP783:CT783"/>
    <mergeCell ref="CP784:CT784"/>
    <mergeCell ref="CG756:CH756"/>
    <mergeCell ref="CI752:CJ752"/>
    <mergeCell ref="CG758:CH758"/>
    <mergeCell ref="CU754:CY754"/>
    <mergeCell ref="CI756:CJ756"/>
    <mergeCell ref="CI749:CJ749"/>
    <mergeCell ref="CP756:CT756"/>
    <mergeCell ref="CU756:CY756"/>
    <mergeCell ref="DE749:DI749"/>
    <mergeCell ref="CK752:CL752"/>
    <mergeCell ref="CM752:CN752"/>
    <mergeCell ref="CK750:CL750"/>
    <mergeCell ref="DZ761:ED761"/>
    <mergeCell ref="DE782:DI782"/>
    <mergeCell ref="DZ746:ED746"/>
    <mergeCell ref="DO744:DS744"/>
    <mergeCell ref="CI744:CJ744"/>
    <mergeCell ref="CZ745:DD745"/>
    <mergeCell ref="CM745:CN745"/>
    <mergeCell ref="CU745:CY745"/>
    <mergeCell ref="CZ746:DD746"/>
    <mergeCell ref="CI746:CJ746"/>
    <mergeCell ref="CK746:CL746"/>
    <mergeCell ref="CK747:CL747"/>
    <mergeCell ref="CM747:CN747"/>
    <mergeCell ref="CI745:CJ745"/>
    <mergeCell ref="CI747:CJ747"/>
    <mergeCell ref="CP745:CT745"/>
    <mergeCell ref="CG752:CH752"/>
    <mergeCell ref="CU752:CY752"/>
    <mergeCell ref="DO755:DS755"/>
    <mergeCell ref="CG751:CH751"/>
    <mergeCell ref="CG749:CH749"/>
    <mergeCell ref="CG753:CH753"/>
    <mergeCell ref="CG745:CH745"/>
    <mergeCell ref="CK745:CL745"/>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M663:EQ663"/>
    <mergeCell ref="DU726:DY726"/>
    <mergeCell ref="DU729:DY729"/>
    <mergeCell ref="EE729:EI729"/>
    <mergeCell ref="DJ742:DN742"/>
    <mergeCell ref="DE741:DI741"/>
    <mergeCell ref="ER662:EV662"/>
    <mergeCell ref="W708:AK708"/>
    <mergeCell ref="Z691:AK691"/>
    <mergeCell ref="EM644:EQ644"/>
    <mergeCell ref="DX645:EB645"/>
    <mergeCell ref="AC641:AE641"/>
    <mergeCell ref="B647:AN647"/>
    <mergeCell ref="B648:AN648"/>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EH655:EL655"/>
    <mergeCell ref="EM655:EQ655"/>
    <mergeCell ref="DX656:EB656"/>
    <mergeCell ref="I401:N401"/>
    <mergeCell ref="DX648:EB648"/>
    <mergeCell ref="EM673:EQ673"/>
    <mergeCell ref="DX658:EB658"/>
    <mergeCell ref="H297:R297"/>
    <mergeCell ref="H331:R331"/>
    <mergeCell ref="V285:W285"/>
    <mergeCell ref="AA310:AK310"/>
    <mergeCell ref="AA305:AK305"/>
    <mergeCell ref="AI340:AK340"/>
    <mergeCell ref="Z632:AB634"/>
    <mergeCell ref="P621:R621"/>
    <mergeCell ref="W640:Y640"/>
    <mergeCell ref="AH737:AJ737"/>
    <mergeCell ref="Z675:AK675"/>
    <mergeCell ref="O735:S735"/>
    <mergeCell ref="AO639:AS639"/>
    <mergeCell ref="AI671:AK671"/>
    <mergeCell ref="B649:AN649"/>
    <mergeCell ref="G651:R651"/>
    <mergeCell ref="M642:P642"/>
    <mergeCell ref="Z669:AK669"/>
    <mergeCell ref="Q642:S642"/>
    <mergeCell ref="AK644:AN644"/>
    <mergeCell ref="C645:L645"/>
    <mergeCell ref="AO632:AS634"/>
    <mergeCell ref="Q635:S635"/>
    <mergeCell ref="Q636:S636"/>
    <mergeCell ref="Q637:S637"/>
    <mergeCell ref="P430:R430"/>
    <mergeCell ref="C642:L642"/>
    <mergeCell ref="AK636:AN636"/>
    <mergeCell ref="Z635:AB635"/>
    <mergeCell ref="AF641:AJ641"/>
    <mergeCell ref="Q643:S643"/>
    <mergeCell ref="AM572:AS572"/>
    <mergeCell ref="AC732:AG732"/>
    <mergeCell ref="A69:AT70"/>
    <mergeCell ref="A72:AT73"/>
    <mergeCell ref="A552:AT553"/>
    <mergeCell ref="A488:AT48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H512:AK512"/>
    <mergeCell ref="M366:N366"/>
    <mergeCell ref="J394:U394"/>
    <mergeCell ref="D455:AF455"/>
    <mergeCell ref="D456:AF456"/>
    <mergeCell ref="W474:Y474"/>
    <mergeCell ref="AG455:AJ455"/>
    <mergeCell ref="W475:Y475"/>
    <mergeCell ref="W478:Y478"/>
    <mergeCell ref="D479:V479"/>
    <mergeCell ref="AH509:AK509"/>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W642:Y642"/>
    <mergeCell ref="AI589:AK589"/>
    <mergeCell ref="AC638:AE638"/>
    <mergeCell ref="AI567:AL567"/>
    <mergeCell ref="AC511:AF511"/>
    <mergeCell ref="AC521:AF521"/>
    <mergeCell ref="Z619:AK619"/>
    <mergeCell ref="AC526:AF526"/>
    <mergeCell ref="Z679:AE679"/>
    <mergeCell ref="Q640:S640"/>
    <mergeCell ref="Q632:S634"/>
    <mergeCell ref="G667:R667"/>
    <mergeCell ref="P679:R679"/>
    <mergeCell ref="Q639:S639"/>
    <mergeCell ref="T640:V640"/>
    <mergeCell ref="G653:R653"/>
    <mergeCell ref="H680:R680"/>
    <mergeCell ref="G659:R659"/>
    <mergeCell ref="G660:R660"/>
    <mergeCell ref="AM564:AS564"/>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H18:AJ18"/>
    <mergeCell ref="O33:P33"/>
    <mergeCell ref="M26:Q26"/>
    <mergeCell ref="H16:AJ16"/>
    <mergeCell ref="G663:L663"/>
    <mergeCell ref="H664:R664"/>
    <mergeCell ref="AC741:AG741"/>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94"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workbookViewId="0">
      <selection activeCell="K29" sqref="K29"/>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1)GreyStone[GHI] - Tax Exempt</v>
      </c>
      <c r="G2" s="139" t="str">
        <f>Application!B636&amp;Application!C636</f>
        <v>2)GreyStone[GHII] - B-Bond</v>
      </c>
      <c r="H2" s="139" t="str">
        <f>Application!B637&amp;Application!C637</f>
        <v>3)Income from Operations</v>
      </c>
      <c r="I2" s="139" t="str">
        <f>Application!B638&amp;Application!C638</f>
        <v>4)Deferred Developer Fee</v>
      </c>
      <c r="J2" s="139" t="str">
        <f>Application!B639&amp;Application!C639</f>
        <v>5)Developer Equity</v>
      </c>
      <c r="K2" s="139" t="str">
        <f>Application!B640&amp;Application!C640</f>
        <v>6)Deferred Contractor Loan - Private</v>
      </c>
      <c r="L2" s="139" t="str">
        <f>Application!B641&amp;Application!C641</f>
        <v>7)Bay Area Affordable Housing Loan</v>
      </c>
      <c r="M2" s="139" t="str">
        <f>Application!B642&amp;Application!C642</f>
        <v>8)GP Equity</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5500000</v>
      </c>
      <c r="C4" s="147">
        <v>5500000</v>
      </c>
      <c r="D4" s="147"/>
      <c r="E4" s="147">
        <f>C4-SUM(F4:K4)</f>
        <v>5500000</v>
      </c>
      <c r="F4" s="147"/>
      <c r="G4" s="147"/>
      <c r="H4" s="147"/>
      <c r="I4" s="147"/>
      <c r="J4" s="147"/>
      <c r="K4" s="147"/>
      <c r="L4" s="147"/>
      <c r="M4" s="147"/>
      <c r="N4" s="147"/>
      <c r="O4" s="147"/>
      <c r="P4" s="147"/>
      <c r="Q4" s="147"/>
      <c r="R4" s="516">
        <f>SUM(E4:Q4)</f>
        <v>5500000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5500000</v>
      </c>
      <c r="C8" s="146">
        <f t="shared" ref="C8:Q8" si="0">SUM(C4:C7)</f>
        <v>5500000</v>
      </c>
      <c r="D8" s="146">
        <f t="shared" si="0"/>
        <v>0</v>
      </c>
      <c r="E8" s="146">
        <f t="shared" si="0"/>
        <v>5500000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5500000</v>
      </c>
      <c r="S8" s="148"/>
      <c r="T8" s="148"/>
      <c r="U8" s="143"/>
    </row>
    <row r="9" spans="1:21" s="144" customFormat="1">
      <c r="A9" s="145" t="s">
        <v>594</v>
      </c>
      <c r="B9" s="146">
        <f>SUM(C9+D9)</f>
        <v>0</v>
      </c>
      <c r="C9" s="147">
        <f>E9</f>
        <v>0</v>
      </c>
      <c r="D9" s="147"/>
      <c r="E9" s="147">
        <v>0</v>
      </c>
      <c r="F9" s="147"/>
      <c r="G9" s="147"/>
      <c r="H9" s="147"/>
      <c r="I9" s="147"/>
      <c r="J9" s="147"/>
      <c r="K9" s="147"/>
      <c r="L9" s="147"/>
      <c r="M9" s="147"/>
      <c r="N9" s="147"/>
      <c r="O9" s="147"/>
      <c r="P9" s="147"/>
      <c r="Q9" s="147"/>
      <c r="R9" s="516">
        <f>SUM(E9:Q9)</f>
        <v>0</v>
      </c>
      <c r="S9" s="148"/>
      <c r="T9" s="147">
        <f>R9</f>
        <v>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5500000</v>
      </c>
      <c r="C12" s="146">
        <f t="shared" si="2"/>
        <v>5500000</v>
      </c>
      <c r="D12" s="146">
        <f t="shared" si="2"/>
        <v>0</v>
      </c>
      <c r="E12" s="146">
        <f t="shared" si="2"/>
        <v>5500000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5500000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f t="shared" ref="S18:S25" si="4">R18</f>
        <v>0</v>
      </c>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5"/>
        <v>0</v>
      </c>
      <c r="S23" s="147">
        <f t="shared" si="4"/>
        <v>0</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5"/>
        <v>0</v>
      </c>
      <c r="S25" s="147">
        <f t="shared" si="4"/>
        <v>0</v>
      </c>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840086</v>
      </c>
      <c r="C29" s="147">
        <v>840086</v>
      </c>
      <c r="D29" s="147"/>
      <c r="E29" s="147">
        <f>C29-SUM(F29:J29)</f>
        <v>840086</v>
      </c>
      <c r="F29" s="147"/>
      <c r="G29" s="147"/>
      <c r="H29" s="147"/>
      <c r="I29" s="147"/>
      <c r="J29" s="147"/>
      <c r="K29" s="147"/>
      <c r="L29" s="147"/>
      <c r="M29" s="147"/>
      <c r="N29" s="147"/>
      <c r="O29" s="147"/>
      <c r="P29" s="147"/>
      <c r="Q29" s="147"/>
      <c r="R29" s="516">
        <f t="shared" ref="R29:R37" si="8">SUM(E29:Q29)</f>
        <v>840086</v>
      </c>
      <c r="S29" s="147">
        <f>R29</f>
        <v>840086</v>
      </c>
      <c r="T29" s="147"/>
      <c r="U29" s="143"/>
    </row>
    <row r="30" spans="1:21" s="144" customFormat="1">
      <c r="A30" s="145" t="s">
        <v>599</v>
      </c>
      <c r="B30" s="146">
        <f t="shared" si="7"/>
        <v>49283562</v>
      </c>
      <c r="C30" s="147">
        <v>49283562</v>
      </c>
      <c r="D30" s="147"/>
      <c r="E30" s="147">
        <f>C30-SUM(F30:L30)</f>
        <v>14817890</v>
      </c>
      <c r="F30" s="147">
        <f>Application!AO635-F9</f>
        <v>13270000</v>
      </c>
      <c r="G30" s="147">
        <f>Application!AO636</f>
        <v>8998672</v>
      </c>
      <c r="H30" s="147"/>
      <c r="I30" s="147"/>
      <c r="J30" s="147"/>
      <c r="K30" s="147">
        <v>7197000</v>
      </c>
      <c r="L30" s="147">
        <f>Application!AO641</f>
        <v>5000000</v>
      </c>
      <c r="M30" s="147"/>
      <c r="N30" s="147"/>
      <c r="O30" s="147"/>
      <c r="P30" s="147"/>
      <c r="Q30" s="147"/>
      <c r="R30" s="516">
        <f t="shared" si="8"/>
        <v>49283562</v>
      </c>
      <c r="S30" s="147">
        <f t="shared" ref="S30:S37" si="9">R30</f>
        <v>49283562</v>
      </c>
      <c r="T30" s="147"/>
      <c r="U30" s="143"/>
    </row>
    <row r="31" spans="1:21" s="144" customFormat="1">
      <c r="A31" s="145" t="s">
        <v>600</v>
      </c>
      <c r="B31" s="146">
        <f t="shared" si="7"/>
        <v>1890985</v>
      </c>
      <c r="C31" s="147">
        <v>1890985</v>
      </c>
      <c r="D31" s="147"/>
      <c r="E31" s="147">
        <f>C31-SUM(F31:J31)</f>
        <v>1890985</v>
      </c>
      <c r="F31" s="147"/>
      <c r="G31" s="147"/>
      <c r="H31" s="147"/>
      <c r="I31" s="147"/>
      <c r="J31" s="147"/>
      <c r="K31" s="147"/>
      <c r="L31" s="147"/>
      <c r="M31" s="147"/>
      <c r="N31" s="147"/>
      <c r="O31" s="147"/>
      <c r="P31" s="147"/>
      <c r="Q31" s="147"/>
      <c r="R31" s="516">
        <f t="shared" si="8"/>
        <v>1890985</v>
      </c>
      <c r="S31" s="147">
        <f t="shared" si="9"/>
        <v>1890985</v>
      </c>
      <c r="T31" s="147"/>
      <c r="U31" s="143"/>
    </row>
    <row r="32" spans="1:21" s="144" customFormat="1">
      <c r="A32" s="145" t="s">
        <v>137</v>
      </c>
      <c r="B32" s="146">
        <f t="shared" si="7"/>
        <v>2464010</v>
      </c>
      <c r="C32" s="147">
        <v>2464010</v>
      </c>
      <c r="D32" s="147"/>
      <c r="E32" s="147">
        <f>C32-SUM(F32:J32)</f>
        <v>2464010</v>
      </c>
      <c r="F32" s="147"/>
      <c r="G32" s="147"/>
      <c r="H32" s="147"/>
      <c r="I32" s="147"/>
      <c r="J32" s="147"/>
      <c r="K32" s="147"/>
      <c r="L32" s="147"/>
      <c r="M32" s="147"/>
      <c r="N32" s="147"/>
      <c r="O32" s="147"/>
      <c r="P32" s="147"/>
      <c r="Q32" s="147"/>
      <c r="R32" s="516">
        <f t="shared" si="8"/>
        <v>2464010</v>
      </c>
      <c r="S32" s="147">
        <f t="shared" si="9"/>
        <v>2464010</v>
      </c>
      <c r="T32" s="147"/>
      <c r="U32" s="143"/>
    </row>
    <row r="33" spans="1:21" s="144" customFormat="1">
      <c r="A33" s="145" t="s">
        <v>138</v>
      </c>
      <c r="B33" s="146">
        <f t="shared" si="7"/>
        <v>2464010</v>
      </c>
      <c r="C33" s="147">
        <v>2464010</v>
      </c>
      <c r="D33" s="147"/>
      <c r="E33" s="147">
        <f>C33-SUM(F33:J33)</f>
        <v>2464010</v>
      </c>
      <c r="F33" s="147"/>
      <c r="G33" s="147"/>
      <c r="H33" s="147"/>
      <c r="I33" s="147"/>
      <c r="J33" s="147"/>
      <c r="K33" s="147"/>
      <c r="L33" s="147"/>
      <c r="M33" s="147"/>
      <c r="N33" s="147"/>
      <c r="O33" s="147"/>
      <c r="P33" s="147"/>
      <c r="Q33" s="147"/>
      <c r="R33" s="516">
        <f t="shared" si="8"/>
        <v>2464010</v>
      </c>
      <c r="S33" s="147">
        <f t="shared" si="9"/>
        <v>2464010</v>
      </c>
      <c r="T33" s="147"/>
      <c r="U33" s="143"/>
    </row>
    <row r="34" spans="1:21" s="144" customFormat="1">
      <c r="A34" s="145" t="s">
        <v>139</v>
      </c>
      <c r="B34" s="146">
        <f t="shared" si="7"/>
        <v>0</v>
      </c>
      <c r="C34" s="147"/>
      <c r="D34" s="147"/>
      <c r="E34" s="147">
        <f>C34-SUM(F34:J34)</f>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7"/>
        <v>340884</v>
      </c>
      <c r="C35" s="147">
        <v>340884</v>
      </c>
      <c r="D35" s="147"/>
      <c r="E35" s="147">
        <f>C35-SUM(F35:J35)</f>
        <v>340884</v>
      </c>
      <c r="F35" s="147"/>
      <c r="G35" s="147"/>
      <c r="H35" s="147"/>
      <c r="I35" s="147"/>
      <c r="J35" s="147"/>
      <c r="K35" s="147"/>
      <c r="L35" s="147"/>
      <c r="M35" s="147"/>
      <c r="N35" s="147"/>
      <c r="O35" s="147"/>
      <c r="P35" s="147"/>
      <c r="Q35" s="147"/>
      <c r="R35" s="516">
        <f t="shared" si="8"/>
        <v>340884</v>
      </c>
      <c r="S35" s="147">
        <f t="shared" si="9"/>
        <v>340884</v>
      </c>
      <c r="T35" s="147"/>
      <c r="U35" s="143"/>
    </row>
    <row r="36" spans="1:21" s="144" customFormat="1">
      <c r="A36" s="283" t="s">
        <v>1629</v>
      </c>
      <c r="B36" s="146">
        <f t="shared" si="7"/>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7"/>
        <v>57283537</v>
      </c>
      <c r="C38" s="146">
        <f>SUM(C29:C37)</f>
        <v>57283537</v>
      </c>
      <c r="D38" s="146">
        <f t="shared" ref="D38:Q38" si="10">SUM(D29:D37)</f>
        <v>0</v>
      </c>
      <c r="E38" s="146">
        <f t="shared" si="10"/>
        <v>22817865</v>
      </c>
      <c r="F38" s="146">
        <f t="shared" si="10"/>
        <v>13270000</v>
      </c>
      <c r="G38" s="146">
        <f t="shared" si="10"/>
        <v>8998672</v>
      </c>
      <c r="H38" s="146">
        <f t="shared" si="10"/>
        <v>0</v>
      </c>
      <c r="I38" s="146">
        <f t="shared" si="10"/>
        <v>0</v>
      </c>
      <c r="J38" s="146">
        <f t="shared" si="10"/>
        <v>0</v>
      </c>
      <c r="K38" s="146">
        <f t="shared" si="10"/>
        <v>7197000</v>
      </c>
      <c r="L38" s="146">
        <f t="shared" si="10"/>
        <v>5000000</v>
      </c>
      <c r="M38" s="146">
        <f t="shared" si="10"/>
        <v>0</v>
      </c>
      <c r="N38" s="146">
        <f t="shared" si="10"/>
        <v>0</v>
      </c>
      <c r="O38" s="146">
        <f t="shared" si="10"/>
        <v>0</v>
      </c>
      <c r="P38" s="146">
        <f t="shared" si="10"/>
        <v>0</v>
      </c>
      <c r="Q38" s="146">
        <f t="shared" si="10"/>
        <v>0</v>
      </c>
      <c r="R38" s="342">
        <f>SUM(R29:R37)</f>
        <v>57283537</v>
      </c>
      <c r="S38" s="150">
        <f>SUM(S29:S37)</f>
        <v>57283537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436000</v>
      </c>
      <c r="C40" s="147">
        <v>436000</v>
      </c>
      <c r="D40" s="147"/>
      <c r="E40" s="147">
        <f>C40-K40</f>
        <v>370500</v>
      </c>
      <c r="F40" s="147"/>
      <c r="G40" s="147"/>
      <c r="H40" s="147"/>
      <c r="I40" s="147"/>
      <c r="J40" s="147"/>
      <c r="K40" s="147">
        <v>65500</v>
      </c>
      <c r="L40" s="147"/>
      <c r="M40" s="147"/>
      <c r="N40" s="147"/>
      <c r="O40" s="147"/>
      <c r="P40" s="147"/>
      <c r="Q40" s="147"/>
      <c r="R40" s="516">
        <f>SUM(E40:Q40)</f>
        <v>436000</v>
      </c>
      <c r="S40" s="147">
        <f>R40</f>
        <v>436000</v>
      </c>
      <c r="T40" s="147"/>
      <c r="U40" s="143"/>
    </row>
    <row r="41" spans="1:21" s="144" customFormat="1">
      <c r="A41" s="145" t="s">
        <v>146</v>
      </c>
      <c r="B41" s="146">
        <f>SUM(C41+D41)</f>
        <v>200000</v>
      </c>
      <c r="C41" s="147">
        <v>200000</v>
      </c>
      <c r="D41" s="147"/>
      <c r="E41" s="147">
        <f>C41-K41</f>
        <v>159000</v>
      </c>
      <c r="F41" s="147"/>
      <c r="G41" s="147"/>
      <c r="H41" s="147"/>
      <c r="I41" s="147"/>
      <c r="J41" s="147"/>
      <c r="K41" s="147">
        <v>41000</v>
      </c>
      <c r="L41" s="147"/>
      <c r="M41" s="147"/>
      <c r="N41" s="147"/>
      <c r="O41" s="147"/>
      <c r="P41" s="147"/>
      <c r="Q41" s="147"/>
      <c r="R41" s="516">
        <f>SUM(E41:Q41)</f>
        <v>200000</v>
      </c>
      <c r="S41" s="147">
        <f>R41</f>
        <v>200000</v>
      </c>
      <c r="T41" s="147"/>
      <c r="U41" s="143"/>
    </row>
    <row r="42" spans="1:21" s="144" customFormat="1">
      <c r="A42" s="149" t="s">
        <v>147</v>
      </c>
      <c r="B42" s="146">
        <f>SUM(C42:D42)</f>
        <v>636000</v>
      </c>
      <c r="C42" s="146">
        <f>SUM(C39:C41)</f>
        <v>636000</v>
      </c>
      <c r="D42" s="146">
        <f>SUM(D39:D41)</f>
        <v>0</v>
      </c>
      <c r="E42" s="146">
        <f t="shared" ref="E42:T42" si="11">SUM(E40:E41)</f>
        <v>529500</v>
      </c>
      <c r="F42" s="146">
        <f t="shared" si="11"/>
        <v>0</v>
      </c>
      <c r="G42" s="146">
        <f t="shared" si="11"/>
        <v>0</v>
      </c>
      <c r="H42" s="146">
        <f t="shared" si="11"/>
        <v>0</v>
      </c>
      <c r="I42" s="146">
        <f t="shared" si="11"/>
        <v>0</v>
      </c>
      <c r="J42" s="146">
        <f t="shared" si="11"/>
        <v>0</v>
      </c>
      <c r="K42" s="146">
        <f t="shared" si="11"/>
        <v>106500</v>
      </c>
      <c r="L42" s="146">
        <f t="shared" si="11"/>
        <v>0</v>
      </c>
      <c r="M42" s="146">
        <f t="shared" si="11"/>
        <v>0</v>
      </c>
      <c r="N42" s="146">
        <f t="shared" si="11"/>
        <v>0</v>
      </c>
      <c r="O42" s="146">
        <f t="shared" si="11"/>
        <v>0</v>
      </c>
      <c r="P42" s="146">
        <f t="shared" si="11"/>
        <v>0</v>
      </c>
      <c r="Q42" s="146">
        <f t="shared" si="11"/>
        <v>0</v>
      </c>
      <c r="R42" s="342">
        <f>SUM(R40:R41)</f>
        <v>636000</v>
      </c>
      <c r="S42" s="150">
        <f t="shared" si="11"/>
        <v>636000</v>
      </c>
      <c r="T42" s="150">
        <f t="shared" si="11"/>
        <v>0</v>
      </c>
      <c r="U42" s="143"/>
    </row>
    <row r="43" spans="1:21" s="144" customFormat="1">
      <c r="A43" s="149" t="s">
        <v>148</v>
      </c>
      <c r="B43" s="146">
        <f>SUM(C43:D43)</f>
        <v>270500</v>
      </c>
      <c r="C43" s="147">
        <v>270500</v>
      </c>
      <c r="D43" s="147"/>
      <c r="E43" s="147">
        <f>C43-K43</f>
        <v>74000</v>
      </c>
      <c r="F43" s="147"/>
      <c r="G43" s="147"/>
      <c r="H43" s="147"/>
      <c r="I43" s="147"/>
      <c r="J43" s="147"/>
      <c r="K43" s="147">
        <v>196500</v>
      </c>
      <c r="L43" s="147"/>
      <c r="M43" s="147"/>
      <c r="N43" s="147"/>
      <c r="O43" s="147"/>
      <c r="P43" s="147"/>
      <c r="Q43" s="147"/>
      <c r="R43" s="516">
        <f>SUM(E43:Q43)</f>
        <v>270500</v>
      </c>
      <c r="S43" s="147">
        <f>R43</f>
        <v>270500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5593000</v>
      </c>
      <c r="C45" s="147">
        <v>5593000</v>
      </c>
      <c r="D45" s="147"/>
      <c r="E45" s="147">
        <f>B45-SUM(F45:M45)</f>
        <v>5593000</v>
      </c>
      <c r="F45" s="147"/>
      <c r="G45" s="147"/>
      <c r="H45" s="147"/>
      <c r="I45" s="147"/>
      <c r="J45" s="147"/>
      <c r="K45" s="147"/>
      <c r="L45" s="147"/>
      <c r="M45" s="147"/>
      <c r="N45" s="147"/>
      <c r="O45" s="147"/>
      <c r="P45" s="147"/>
      <c r="Q45" s="147"/>
      <c r="R45" s="516">
        <f t="shared" ref="R45:R53" si="13">SUM(E45:Q45)</f>
        <v>5593000</v>
      </c>
      <c r="S45" s="147">
        <f t="shared" ref="S45:S53" si="14">R45</f>
        <v>5593000</v>
      </c>
      <c r="T45" s="147"/>
      <c r="U45" s="143"/>
    </row>
    <row r="46" spans="1:21" s="144" customFormat="1">
      <c r="A46" s="145" t="s">
        <v>151</v>
      </c>
      <c r="B46" s="146">
        <f t="shared" si="12"/>
        <v>234750</v>
      </c>
      <c r="C46" s="147">
        <v>234750</v>
      </c>
      <c r="D46" s="147"/>
      <c r="E46" s="147">
        <f>B46-SUM(F46:M46)</f>
        <v>234750</v>
      </c>
      <c r="F46" s="147"/>
      <c r="G46" s="147"/>
      <c r="H46" s="147"/>
      <c r="I46" s="147"/>
      <c r="J46" s="147"/>
      <c r="K46" s="147"/>
      <c r="L46" s="147"/>
      <c r="M46" s="147"/>
      <c r="N46" s="147"/>
      <c r="O46" s="147"/>
      <c r="P46" s="147"/>
      <c r="Q46" s="147"/>
      <c r="R46" s="516">
        <f t="shared" si="13"/>
        <v>234750</v>
      </c>
      <c r="S46" s="147">
        <f t="shared" si="14"/>
        <v>234750</v>
      </c>
      <c r="T46" s="147"/>
      <c r="U46" s="143"/>
    </row>
    <row r="47" spans="1:21" s="144" customFormat="1">
      <c r="A47" s="186" t="s">
        <v>152</v>
      </c>
      <c r="B47" s="146">
        <f t="shared" si="12"/>
        <v>0</v>
      </c>
      <c r="C47" s="147"/>
      <c r="D47" s="147"/>
      <c r="E47" s="147">
        <f t="shared" ref="E47:E53" si="15">C47</f>
        <v>0</v>
      </c>
      <c r="F47" s="147"/>
      <c r="G47" s="147"/>
      <c r="H47" s="147"/>
      <c r="I47" s="147"/>
      <c r="J47" s="147"/>
      <c r="K47" s="147"/>
      <c r="L47" s="147"/>
      <c r="M47" s="147"/>
      <c r="N47" s="147"/>
      <c r="O47" s="147"/>
      <c r="P47" s="147"/>
      <c r="Q47" s="147"/>
      <c r="R47" s="516">
        <f t="shared" si="13"/>
        <v>0</v>
      </c>
      <c r="S47" s="147">
        <f t="shared" si="14"/>
        <v>0</v>
      </c>
      <c r="T47" s="147"/>
      <c r="U47" s="143"/>
    </row>
    <row r="48" spans="1:21" s="144" customFormat="1">
      <c r="A48" s="145" t="s">
        <v>153</v>
      </c>
      <c r="B48" s="146">
        <f t="shared" si="12"/>
        <v>0</v>
      </c>
      <c r="C48" s="147"/>
      <c r="D48" s="147"/>
      <c r="E48" s="147">
        <f t="shared" si="15"/>
        <v>0</v>
      </c>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2"/>
        <v>86500</v>
      </c>
      <c r="C49" s="147">
        <v>86500</v>
      </c>
      <c r="D49" s="147"/>
      <c r="E49" s="147">
        <f t="shared" si="15"/>
        <v>86500</v>
      </c>
      <c r="F49" s="147"/>
      <c r="G49" s="147"/>
      <c r="H49" s="147"/>
      <c r="I49" s="147"/>
      <c r="J49" s="147"/>
      <c r="K49" s="147"/>
      <c r="L49" s="147"/>
      <c r="M49" s="147"/>
      <c r="N49" s="147"/>
      <c r="O49" s="147"/>
      <c r="P49" s="147"/>
      <c r="Q49" s="147"/>
      <c r="R49" s="516">
        <f t="shared" si="13"/>
        <v>86500</v>
      </c>
      <c r="S49" s="147">
        <f t="shared" si="14"/>
        <v>86500</v>
      </c>
      <c r="T49" s="147"/>
      <c r="U49" s="143"/>
    </row>
    <row r="50" spans="1:21" s="144" customFormat="1">
      <c r="A50" s="145" t="s">
        <v>156</v>
      </c>
      <c r="B50" s="146">
        <f t="shared" si="12"/>
        <v>75000</v>
      </c>
      <c r="C50" s="147">
        <v>75000</v>
      </c>
      <c r="D50" s="147"/>
      <c r="E50" s="147">
        <f t="shared" si="15"/>
        <v>75000</v>
      </c>
      <c r="F50" s="147"/>
      <c r="G50" s="147"/>
      <c r="H50" s="147"/>
      <c r="I50" s="147"/>
      <c r="J50" s="147"/>
      <c r="K50" s="147"/>
      <c r="L50" s="147"/>
      <c r="M50" s="147"/>
      <c r="N50" s="147"/>
      <c r="O50" s="147"/>
      <c r="P50" s="147"/>
      <c r="Q50" s="147"/>
      <c r="R50" s="516">
        <f t="shared" si="13"/>
        <v>75000</v>
      </c>
      <c r="S50" s="147">
        <f t="shared" si="14"/>
        <v>75000</v>
      </c>
      <c r="T50" s="147"/>
      <c r="U50" s="143"/>
    </row>
    <row r="51" spans="1:21" s="144" customFormat="1">
      <c r="A51" s="283" t="s">
        <v>154</v>
      </c>
      <c r="B51" s="146">
        <f t="shared" si="12"/>
        <v>10000</v>
      </c>
      <c r="C51" s="147">
        <v>10000</v>
      </c>
      <c r="D51" s="147"/>
      <c r="E51" s="147">
        <f t="shared" si="15"/>
        <v>10000</v>
      </c>
      <c r="F51" s="147"/>
      <c r="G51" s="147"/>
      <c r="H51" s="147"/>
      <c r="I51" s="147"/>
      <c r="J51" s="147"/>
      <c r="K51" s="147"/>
      <c r="L51" s="147"/>
      <c r="M51" s="147"/>
      <c r="N51" s="147"/>
      <c r="O51" s="147"/>
      <c r="P51" s="147"/>
      <c r="Q51" s="147"/>
      <c r="R51" s="516">
        <f t="shared" si="13"/>
        <v>10000</v>
      </c>
      <c r="S51" s="147">
        <f t="shared" si="14"/>
        <v>10000</v>
      </c>
      <c r="T51" s="147"/>
      <c r="U51" s="143"/>
    </row>
    <row r="52" spans="1:21" s="144" customFormat="1">
      <c r="A52" s="145" t="s">
        <v>155</v>
      </c>
      <c r="B52" s="146">
        <f t="shared" si="12"/>
        <v>350000</v>
      </c>
      <c r="C52" s="147">
        <v>350000</v>
      </c>
      <c r="D52" s="147"/>
      <c r="E52" s="147">
        <f t="shared" si="15"/>
        <v>350000</v>
      </c>
      <c r="F52" s="147"/>
      <c r="G52" s="147"/>
      <c r="H52" s="147"/>
      <c r="I52" s="147"/>
      <c r="J52" s="147"/>
      <c r="K52" s="147"/>
      <c r="L52" s="147"/>
      <c r="M52" s="147"/>
      <c r="N52" s="147"/>
      <c r="O52" s="147"/>
      <c r="P52" s="147"/>
      <c r="Q52" s="147"/>
      <c r="R52" s="516">
        <f t="shared" si="13"/>
        <v>350000</v>
      </c>
      <c r="S52" s="147">
        <f t="shared" si="14"/>
        <v>350000</v>
      </c>
      <c r="T52" s="147"/>
      <c r="U52" s="143"/>
    </row>
    <row r="53" spans="1:21" s="144" customFormat="1">
      <c r="A53" s="1143" t="s">
        <v>34</v>
      </c>
      <c r="B53" s="146">
        <f t="shared" si="12"/>
        <v>0</v>
      </c>
      <c r="C53" s="147"/>
      <c r="D53" s="147"/>
      <c r="E53" s="147">
        <f t="shared" si="15"/>
        <v>0</v>
      </c>
      <c r="F53" s="147"/>
      <c r="G53" s="147"/>
      <c r="H53" s="147"/>
      <c r="I53" s="147"/>
      <c r="J53" s="147"/>
      <c r="K53" s="147"/>
      <c r="L53" s="147"/>
      <c r="M53" s="147"/>
      <c r="N53" s="147"/>
      <c r="O53" s="147"/>
      <c r="P53" s="147"/>
      <c r="Q53" s="147"/>
      <c r="R53" s="516">
        <f t="shared" si="13"/>
        <v>0</v>
      </c>
      <c r="S53" s="147">
        <f t="shared" si="14"/>
        <v>0</v>
      </c>
      <c r="T53" s="147"/>
      <c r="U53" s="143"/>
    </row>
    <row r="54" spans="1:21" s="153" customFormat="1">
      <c r="A54" s="149" t="s">
        <v>157</v>
      </c>
      <c r="B54" s="150">
        <f>SUM(C54:D54)</f>
        <v>6349250</v>
      </c>
      <c r="C54" s="150">
        <f t="shared" ref="C54:T54" si="16">SUM(C45:C53)</f>
        <v>6349250</v>
      </c>
      <c r="D54" s="150">
        <f t="shared" si="16"/>
        <v>0</v>
      </c>
      <c r="E54" s="150">
        <f t="shared" si="16"/>
        <v>6349250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6349250</v>
      </c>
      <c r="S54" s="150">
        <f t="shared" si="16"/>
        <v>6349250</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80000</v>
      </c>
      <c r="C56" s="147">
        <v>80000</v>
      </c>
      <c r="D56" s="147"/>
      <c r="E56" s="147">
        <f t="shared" ref="E56:E61" si="18">B56-SUM(F56:M56)</f>
        <v>80000</v>
      </c>
      <c r="F56" s="147"/>
      <c r="G56" s="147"/>
      <c r="H56" s="147"/>
      <c r="I56" s="147"/>
      <c r="J56" s="147"/>
      <c r="K56" s="147"/>
      <c r="L56" s="147"/>
      <c r="M56" s="147"/>
      <c r="N56" s="147"/>
      <c r="O56" s="147"/>
      <c r="P56" s="147"/>
      <c r="Q56" s="147"/>
      <c r="R56" s="516">
        <f t="shared" ref="R56:R61" si="19">SUM(E56:Q56)</f>
        <v>80000</v>
      </c>
      <c r="S56" s="148"/>
      <c r="T56" s="148"/>
      <c r="U56" s="143"/>
    </row>
    <row r="57" spans="1:21" s="192" customFormat="1">
      <c r="A57" s="186" t="s">
        <v>152</v>
      </c>
      <c r="B57" s="193">
        <f t="shared" si="17"/>
        <v>15000</v>
      </c>
      <c r="C57" s="190">
        <v>15000</v>
      </c>
      <c r="D57" s="190"/>
      <c r="E57" s="190">
        <f t="shared" si="18"/>
        <v>15000</v>
      </c>
      <c r="F57" s="190"/>
      <c r="G57" s="190"/>
      <c r="H57" s="190"/>
      <c r="I57" s="190"/>
      <c r="J57" s="190"/>
      <c r="K57" s="190"/>
      <c r="L57" s="190"/>
      <c r="M57" s="190"/>
      <c r="N57" s="190"/>
      <c r="O57" s="190"/>
      <c r="P57" s="190"/>
      <c r="Q57" s="190"/>
      <c r="R57" s="516">
        <f t="shared" si="19"/>
        <v>15000</v>
      </c>
      <c r="S57" s="194"/>
      <c r="T57" s="194"/>
      <c r="U57" s="191"/>
    </row>
    <row r="58" spans="1:21" s="144" customFormat="1">
      <c r="A58" s="145" t="s">
        <v>156</v>
      </c>
      <c r="B58" s="146">
        <f t="shared" si="17"/>
        <v>12000</v>
      </c>
      <c r="C58" s="147">
        <v>12000</v>
      </c>
      <c r="D58" s="147"/>
      <c r="E58" s="147">
        <f t="shared" si="18"/>
        <v>12000</v>
      </c>
      <c r="F58" s="147"/>
      <c r="G58" s="147"/>
      <c r="H58" s="147"/>
      <c r="I58" s="147"/>
      <c r="J58" s="147"/>
      <c r="K58" s="147"/>
      <c r="L58" s="147"/>
      <c r="M58" s="147"/>
      <c r="N58" s="147"/>
      <c r="O58" s="147"/>
      <c r="P58" s="147"/>
      <c r="Q58" s="147"/>
      <c r="R58" s="516">
        <f t="shared" si="19"/>
        <v>12000</v>
      </c>
      <c r="S58" s="148"/>
      <c r="T58" s="148"/>
      <c r="U58" s="143"/>
    </row>
    <row r="59" spans="1:21" s="144" customFormat="1">
      <c r="A59" s="283" t="s">
        <v>154</v>
      </c>
      <c r="B59" s="146">
        <f t="shared" si="17"/>
        <v>0</v>
      </c>
      <c r="C59" s="147"/>
      <c r="D59" s="147"/>
      <c r="E59" s="147">
        <f t="shared" si="18"/>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f t="shared" si="18"/>
        <v>0</v>
      </c>
      <c r="F60" s="147"/>
      <c r="G60" s="147"/>
      <c r="H60" s="147"/>
      <c r="I60" s="147"/>
      <c r="J60" s="147"/>
      <c r="K60" s="147"/>
      <c r="L60" s="147"/>
      <c r="M60" s="147"/>
      <c r="N60" s="147"/>
      <c r="O60" s="147"/>
      <c r="P60" s="147"/>
      <c r="Q60" s="147"/>
      <c r="R60" s="516">
        <f t="shared" si="19"/>
        <v>0</v>
      </c>
      <c r="S60" s="148"/>
      <c r="T60" s="148"/>
      <c r="U60" s="143"/>
    </row>
    <row r="61" spans="1:21" s="144" customFormat="1">
      <c r="A61" s="1143" t="s">
        <v>2737</v>
      </c>
      <c r="B61" s="146">
        <f t="shared" si="17"/>
        <v>25000</v>
      </c>
      <c r="C61" s="147">
        <v>25000</v>
      </c>
      <c r="D61" s="147"/>
      <c r="E61" s="147">
        <f t="shared" si="18"/>
        <v>25000</v>
      </c>
      <c r="F61" s="147"/>
      <c r="G61" s="147"/>
      <c r="H61" s="147"/>
      <c r="I61" s="147"/>
      <c r="J61" s="147"/>
      <c r="K61" s="147"/>
      <c r="L61" s="147"/>
      <c r="M61" s="147"/>
      <c r="N61" s="147"/>
      <c r="O61" s="147"/>
      <c r="P61" s="147"/>
      <c r="Q61" s="147"/>
      <c r="R61" s="516">
        <f t="shared" si="19"/>
        <v>25000</v>
      </c>
      <c r="S61" s="148"/>
      <c r="T61" s="148"/>
      <c r="U61" s="143"/>
    </row>
    <row r="62" spans="1:21" s="144" customFormat="1" ht="13.75" customHeight="1">
      <c r="A62" s="149" t="s">
        <v>301</v>
      </c>
      <c r="B62" s="146">
        <f>SUM(C62:D62)</f>
        <v>132000</v>
      </c>
      <c r="C62" s="146">
        <f t="shared" ref="C62:R62" si="20">SUM(C56:C61)</f>
        <v>132000</v>
      </c>
      <c r="D62" s="146">
        <f t="shared" si="20"/>
        <v>0</v>
      </c>
      <c r="E62" s="146">
        <f t="shared" si="20"/>
        <v>132000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132000</v>
      </c>
      <c r="S62" s="148"/>
      <c r="T62" s="148"/>
      <c r="U62" s="143"/>
    </row>
    <row r="63" spans="1:21" s="144" customFormat="1">
      <c r="A63" s="154" t="s">
        <v>302</v>
      </c>
      <c r="B63" s="146">
        <f t="shared" ref="B63:R63" si="21">SUM(B8+B11+B13+B14+B15+B26+B27+B38+B42+B43+B54+B62)</f>
        <v>70171287</v>
      </c>
      <c r="C63" s="146">
        <f t="shared" si="21"/>
        <v>70171287</v>
      </c>
      <c r="D63" s="146">
        <f t="shared" si="21"/>
        <v>0</v>
      </c>
      <c r="E63" s="146">
        <f t="shared" si="21"/>
        <v>35402615</v>
      </c>
      <c r="F63" s="146">
        <f t="shared" si="21"/>
        <v>13270000</v>
      </c>
      <c r="G63" s="146">
        <f t="shared" si="21"/>
        <v>8998672</v>
      </c>
      <c r="H63" s="146">
        <f t="shared" si="21"/>
        <v>0</v>
      </c>
      <c r="I63" s="146">
        <f t="shared" si="21"/>
        <v>0</v>
      </c>
      <c r="J63" s="146">
        <f t="shared" si="21"/>
        <v>0</v>
      </c>
      <c r="K63" s="146">
        <f t="shared" si="21"/>
        <v>7500000</v>
      </c>
      <c r="L63" s="146">
        <f t="shared" si="21"/>
        <v>5000000</v>
      </c>
      <c r="M63" s="146">
        <f t="shared" si="21"/>
        <v>0</v>
      </c>
      <c r="N63" s="146">
        <f t="shared" si="21"/>
        <v>0</v>
      </c>
      <c r="O63" s="146">
        <f t="shared" si="21"/>
        <v>0</v>
      </c>
      <c r="P63" s="146">
        <f t="shared" si="21"/>
        <v>0</v>
      </c>
      <c r="Q63" s="146">
        <f t="shared" si="21"/>
        <v>0</v>
      </c>
      <c r="R63" s="342">
        <f t="shared" si="21"/>
        <v>70171287</v>
      </c>
      <c r="S63" s="146">
        <f>SUM(S10+S13+S14+S15+S26+S27+S38+S42+S43+S54)</f>
        <v>64539287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25000</v>
      </c>
      <c r="C65" s="147">
        <v>25000</v>
      </c>
      <c r="D65" s="147"/>
      <c r="E65" s="147">
        <f>C65</f>
        <v>25000</v>
      </c>
      <c r="F65" s="147"/>
      <c r="G65" s="147"/>
      <c r="H65" s="147"/>
      <c r="I65" s="147"/>
      <c r="J65" s="147"/>
      <c r="K65" s="147"/>
      <c r="L65" s="147"/>
      <c r="M65" s="147"/>
      <c r="N65" s="147"/>
      <c r="O65" s="147"/>
      <c r="P65" s="147"/>
      <c r="Q65" s="147"/>
      <c r="R65" s="516">
        <f>SUM(E65:Q65)</f>
        <v>25000</v>
      </c>
      <c r="S65" s="147">
        <f>R65</f>
        <v>25000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f>R66</f>
        <v>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R67</f>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R68</f>
        <v>0</v>
      </c>
      <c r="T68" s="147"/>
      <c r="U68" s="143"/>
    </row>
    <row r="69" spans="1:21" s="144" customFormat="1">
      <c r="A69" s="1143" t="s">
        <v>2738</v>
      </c>
      <c r="B69" s="146">
        <f>SUM(C69+D69)</f>
        <v>64000</v>
      </c>
      <c r="C69" s="147">
        <v>64000</v>
      </c>
      <c r="D69" s="147"/>
      <c r="E69" s="147">
        <f>C69</f>
        <v>64000</v>
      </c>
      <c r="F69" s="147"/>
      <c r="G69" s="147"/>
      <c r="H69" s="147"/>
      <c r="I69" s="147"/>
      <c r="J69" s="147"/>
      <c r="K69" s="147"/>
      <c r="L69" s="147"/>
      <c r="M69" s="147"/>
      <c r="N69" s="147"/>
      <c r="O69" s="147"/>
      <c r="P69" s="147"/>
      <c r="Q69" s="147"/>
      <c r="R69" s="516">
        <f>SUM(E69:Q69)</f>
        <v>64000</v>
      </c>
      <c r="S69" s="147">
        <f>R69</f>
        <v>64000</v>
      </c>
      <c r="T69" s="147"/>
      <c r="U69" s="143"/>
    </row>
    <row r="70" spans="1:21" s="144" customFormat="1">
      <c r="A70" s="149" t="s">
        <v>1634</v>
      </c>
      <c r="B70" s="146">
        <f>SUM(C70:D70)</f>
        <v>89000</v>
      </c>
      <c r="C70" s="146">
        <f>SUM(C65:C69)</f>
        <v>89000</v>
      </c>
      <c r="D70" s="146">
        <f>SUM(D65:D69)</f>
        <v>0</v>
      </c>
      <c r="E70" s="146">
        <f t="shared" ref="E70:T70" si="22">SUM(E65:E69)</f>
        <v>89000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89000</v>
      </c>
      <c r="S70" s="150">
        <f t="shared" si="22"/>
        <v>89000</v>
      </c>
      <c r="T70" s="150">
        <f t="shared" si="22"/>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c r="F74" s="147">
        <f>C74-SUM(G74:N74)</f>
        <v>0</v>
      </c>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276630</v>
      </c>
      <c r="C75" s="147">
        <v>276630</v>
      </c>
      <c r="D75" s="147"/>
      <c r="E75" s="147"/>
      <c r="F75" s="147">
        <f>C75-SUM(G75:N75)</f>
        <v>0</v>
      </c>
      <c r="G75" s="147"/>
      <c r="H75" s="147">
        <v>276630</v>
      </c>
      <c r="I75" s="147"/>
      <c r="J75" s="147"/>
      <c r="K75" s="147"/>
      <c r="L75" s="147"/>
      <c r="M75" s="147"/>
      <c r="N75" s="147"/>
      <c r="O75" s="147"/>
      <c r="P75" s="147"/>
      <c r="Q75" s="147"/>
      <c r="R75" s="516">
        <f>SUM(E75:Q75)</f>
        <v>276630</v>
      </c>
      <c r="S75" s="148"/>
      <c r="T75" s="148"/>
      <c r="U75" s="143"/>
    </row>
    <row r="76" spans="1:21" s="144" customFormat="1">
      <c r="A76" s="1143" t="s">
        <v>34</v>
      </c>
      <c r="B76" s="146">
        <f>SUM(C76+D76)</f>
        <v>0</v>
      </c>
      <c r="C76" s="147"/>
      <c r="D76" s="147"/>
      <c r="E76" s="147"/>
      <c r="F76" s="147">
        <f>C76-SUM(G76:N76)</f>
        <v>0</v>
      </c>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276630</v>
      </c>
      <c r="C77" s="146">
        <f>SUM(C72:C76)</f>
        <v>276630</v>
      </c>
      <c r="D77" s="146">
        <f>SUM(D72:D76)</f>
        <v>0</v>
      </c>
      <c r="E77" s="146">
        <f t="shared" ref="E77:Q77" si="23">SUM(E72:E76)</f>
        <v>0</v>
      </c>
      <c r="F77" s="146">
        <f t="shared" si="23"/>
        <v>0</v>
      </c>
      <c r="G77" s="146">
        <f t="shared" si="23"/>
        <v>0</v>
      </c>
      <c r="H77" s="146">
        <f t="shared" si="23"/>
        <v>276630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276630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2033068</v>
      </c>
      <c r="C79" s="147">
        <v>2033068</v>
      </c>
      <c r="D79" s="147"/>
      <c r="E79" s="147">
        <f>C79-K79-H79</f>
        <v>1532465</v>
      </c>
      <c r="F79" s="147"/>
      <c r="G79" s="147"/>
      <c r="H79" s="147">
        <f>H108-H75</f>
        <v>300603</v>
      </c>
      <c r="I79" s="147"/>
      <c r="J79" s="147"/>
      <c r="K79" s="147">
        <v>200000</v>
      </c>
      <c r="L79" s="147"/>
      <c r="M79" s="147"/>
      <c r="N79" s="147"/>
      <c r="O79" s="147"/>
      <c r="P79" s="147"/>
      <c r="Q79" s="147"/>
      <c r="R79" s="516">
        <f>SUM(E79:Q79)</f>
        <v>2033068</v>
      </c>
      <c r="S79" s="147">
        <f>R79</f>
        <v>2033068</v>
      </c>
      <c r="T79" s="147"/>
      <c r="U79" s="143"/>
    </row>
    <row r="80" spans="1:21" s="144" customFormat="1">
      <c r="A80" s="283" t="s">
        <v>58</v>
      </c>
      <c r="B80" s="146">
        <f>SUM(C80:D80)</f>
        <v>265500</v>
      </c>
      <c r="C80" s="147">
        <v>265500</v>
      </c>
      <c r="D80" s="147"/>
      <c r="E80" s="147">
        <f>C80-K80</f>
        <v>185500</v>
      </c>
      <c r="F80" s="147"/>
      <c r="G80" s="147"/>
      <c r="H80" s="147"/>
      <c r="I80" s="147"/>
      <c r="J80" s="147"/>
      <c r="K80" s="147">
        <v>80000</v>
      </c>
      <c r="L80" s="147"/>
      <c r="M80" s="147"/>
      <c r="N80" s="147"/>
      <c r="O80" s="147"/>
      <c r="P80" s="147"/>
      <c r="Q80" s="147"/>
      <c r="R80" s="516">
        <f>SUM(E80:Q80)</f>
        <v>265500</v>
      </c>
      <c r="S80" s="147">
        <f>R80</f>
        <v>265500</v>
      </c>
      <c r="T80" s="147"/>
      <c r="U80" s="143"/>
    </row>
    <row r="81" spans="1:21" s="144" customFormat="1">
      <c r="A81" s="149" t="s">
        <v>1209</v>
      </c>
      <c r="B81" s="146">
        <f>SUM(C81:D81)</f>
        <v>2298568</v>
      </c>
      <c r="C81" s="509">
        <f>SUM(C79:C80)</f>
        <v>2298568</v>
      </c>
      <c r="D81" s="509">
        <f t="shared" ref="D81:T81" si="24">SUM(D79:D80)</f>
        <v>0</v>
      </c>
      <c r="E81" s="509">
        <f t="shared" si="24"/>
        <v>1717965</v>
      </c>
      <c r="F81" s="509">
        <f t="shared" si="24"/>
        <v>0</v>
      </c>
      <c r="G81" s="509">
        <f t="shared" si="24"/>
        <v>0</v>
      </c>
      <c r="H81" s="509">
        <f t="shared" si="24"/>
        <v>300603</v>
      </c>
      <c r="I81" s="509">
        <f t="shared" si="24"/>
        <v>0</v>
      </c>
      <c r="J81" s="509">
        <f t="shared" si="24"/>
        <v>0</v>
      </c>
      <c r="K81" s="509">
        <f t="shared" si="24"/>
        <v>280000</v>
      </c>
      <c r="L81" s="509">
        <f t="shared" si="24"/>
        <v>0</v>
      </c>
      <c r="M81" s="509">
        <f t="shared" si="24"/>
        <v>0</v>
      </c>
      <c r="N81" s="509">
        <f t="shared" si="24"/>
        <v>0</v>
      </c>
      <c r="O81" s="509">
        <f t="shared" si="24"/>
        <v>0</v>
      </c>
      <c r="P81" s="509">
        <f t="shared" si="24"/>
        <v>0</v>
      </c>
      <c r="Q81" s="509">
        <f t="shared" si="24"/>
        <v>0</v>
      </c>
      <c r="R81" s="509">
        <f t="shared" si="24"/>
        <v>2298568</v>
      </c>
      <c r="S81" s="509">
        <f t="shared" si="24"/>
        <v>2298568</v>
      </c>
      <c r="T81" s="509">
        <f t="shared" si="24"/>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2051</v>
      </c>
      <c r="B83" s="146">
        <f t="shared" ref="B83:B95" si="25">SUM(C83+D83)</f>
        <v>85000</v>
      </c>
      <c r="C83" s="147">
        <v>85000</v>
      </c>
      <c r="D83" s="147"/>
      <c r="E83" s="147">
        <f t="shared" ref="E83:E95" si="26">B83-SUM(F83:M83)</f>
        <v>85000</v>
      </c>
      <c r="F83" s="147"/>
      <c r="G83" s="147"/>
      <c r="H83" s="147"/>
      <c r="I83" s="147"/>
      <c r="J83" s="147"/>
      <c r="K83" s="147"/>
      <c r="L83" s="147"/>
      <c r="M83" s="147"/>
      <c r="N83" s="147"/>
      <c r="O83" s="147"/>
      <c r="P83" s="147"/>
      <c r="Q83" s="147"/>
      <c r="R83" s="516">
        <f t="shared" ref="R83:R95" si="27">SUM(E83:Q83)</f>
        <v>85000</v>
      </c>
      <c r="S83" s="148"/>
      <c r="T83" s="148"/>
      <c r="U83" s="143"/>
    </row>
    <row r="84" spans="1:21" s="144" customFormat="1">
      <c r="A84" s="145" t="s">
        <v>767</v>
      </c>
      <c r="B84" s="146">
        <f t="shared" si="25"/>
        <v>15000</v>
      </c>
      <c r="C84" s="147">
        <v>15000</v>
      </c>
      <c r="D84" s="147"/>
      <c r="E84" s="147">
        <f>C84</f>
        <v>15000</v>
      </c>
      <c r="F84" s="147"/>
      <c r="G84" s="147"/>
      <c r="H84" s="147"/>
      <c r="I84" s="147"/>
      <c r="J84" s="147"/>
      <c r="K84" s="147"/>
      <c r="L84" s="147"/>
      <c r="M84" s="147"/>
      <c r="N84" s="147"/>
      <c r="O84" s="147"/>
      <c r="P84" s="147"/>
      <c r="Q84" s="147"/>
      <c r="R84" s="516">
        <f t="shared" si="27"/>
        <v>15000</v>
      </c>
      <c r="S84" s="147">
        <f>R84</f>
        <v>15000</v>
      </c>
      <c r="T84" s="147"/>
      <c r="U84" s="143"/>
    </row>
    <row r="85" spans="1:21" s="144" customFormat="1">
      <c r="A85" s="145" t="s">
        <v>768</v>
      </c>
      <c r="B85" s="146">
        <f t="shared" si="25"/>
        <v>194304</v>
      </c>
      <c r="C85" s="147">
        <v>194304</v>
      </c>
      <c r="D85" s="147"/>
      <c r="E85" s="147">
        <f t="shared" si="26"/>
        <v>194204</v>
      </c>
      <c r="F85" s="147"/>
      <c r="G85" s="147"/>
      <c r="H85" s="147"/>
      <c r="I85" s="147"/>
      <c r="J85" s="147"/>
      <c r="K85" s="147"/>
      <c r="L85" s="147"/>
      <c r="M85" s="147">
        <v>100</v>
      </c>
      <c r="N85" s="147"/>
      <c r="O85" s="147"/>
      <c r="P85" s="147"/>
      <c r="Q85" s="147"/>
      <c r="R85" s="516">
        <f t="shared" si="27"/>
        <v>194304</v>
      </c>
      <c r="S85" s="147">
        <f>R85</f>
        <v>194304</v>
      </c>
      <c r="T85" s="147"/>
      <c r="U85" s="143"/>
    </row>
    <row r="86" spans="1:21" s="144" customFormat="1">
      <c r="A86" s="145" t="s">
        <v>769</v>
      </c>
      <c r="B86" s="146">
        <f t="shared" si="25"/>
        <v>264441</v>
      </c>
      <c r="C86" s="147">
        <v>264441</v>
      </c>
      <c r="D86" s="147"/>
      <c r="E86" s="147">
        <f t="shared" si="26"/>
        <v>264441</v>
      </c>
      <c r="F86" s="147"/>
      <c r="G86" s="147"/>
      <c r="H86" s="147"/>
      <c r="I86" s="147"/>
      <c r="J86" s="147"/>
      <c r="K86" s="147"/>
      <c r="L86" s="147"/>
      <c r="M86" s="147"/>
      <c r="N86" s="147"/>
      <c r="O86" s="147"/>
      <c r="P86" s="147"/>
      <c r="Q86" s="147"/>
      <c r="R86" s="516">
        <f t="shared" si="27"/>
        <v>264441</v>
      </c>
      <c r="S86" s="147">
        <f>R86</f>
        <v>264441</v>
      </c>
      <c r="T86" s="147"/>
      <c r="U86" s="143"/>
    </row>
    <row r="87" spans="1:21" s="144" customFormat="1">
      <c r="A87" s="145" t="s">
        <v>770</v>
      </c>
      <c r="B87" s="146">
        <f t="shared" si="25"/>
        <v>0</v>
      </c>
      <c r="C87" s="147">
        <v>0</v>
      </c>
      <c r="D87" s="147"/>
      <c r="E87" s="147">
        <f t="shared" si="26"/>
        <v>0</v>
      </c>
      <c r="F87" s="147"/>
      <c r="G87" s="147"/>
      <c r="H87" s="147"/>
      <c r="I87" s="147"/>
      <c r="J87" s="147"/>
      <c r="K87" s="147"/>
      <c r="L87" s="147"/>
      <c r="M87" s="147"/>
      <c r="N87" s="147"/>
      <c r="O87" s="147"/>
      <c r="P87" s="147"/>
      <c r="Q87" s="147"/>
      <c r="R87" s="516">
        <f t="shared" si="27"/>
        <v>0</v>
      </c>
      <c r="S87" s="147">
        <f>R87</f>
        <v>0</v>
      </c>
      <c r="T87" s="147"/>
      <c r="U87" s="143"/>
    </row>
    <row r="88" spans="1:21" s="144" customFormat="1">
      <c r="A88" s="145" t="s">
        <v>771</v>
      </c>
      <c r="B88" s="146">
        <f t="shared" si="25"/>
        <v>0</v>
      </c>
      <c r="C88" s="147">
        <v>0</v>
      </c>
      <c r="D88" s="147"/>
      <c r="E88" s="147">
        <f t="shared" si="26"/>
        <v>0</v>
      </c>
      <c r="F88" s="147"/>
      <c r="G88" s="147"/>
      <c r="H88" s="147"/>
      <c r="I88" s="147"/>
      <c r="J88" s="147"/>
      <c r="K88" s="147"/>
      <c r="L88" s="147"/>
      <c r="M88" s="147"/>
      <c r="N88" s="147"/>
      <c r="O88" s="147"/>
      <c r="P88" s="147"/>
      <c r="Q88" s="147"/>
      <c r="R88" s="516">
        <f t="shared" si="27"/>
        <v>0</v>
      </c>
      <c r="S88" s="148"/>
      <c r="T88" s="148"/>
      <c r="U88" s="143"/>
    </row>
    <row r="89" spans="1:21" s="144" customFormat="1">
      <c r="A89" s="145" t="s">
        <v>772</v>
      </c>
      <c r="B89" s="146">
        <f t="shared" si="25"/>
        <v>44800</v>
      </c>
      <c r="C89" s="147">
        <v>44800</v>
      </c>
      <c r="D89" s="147"/>
      <c r="E89" s="147">
        <f t="shared" si="26"/>
        <v>44800</v>
      </c>
      <c r="F89" s="147"/>
      <c r="G89" s="147"/>
      <c r="H89" s="147"/>
      <c r="I89" s="147"/>
      <c r="J89" s="147"/>
      <c r="K89" s="147"/>
      <c r="L89" s="147"/>
      <c r="M89" s="147"/>
      <c r="N89" s="147"/>
      <c r="O89" s="147"/>
      <c r="P89" s="147"/>
      <c r="Q89" s="147"/>
      <c r="R89" s="516">
        <f t="shared" si="27"/>
        <v>44800</v>
      </c>
      <c r="S89" s="147">
        <f t="shared" ref="S89:S95" si="28">R89</f>
        <v>44800</v>
      </c>
      <c r="T89" s="147"/>
      <c r="U89" s="143"/>
    </row>
    <row r="90" spans="1:21" s="144" customFormat="1">
      <c r="A90" s="145" t="s">
        <v>773</v>
      </c>
      <c r="B90" s="146">
        <f t="shared" si="25"/>
        <v>6000</v>
      </c>
      <c r="C90" s="147">
        <v>6000</v>
      </c>
      <c r="D90" s="147"/>
      <c r="E90" s="147">
        <f t="shared" si="26"/>
        <v>6000</v>
      </c>
      <c r="F90" s="147"/>
      <c r="G90" s="147"/>
      <c r="H90" s="147"/>
      <c r="I90" s="147"/>
      <c r="J90" s="147"/>
      <c r="K90" s="147"/>
      <c r="L90" s="147"/>
      <c r="M90" s="147"/>
      <c r="N90" s="147"/>
      <c r="O90" s="147"/>
      <c r="P90" s="147"/>
      <c r="Q90" s="147"/>
      <c r="R90" s="516">
        <f t="shared" si="27"/>
        <v>6000</v>
      </c>
      <c r="S90" s="147">
        <f t="shared" si="28"/>
        <v>6000</v>
      </c>
      <c r="T90" s="147"/>
      <c r="U90" s="143"/>
    </row>
    <row r="91" spans="1:21" s="144" customFormat="1">
      <c r="A91" s="145" t="s">
        <v>372</v>
      </c>
      <c r="B91" s="146">
        <f t="shared" si="25"/>
        <v>0</v>
      </c>
      <c r="C91" s="147">
        <v>0</v>
      </c>
      <c r="D91" s="147"/>
      <c r="E91" s="147">
        <f t="shared" si="26"/>
        <v>0</v>
      </c>
      <c r="F91" s="147"/>
      <c r="G91" s="147"/>
      <c r="H91" s="147"/>
      <c r="I91" s="147"/>
      <c r="J91" s="147"/>
      <c r="K91" s="147"/>
      <c r="L91" s="147"/>
      <c r="M91" s="147"/>
      <c r="N91" s="147"/>
      <c r="O91" s="147"/>
      <c r="P91" s="147"/>
      <c r="Q91" s="147"/>
      <c r="R91" s="516">
        <f t="shared" si="27"/>
        <v>0</v>
      </c>
      <c r="S91" s="147">
        <f t="shared" si="28"/>
        <v>0</v>
      </c>
      <c r="T91" s="147"/>
      <c r="U91" s="143"/>
    </row>
    <row r="92" spans="1:21" s="144" customFormat="1">
      <c r="A92" s="283" t="s">
        <v>1211</v>
      </c>
      <c r="B92" s="146">
        <f t="shared" si="25"/>
        <v>5000</v>
      </c>
      <c r="C92" s="147">
        <v>5000</v>
      </c>
      <c r="D92" s="147"/>
      <c r="E92" s="147">
        <f t="shared" si="26"/>
        <v>5000</v>
      </c>
      <c r="F92" s="147"/>
      <c r="G92" s="147"/>
      <c r="H92" s="147"/>
      <c r="I92" s="147"/>
      <c r="J92" s="147"/>
      <c r="K92" s="147"/>
      <c r="L92" s="147"/>
      <c r="M92" s="147"/>
      <c r="N92" s="147"/>
      <c r="O92" s="147"/>
      <c r="P92" s="147"/>
      <c r="Q92" s="147"/>
      <c r="R92" s="516">
        <f t="shared" si="27"/>
        <v>5000</v>
      </c>
      <c r="S92" s="147">
        <f t="shared" si="28"/>
        <v>5000</v>
      </c>
      <c r="T92" s="147"/>
      <c r="U92" s="143"/>
    </row>
    <row r="93" spans="1:21" s="144" customFormat="1">
      <c r="A93" s="1143" t="s">
        <v>34</v>
      </c>
      <c r="B93" s="146">
        <f t="shared" si="25"/>
        <v>0</v>
      </c>
      <c r="C93" s="147">
        <v>0</v>
      </c>
      <c r="D93" s="147"/>
      <c r="E93" s="147">
        <f t="shared" si="26"/>
        <v>0</v>
      </c>
      <c r="F93" s="147"/>
      <c r="G93" s="147"/>
      <c r="H93" s="147"/>
      <c r="I93" s="147"/>
      <c r="J93" s="147"/>
      <c r="K93" s="147"/>
      <c r="L93" s="147"/>
      <c r="M93" s="147"/>
      <c r="N93" s="147"/>
      <c r="O93" s="147"/>
      <c r="P93" s="147"/>
      <c r="Q93" s="147"/>
      <c r="R93" s="516">
        <f t="shared" si="27"/>
        <v>0</v>
      </c>
      <c r="S93" s="147">
        <f t="shared" si="28"/>
        <v>0</v>
      </c>
      <c r="T93" s="147"/>
      <c r="U93" s="143"/>
    </row>
    <row r="94" spans="1:21" s="144" customFormat="1">
      <c r="A94" s="1143" t="s">
        <v>34</v>
      </c>
      <c r="B94" s="146">
        <f t="shared" si="25"/>
        <v>0</v>
      </c>
      <c r="C94" s="147">
        <v>0</v>
      </c>
      <c r="D94" s="147"/>
      <c r="E94" s="147">
        <f t="shared" si="26"/>
        <v>0</v>
      </c>
      <c r="F94" s="147"/>
      <c r="G94" s="147"/>
      <c r="H94" s="147"/>
      <c r="I94" s="147"/>
      <c r="J94" s="147"/>
      <c r="K94" s="147"/>
      <c r="L94" s="147"/>
      <c r="M94" s="147"/>
      <c r="N94" s="147"/>
      <c r="O94" s="147"/>
      <c r="P94" s="147"/>
      <c r="Q94" s="147"/>
      <c r="R94" s="516">
        <f t="shared" si="27"/>
        <v>0</v>
      </c>
      <c r="S94" s="147">
        <f t="shared" si="28"/>
        <v>0</v>
      </c>
      <c r="T94" s="147"/>
      <c r="U94" s="143"/>
    </row>
    <row r="95" spans="1:21" s="144" customFormat="1">
      <c r="A95" s="1143" t="s">
        <v>34</v>
      </c>
      <c r="B95" s="146">
        <f t="shared" si="25"/>
        <v>0</v>
      </c>
      <c r="C95" s="147">
        <v>0</v>
      </c>
      <c r="D95" s="147"/>
      <c r="E95" s="147">
        <f t="shared" si="26"/>
        <v>0</v>
      </c>
      <c r="F95" s="147"/>
      <c r="G95" s="147"/>
      <c r="H95" s="147"/>
      <c r="I95" s="147"/>
      <c r="J95" s="147"/>
      <c r="K95" s="147"/>
      <c r="L95" s="147"/>
      <c r="M95" s="147"/>
      <c r="N95" s="147"/>
      <c r="O95" s="147"/>
      <c r="P95" s="147"/>
      <c r="Q95" s="147"/>
      <c r="R95" s="516">
        <f t="shared" si="27"/>
        <v>0</v>
      </c>
      <c r="S95" s="147">
        <f t="shared" si="28"/>
        <v>0</v>
      </c>
      <c r="T95" s="147"/>
      <c r="U95" s="143"/>
    </row>
    <row r="96" spans="1:21" s="144" customFormat="1">
      <c r="A96" s="149" t="s">
        <v>774</v>
      </c>
      <c r="B96" s="146">
        <f>SUM(C96:D96)</f>
        <v>614545</v>
      </c>
      <c r="C96" s="146">
        <f t="shared" ref="C96:R96" si="29">SUM(C83:C95)</f>
        <v>614545</v>
      </c>
      <c r="D96" s="146">
        <f t="shared" si="29"/>
        <v>0</v>
      </c>
      <c r="E96" s="146">
        <f t="shared" si="29"/>
        <v>614445</v>
      </c>
      <c r="F96" s="146">
        <f t="shared" si="29"/>
        <v>0</v>
      </c>
      <c r="G96" s="146">
        <f t="shared" si="29"/>
        <v>0</v>
      </c>
      <c r="H96" s="146">
        <f t="shared" si="29"/>
        <v>0</v>
      </c>
      <c r="I96" s="146">
        <f t="shared" si="29"/>
        <v>0</v>
      </c>
      <c r="J96" s="146">
        <f t="shared" si="29"/>
        <v>0</v>
      </c>
      <c r="K96" s="146">
        <f t="shared" si="29"/>
        <v>0</v>
      </c>
      <c r="L96" s="146">
        <f t="shared" si="29"/>
        <v>0</v>
      </c>
      <c r="M96" s="146">
        <f t="shared" si="29"/>
        <v>100</v>
      </c>
      <c r="N96" s="146">
        <f t="shared" si="29"/>
        <v>0</v>
      </c>
      <c r="O96" s="146">
        <f t="shared" si="29"/>
        <v>0</v>
      </c>
      <c r="P96" s="146">
        <f t="shared" si="29"/>
        <v>0</v>
      </c>
      <c r="Q96" s="146">
        <f t="shared" si="29"/>
        <v>0</v>
      </c>
      <c r="R96" s="342">
        <f t="shared" si="29"/>
        <v>614545</v>
      </c>
      <c r="S96" s="150">
        <f>SUM(S84:S87,S89:S95)</f>
        <v>529545</v>
      </c>
      <c r="T96" s="146">
        <f>SUM(T84:T87,T89:T95)</f>
        <v>0</v>
      </c>
      <c r="U96" s="143"/>
    </row>
    <row r="97" spans="1:21" s="144" customFormat="1">
      <c r="A97" s="149" t="s">
        <v>775</v>
      </c>
      <c r="B97" s="146">
        <f>SUM(C97:D97)</f>
        <v>73450030</v>
      </c>
      <c r="C97" s="146">
        <f t="shared" ref="C97:R97" si="30">SUM(C63+C70+C77+C81+C96)</f>
        <v>73450030</v>
      </c>
      <c r="D97" s="146">
        <f t="shared" si="30"/>
        <v>0</v>
      </c>
      <c r="E97" s="146">
        <f t="shared" si="30"/>
        <v>37824025</v>
      </c>
      <c r="F97" s="146">
        <f t="shared" si="30"/>
        <v>13270000</v>
      </c>
      <c r="G97" s="146">
        <f t="shared" si="30"/>
        <v>8998672</v>
      </c>
      <c r="H97" s="146">
        <f t="shared" si="30"/>
        <v>577233</v>
      </c>
      <c r="I97" s="146">
        <f t="shared" si="30"/>
        <v>0</v>
      </c>
      <c r="J97" s="146">
        <f t="shared" si="30"/>
        <v>0</v>
      </c>
      <c r="K97" s="146">
        <f t="shared" si="30"/>
        <v>7780000</v>
      </c>
      <c r="L97" s="146">
        <f t="shared" si="30"/>
        <v>5000000</v>
      </c>
      <c r="M97" s="146">
        <f t="shared" si="30"/>
        <v>100</v>
      </c>
      <c r="N97" s="146">
        <f t="shared" si="30"/>
        <v>0</v>
      </c>
      <c r="O97" s="146">
        <f t="shared" si="30"/>
        <v>0</v>
      </c>
      <c r="P97" s="146">
        <f t="shared" si="30"/>
        <v>0</v>
      </c>
      <c r="Q97" s="146">
        <f t="shared" si="30"/>
        <v>0</v>
      </c>
      <c r="R97" s="146">
        <f t="shared" si="30"/>
        <v>73450030</v>
      </c>
      <c r="S97" s="146">
        <f>SUM(S63+S70+S81+S96)</f>
        <v>67456400</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13491280</v>
      </c>
      <c r="C99" s="974">
        <v>13491280</v>
      </c>
      <c r="D99" s="974"/>
      <c r="E99" s="974">
        <f>C99-I99-J99</f>
        <v>4039486</v>
      </c>
      <c r="F99" s="147"/>
      <c r="G99" s="147"/>
      <c r="H99" s="147"/>
      <c r="I99" s="147">
        <f>Application!AO638</f>
        <v>5900000</v>
      </c>
      <c r="J99" s="147">
        <f>J108</f>
        <v>3551794</v>
      </c>
      <c r="K99" s="147"/>
      <c r="L99" s="147"/>
      <c r="M99" s="147"/>
      <c r="N99" s="147"/>
      <c r="O99" s="147"/>
      <c r="P99" s="147"/>
      <c r="Q99" s="147"/>
      <c r="R99" s="516">
        <f>SUM(E99:Q99)</f>
        <v>13491280</v>
      </c>
      <c r="S99" s="147">
        <f>ROUND(S97*0.2,0)</f>
        <v>13491280</v>
      </c>
      <c r="T99" s="147">
        <f>CEILING(0.05*T97,1)</f>
        <v>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13491280</v>
      </c>
      <c r="C104" s="146">
        <f>SUM(C99:C103)</f>
        <v>13491280</v>
      </c>
      <c r="D104" s="146">
        <f t="shared" ref="D104:T104" si="31">SUM(D99:D103)</f>
        <v>0</v>
      </c>
      <c r="E104" s="146">
        <f t="shared" si="31"/>
        <v>4039486</v>
      </c>
      <c r="F104" s="146">
        <f t="shared" si="31"/>
        <v>0</v>
      </c>
      <c r="G104" s="146">
        <f t="shared" si="31"/>
        <v>0</v>
      </c>
      <c r="H104" s="146">
        <f t="shared" si="31"/>
        <v>0</v>
      </c>
      <c r="I104" s="146">
        <f t="shared" si="31"/>
        <v>5900000</v>
      </c>
      <c r="J104" s="146">
        <f t="shared" si="31"/>
        <v>3551794</v>
      </c>
      <c r="K104" s="146">
        <f t="shared" si="31"/>
        <v>0</v>
      </c>
      <c r="L104" s="146">
        <f t="shared" si="31"/>
        <v>0</v>
      </c>
      <c r="M104" s="146">
        <f t="shared" si="31"/>
        <v>0</v>
      </c>
      <c r="N104" s="146">
        <f t="shared" si="31"/>
        <v>0</v>
      </c>
      <c r="O104" s="146">
        <f t="shared" si="31"/>
        <v>0</v>
      </c>
      <c r="P104" s="146">
        <f t="shared" si="31"/>
        <v>0</v>
      </c>
      <c r="Q104" s="146">
        <f t="shared" si="31"/>
        <v>0</v>
      </c>
      <c r="R104" s="342">
        <f t="shared" si="31"/>
        <v>13491280</v>
      </c>
      <c r="S104" s="150">
        <f t="shared" si="31"/>
        <v>13491280</v>
      </c>
      <c r="T104" s="150">
        <f t="shared" si="31"/>
        <v>0</v>
      </c>
      <c r="U104" s="143"/>
    </row>
    <row r="105" spans="1:21" s="144" customFormat="1">
      <c r="A105" s="149" t="s">
        <v>780</v>
      </c>
      <c r="B105" s="150">
        <f>SUM(C105:D105)</f>
        <v>86941310</v>
      </c>
      <c r="C105" s="150">
        <f t="shared" ref="C105:R105" si="32">SUM(C97+C104)</f>
        <v>86941310</v>
      </c>
      <c r="D105" s="150">
        <f t="shared" si="32"/>
        <v>0</v>
      </c>
      <c r="E105" s="150">
        <f t="shared" si="32"/>
        <v>41863511</v>
      </c>
      <c r="F105" s="150">
        <f t="shared" si="32"/>
        <v>13270000</v>
      </c>
      <c r="G105" s="150">
        <f t="shared" si="32"/>
        <v>8998672</v>
      </c>
      <c r="H105" s="150">
        <f t="shared" si="32"/>
        <v>577233</v>
      </c>
      <c r="I105" s="150">
        <f t="shared" si="32"/>
        <v>5900000</v>
      </c>
      <c r="J105" s="150">
        <f t="shared" si="32"/>
        <v>3551794</v>
      </c>
      <c r="K105" s="150">
        <f t="shared" si="32"/>
        <v>7780000</v>
      </c>
      <c r="L105" s="150">
        <f t="shared" si="32"/>
        <v>5000000</v>
      </c>
      <c r="M105" s="150">
        <f t="shared" si="32"/>
        <v>100</v>
      </c>
      <c r="N105" s="150">
        <f t="shared" si="32"/>
        <v>0</v>
      </c>
      <c r="O105" s="150">
        <f t="shared" si="32"/>
        <v>0</v>
      </c>
      <c r="P105" s="150">
        <f t="shared" si="32"/>
        <v>0</v>
      </c>
      <c r="Q105" s="150">
        <f t="shared" si="32"/>
        <v>0</v>
      </c>
      <c r="R105" s="342">
        <f t="shared" si="32"/>
        <v>86941310</v>
      </c>
      <c r="S105" s="150">
        <f>S97+S104</f>
        <v>80947680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80947680</v>
      </c>
      <c r="T107" s="150">
        <f>T105+T106</f>
        <v>0</v>
      </c>
    </row>
    <row r="108" spans="1:21" s="189" customFormat="1">
      <c r="A108" s="162" t="s">
        <v>879</v>
      </c>
      <c r="B108" s="157"/>
      <c r="C108" s="157"/>
      <c r="D108" s="157"/>
      <c r="E108" s="301">
        <f>Application!AO648</f>
        <v>41863511</v>
      </c>
      <c r="F108" s="301">
        <f>Application!AO635</f>
        <v>13270000</v>
      </c>
      <c r="G108" s="301">
        <f>Application!AO636</f>
        <v>8998672</v>
      </c>
      <c r="H108" s="301">
        <f>Application!AO637</f>
        <v>577233</v>
      </c>
      <c r="I108" s="301">
        <f>Application!AO638</f>
        <v>5900000</v>
      </c>
      <c r="J108" s="301">
        <f>Application!AO639</f>
        <v>3551794</v>
      </c>
      <c r="K108" s="301">
        <f>Application!AO640</f>
        <v>7780000</v>
      </c>
      <c r="L108" s="301">
        <f>Application!AO641</f>
        <v>5000000</v>
      </c>
      <c r="M108" s="301">
        <f>Application!AO642</f>
        <v>100</v>
      </c>
      <c r="N108" s="301">
        <f>Application!AO643</f>
        <v>0</v>
      </c>
      <c r="O108" s="301">
        <f>Application!AO644</f>
        <v>0</v>
      </c>
      <c r="P108" s="301">
        <f>Application!AO645</f>
        <v>0</v>
      </c>
      <c r="Q108" s="301">
        <f>Application!AO646</f>
        <v>0</v>
      </c>
      <c r="R108" s="158"/>
      <c r="S108" s="158"/>
      <c r="T108" s="158"/>
      <c r="U108" s="188"/>
    </row>
    <row r="109" spans="1:21" ht="10.4"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7" t="s">
        <v>1224</v>
      </c>
      <c r="E123" s="1797"/>
      <c r="F123" s="1797"/>
      <c r="G123" s="1797"/>
      <c r="H123" s="1797"/>
      <c r="I123" s="1797"/>
      <c r="J123" s="1797"/>
      <c r="K123" s="1797"/>
      <c r="L123" s="1797"/>
      <c r="M123" s="1797"/>
      <c r="N123" s="1797"/>
      <c r="O123" s="1797"/>
      <c r="P123" s="1797"/>
      <c r="Q123" s="1797"/>
      <c r="R123" s="1797"/>
      <c r="S123" s="1797"/>
      <c r="T123" s="324"/>
      <c r="U123" s="326"/>
    </row>
    <row r="124" spans="1:21" ht="12.5">
      <c r="A124" s="117" t="s">
        <v>992</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5">
      <c r="A125" s="117" t="s">
        <v>993</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2.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25"/>
      <c r="E131" s="1825"/>
      <c r="F131" s="1825"/>
      <c r="G131" s="1825"/>
      <c r="H131" s="1825"/>
      <c r="I131" s="117"/>
      <c r="J131" s="1825"/>
      <c r="K131" s="1825"/>
      <c r="L131" s="1825"/>
      <c r="M131" s="1825"/>
      <c r="N131" s="117"/>
      <c r="O131" s="117"/>
      <c r="P131" s="117"/>
      <c r="Q131" s="117"/>
      <c r="R131" s="117"/>
      <c r="S131" s="117"/>
      <c r="T131" s="324"/>
      <c r="U131" s="326"/>
    </row>
    <row r="132" spans="1:21" ht="12" customHeight="1">
      <c r="A132" s="336"/>
      <c r="B132" s="117"/>
      <c r="C132" s="117"/>
      <c r="D132" s="1878" t="s">
        <v>1000</v>
      </c>
      <c r="E132" s="1878"/>
      <c r="F132" s="1878"/>
      <c r="G132" s="1878"/>
      <c r="H132" s="1878"/>
      <c r="I132" s="117"/>
      <c r="J132" s="1878" t="s">
        <v>1001</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3">
      <c r="A139" s="1876" t="s">
        <v>1004</v>
      </c>
      <c r="B139" s="1876"/>
      <c r="C139" s="187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99" sqref="C99"/>
    </sheetView>
  </sheetViews>
  <sheetFormatPr defaultColWidth="0" defaultRowHeight="11.5" zeroHeight="1"/>
  <cols>
    <col min="1" max="1" width="32.5429687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5429687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5429687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5429687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5429687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5429687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5429687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5429687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5429687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5429687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5429687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5429687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5429687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5429687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5429687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5429687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5429687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5429687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5429687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5429687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5429687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5429687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5429687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5429687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5429687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5429687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5429687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5429687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5429687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5429687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5429687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5429687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5429687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5429687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5429687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5429687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5429687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5429687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5429687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5429687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5429687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5429687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5429687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5429687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5429687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5429687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5429687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5429687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5429687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5429687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5429687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5429687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5429687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5429687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5429687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5429687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5429687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5429687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5429687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5429687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5429687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5429687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5429687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5429687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2" t="s">
        <v>1227</v>
      </c>
      <c r="B1" s="1883"/>
      <c r="C1" s="1883"/>
      <c r="D1" s="1883"/>
      <c r="E1" s="1883"/>
      <c r="F1" s="1883"/>
      <c r="G1" s="1883"/>
      <c r="H1" s="1883"/>
      <c r="I1" s="1883"/>
      <c r="J1" s="1884"/>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5500000</v>
      </c>
      <c r="C4" s="362">
        <f>B4</f>
        <v>5500000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5500000</v>
      </c>
      <c r="C8" s="361">
        <f>SUM(C4:C7)</f>
        <v>5500000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5500000</v>
      </c>
      <c r="C12" s="361">
        <f>SUM(C8+C11)</f>
        <v>5500000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840086</v>
      </c>
      <c r="C29" s="362">
        <f>B29</f>
        <v>840086</v>
      </c>
      <c r="D29" s="362"/>
      <c r="E29" s="361">
        <f>'Sources and Uses Budget'!S29</f>
        <v>840086</v>
      </c>
      <c r="F29" s="362"/>
      <c r="G29" s="362"/>
      <c r="H29" s="361">
        <f>'Sources and Uses Budget'!T29</f>
        <v>0</v>
      </c>
      <c r="I29" s="362"/>
      <c r="J29" s="362"/>
      <c r="K29" s="359"/>
    </row>
    <row r="30" spans="1:11" s="360" customFormat="1">
      <c r="A30" s="145" t="s">
        <v>599</v>
      </c>
      <c r="B30" s="361">
        <f>'Sources and Uses Budget'!C30</f>
        <v>49283562</v>
      </c>
      <c r="C30" s="362">
        <f t="shared" ref="C30:C37" si="0">B30</f>
        <v>49283562</v>
      </c>
      <c r="D30" s="362"/>
      <c r="E30" s="361">
        <f>'Sources and Uses Budget'!S30</f>
        <v>49283562</v>
      </c>
      <c r="F30" s="362"/>
      <c r="G30" s="362"/>
      <c r="H30" s="361">
        <f>'Sources and Uses Budget'!T30</f>
        <v>0</v>
      </c>
      <c r="I30" s="362"/>
      <c r="J30" s="362"/>
      <c r="K30" s="359"/>
    </row>
    <row r="31" spans="1:11" s="360" customFormat="1">
      <c r="A31" s="145" t="s">
        <v>600</v>
      </c>
      <c r="B31" s="361">
        <f>'Sources and Uses Budget'!C31</f>
        <v>1890985</v>
      </c>
      <c r="C31" s="362">
        <f t="shared" si="0"/>
        <v>1890985</v>
      </c>
      <c r="D31" s="362"/>
      <c r="E31" s="361">
        <f>'Sources and Uses Budget'!S31</f>
        <v>1890985</v>
      </c>
      <c r="F31" s="362"/>
      <c r="G31" s="362"/>
      <c r="H31" s="361">
        <f>'Sources and Uses Budget'!T31</f>
        <v>0</v>
      </c>
      <c r="I31" s="362"/>
      <c r="J31" s="362"/>
      <c r="K31" s="359"/>
    </row>
    <row r="32" spans="1:11" s="360" customFormat="1">
      <c r="A32" s="145" t="s">
        <v>137</v>
      </c>
      <c r="B32" s="361">
        <f>'Sources and Uses Budget'!C32</f>
        <v>2464010</v>
      </c>
      <c r="C32" s="362">
        <f t="shared" si="0"/>
        <v>2464010</v>
      </c>
      <c r="D32" s="362"/>
      <c r="E32" s="361">
        <f>'Sources and Uses Budget'!S32</f>
        <v>2464010</v>
      </c>
      <c r="F32" s="362"/>
      <c r="G32" s="362"/>
      <c r="H32" s="361">
        <f>'Sources and Uses Budget'!T32</f>
        <v>0</v>
      </c>
      <c r="I32" s="362"/>
      <c r="J32" s="362"/>
      <c r="K32" s="359"/>
    </row>
    <row r="33" spans="1:11" s="360" customFormat="1">
      <c r="A33" s="145" t="s">
        <v>138</v>
      </c>
      <c r="B33" s="361">
        <f>'Sources and Uses Budget'!C33</f>
        <v>2464010</v>
      </c>
      <c r="C33" s="362">
        <f t="shared" si="0"/>
        <v>2464010</v>
      </c>
      <c r="D33" s="362"/>
      <c r="E33" s="361">
        <f>'Sources and Uses Budget'!S33</f>
        <v>2464010</v>
      </c>
      <c r="F33" s="362"/>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c r="G34" s="362"/>
      <c r="H34" s="361">
        <f>'Sources and Uses Budget'!T34</f>
        <v>0</v>
      </c>
      <c r="I34" s="362"/>
      <c r="J34" s="362"/>
      <c r="K34" s="359"/>
    </row>
    <row r="35" spans="1:11" s="360" customFormat="1">
      <c r="A35" s="145" t="s">
        <v>140</v>
      </c>
      <c r="B35" s="361">
        <f>'Sources and Uses Budget'!C35</f>
        <v>340884</v>
      </c>
      <c r="C35" s="362">
        <f t="shared" si="0"/>
        <v>340884</v>
      </c>
      <c r="D35" s="362"/>
      <c r="E35" s="361">
        <f>'Sources and Uses Budget'!S35</f>
        <v>340884</v>
      </c>
      <c r="F35" s="362"/>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57283537</v>
      </c>
      <c r="C38" s="361">
        <f>SUM(C29:C37)</f>
        <v>57283537</v>
      </c>
      <c r="D38" s="361">
        <f>SUM(D29:D37)</f>
        <v>0</v>
      </c>
      <c r="E38" s="361">
        <f>'Sources and Uses Budget'!S38</f>
        <v>57283537</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436000</v>
      </c>
      <c r="C40" s="362">
        <f t="shared" ref="C40:C41" si="1">B40</f>
        <v>436000</v>
      </c>
      <c r="D40" s="362"/>
      <c r="E40" s="361">
        <f>'Sources and Uses Budget'!S40</f>
        <v>436000</v>
      </c>
      <c r="F40" s="362"/>
      <c r="G40" s="362"/>
      <c r="H40" s="361">
        <f>'Sources and Uses Budget'!T40</f>
        <v>0</v>
      </c>
      <c r="I40" s="362"/>
      <c r="J40" s="362"/>
      <c r="K40" s="359"/>
    </row>
    <row r="41" spans="1:11" s="360" customFormat="1">
      <c r="A41" s="364" t="s">
        <v>146</v>
      </c>
      <c r="B41" s="361">
        <f>'Sources and Uses Budget'!C41</f>
        <v>200000</v>
      </c>
      <c r="C41" s="362">
        <f t="shared" si="1"/>
        <v>200000</v>
      </c>
      <c r="D41" s="362"/>
      <c r="E41" s="361">
        <f>'Sources and Uses Budget'!S41</f>
        <v>200000</v>
      </c>
      <c r="F41" s="362"/>
      <c r="G41" s="362"/>
      <c r="H41" s="361">
        <f>'Sources and Uses Budget'!T41</f>
        <v>0</v>
      </c>
      <c r="I41" s="362"/>
      <c r="J41" s="362"/>
      <c r="K41" s="359"/>
    </row>
    <row r="42" spans="1:11" s="360" customFormat="1">
      <c r="A42" s="365" t="s">
        <v>147</v>
      </c>
      <c r="B42" s="361">
        <f>'Sources and Uses Budget'!C42</f>
        <v>636000</v>
      </c>
      <c r="C42" s="361">
        <f>SUM(C39:C41)</f>
        <v>636000</v>
      </c>
      <c r="D42" s="361">
        <f>SUM(D39:D41)</f>
        <v>0</v>
      </c>
      <c r="E42" s="361">
        <f>'Sources and Uses Budget'!S42</f>
        <v>636000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270500</v>
      </c>
      <c r="C43" s="362">
        <f>B43</f>
        <v>270500</v>
      </c>
      <c r="D43" s="362"/>
      <c r="E43" s="361">
        <f>'Sources and Uses Budget'!S43</f>
        <v>270500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5593000</v>
      </c>
      <c r="C45" s="362">
        <f t="shared" ref="C45:C53" si="2">B45</f>
        <v>5593000</v>
      </c>
      <c r="D45" s="362"/>
      <c r="E45" s="361">
        <f>'Sources and Uses Budget'!S45</f>
        <v>5593000</v>
      </c>
      <c r="F45" s="362"/>
      <c r="G45" s="362"/>
      <c r="H45" s="361">
        <f>'Sources and Uses Budget'!T45</f>
        <v>0</v>
      </c>
      <c r="I45" s="362"/>
      <c r="J45" s="362"/>
      <c r="K45" s="359"/>
    </row>
    <row r="46" spans="1:11" s="360" customFormat="1">
      <c r="A46" s="364" t="s">
        <v>151</v>
      </c>
      <c r="B46" s="361">
        <f>'Sources and Uses Budget'!C46</f>
        <v>234750</v>
      </c>
      <c r="C46" s="362">
        <f t="shared" si="2"/>
        <v>234750</v>
      </c>
      <c r="D46" s="362"/>
      <c r="E46" s="361">
        <f>'Sources and Uses Budget'!S46</f>
        <v>234750</v>
      </c>
      <c r="F46" s="362"/>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c r="G48" s="362"/>
      <c r="H48" s="361">
        <f>'Sources and Uses Budget'!T48</f>
        <v>0</v>
      </c>
      <c r="I48" s="362"/>
      <c r="J48" s="362"/>
      <c r="K48" s="359"/>
    </row>
    <row r="49" spans="1:11" s="360" customFormat="1">
      <c r="A49" s="283" t="s">
        <v>57</v>
      </c>
      <c r="B49" s="361">
        <f>'Sources and Uses Budget'!C49</f>
        <v>86500</v>
      </c>
      <c r="C49" s="362">
        <f t="shared" si="2"/>
        <v>86500</v>
      </c>
      <c r="D49" s="362"/>
      <c r="E49" s="361">
        <f>'Sources and Uses Budget'!S49</f>
        <v>86500</v>
      </c>
      <c r="F49" s="362"/>
      <c r="G49" s="362"/>
      <c r="H49" s="361">
        <f>'Sources and Uses Budget'!T49</f>
        <v>0</v>
      </c>
      <c r="I49" s="362"/>
      <c r="J49" s="362"/>
      <c r="K49" s="359"/>
    </row>
    <row r="50" spans="1:11" s="360" customFormat="1">
      <c r="A50" s="364" t="s">
        <v>156</v>
      </c>
      <c r="B50" s="361">
        <f>'Sources and Uses Budget'!C50</f>
        <v>75000</v>
      </c>
      <c r="C50" s="362">
        <f t="shared" si="2"/>
        <v>75000</v>
      </c>
      <c r="D50" s="362"/>
      <c r="E50" s="361">
        <f>'Sources and Uses Budget'!S50</f>
        <v>75000</v>
      </c>
      <c r="F50" s="362"/>
      <c r="G50" s="362"/>
      <c r="H50" s="361">
        <f>'Sources and Uses Budget'!T50</f>
        <v>0</v>
      </c>
      <c r="I50" s="362"/>
      <c r="J50" s="362"/>
      <c r="K50" s="359"/>
    </row>
    <row r="51" spans="1:11" s="360" customFormat="1">
      <c r="A51" s="364" t="s">
        <v>154</v>
      </c>
      <c r="B51" s="361">
        <f>'Sources and Uses Budget'!C51</f>
        <v>10000</v>
      </c>
      <c r="C51" s="362">
        <f t="shared" si="2"/>
        <v>10000</v>
      </c>
      <c r="D51" s="362"/>
      <c r="E51" s="361">
        <f>'Sources and Uses Budget'!S51</f>
        <v>10000</v>
      </c>
      <c r="F51" s="362"/>
      <c r="G51" s="362"/>
      <c r="H51" s="361">
        <f>'Sources and Uses Budget'!T51</f>
        <v>0</v>
      </c>
      <c r="I51" s="362"/>
      <c r="J51" s="362"/>
      <c r="K51" s="359"/>
    </row>
    <row r="52" spans="1:11" s="360" customFormat="1">
      <c r="A52" s="364" t="s">
        <v>155</v>
      </c>
      <c r="B52" s="361">
        <f>'Sources and Uses Budget'!C52</f>
        <v>350000</v>
      </c>
      <c r="C52" s="362">
        <f t="shared" si="2"/>
        <v>350000</v>
      </c>
      <c r="D52" s="362"/>
      <c r="E52" s="361">
        <f>'Sources and Uses Budget'!S52</f>
        <v>350000</v>
      </c>
      <c r="F52" s="362"/>
      <c r="G52" s="362"/>
      <c r="H52" s="361">
        <f>'Sources and Uses Budget'!T52</f>
        <v>0</v>
      </c>
      <c r="I52" s="362"/>
      <c r="J52" s="362"/>
      <c r="K52" s="359"/>
    </row>
    <row r="53" spans="1:11" s="360" customFormat="1">
      <c r="A53" s="364" t="str">
        <f>'Sources and Uses Budget'!$A53</f>
        <v>Other: (Specify)</v>
      </c>
      <c r="B53" s="361">
        <f>'Sources and Uses Budget'!C53</f>
        <v>0</v>
      </c>
      <c r="C53" s="362">
        <f t="shared" si="2"/>
        <v>0</v>
      </c>
      <c r="D53" s="362"/>
      <c r="E53" s="361">
        <f>'Sources and Uses Budget'!S53</f>
        <v>0</v>
      </c>
      <c r="F53" s="362"/>
      <c r="G53" s="362"/>
      <c r="H53" s="361">
        <f>'Sources and Uses Budget'!T53</f>
        <v>0</v>
      </c>
      <c r="I53" s="362"/>
      <c r="J53" s="362"/>
      <c r="K53" s="359"/>
    </row>
    <row r="54" spans="1:11" s="369" customFormat="1">
      <c r="A54" s="365" t="s">
        <v>157</v>
      </c>
      <c r="B54" s="361">
        <f>'Sources and Uses Budget'!C54</f>
        <v>6349250</v>
      </c>
      <c r="C54" s="367">
        <f>SUM(C45:C53)</f>
        <v>6349250</v>
      </c>
      <c r="D54" s="367">
        <f>SUM(D45:D53)</f>
        <v>0</v>
      </c>
      <c r="E54" s="361">
        <f>'Sources and Uses Budget'!S54</f>
        <v>6349250</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80000</v>
      </c>
      <c r="C56" s="362">
        <f t="shared" ref="C56:C61" si="3">B56</f>
        <v>80000</v>
      </c>
      <c r="D56" s="362"/>
      <c r="E56" s="363"/>
      <c r="F56" s="363"/>
      <c r="G56" s="363"/>
      <c r="H56" s="363"/>
      <c r="I56" s="363"/>
      <c r="J56" s="363"/>
      <c r="K56" s="359"/>
    </row>
    <row r="57" spans="1:11" s="360" customFormat="1" ht="12" customHeight="1">
      <c r="A57" s="364" t="s">
        <v>152</v>
      </c>
      <c r="B57" s="361">
        <f>'Sources and Uses Budget'!C57</f>
        <v>15000</v>
      </c>
      <c r="C57" s="362">
        <f t="shared" si="3"/>
        <v>15000</v>
      </c>
      <c r="D57" s="362"/>
      <c r="E57" s="363"/>
      <c r="F57" s="363"/>
      <c r="G57" s="363"/>
      <c r="H57" s="363"/>
      <c r="I57" s="363"/>
      <c r="J57" s="363"/>
      <c r="K57" s="359"/>
    </row>
    <row r="58" spans="1:11" s="360" customFormat="1">
      <c r="A58" s="364" t="s">
        <v>156</v>
      </c>
      <c r="B58" s="361">
        <f>'Sources and Uses Budget'!C58</f>
        <v>12000</v>
      </c>
      <c r="C58" s="362">
        <f t="shared" si="3"/>
        <v>12000</v>
      </c>
      <c r="D58" s="362"/>
      <c r="E58" s="363"/>
      <c r="F58" s="363"/>
      <c r="G58" s="363"/>
      <c r="H58" s="363"/>
      <c r="I58" s="363"/>
      <c r="J58" s="363"/>
      <c r="K58" s="359"/>
    </row>
    <row r="59" spans="1:11" s="360" customFormat="1">
      <c r="A59" s="364" t="s">
        <v>154</v>
      </c>
      <c r="B59" s="361">
        <f>'Sources and Uses Budget'!C59</f>
        <v>0</v>
      </c>
      <c r="C59" s="362">
        <f t="shared" si="3"/>
        <v>0</v>
      </c>
      <c r="D59" s="362"/>
      <c r="E59" s="363"/>
      <c r="F59" s="363"/>
      <c r="G59" s="363"/>
      <c r="H59" s="363"/>
      <c r="I59" s="363"/>
      <c r="J59" s="363"/>
      <c r="K59" s="359"/>
    </row>
    <row r="60" spans="1:11" s="360" customFormat="1">
      <c r="A60" s="364" t="s">
        <v>155</v>
      </c>
      <c r="B60" s="361">
        <f>'Sources and Uses Budget'!C60</f>
        <v>0</v>
      </c>
      <c r="C60" s="362">
        <f t="shared" si="3"/>
        <v>0</v>
      </c>
      <c r="D60" s="362"/>
      <c r="E60" s="363"/>
      <c r="F60" s="363"/>
      <c r="G60" s="363"/>
      <c r="H60" s="363"/>
      <c r="I60" s="363"/>
      <c r="J60" s="363"/>
      <c r="K60" s="359"/>
    </row>
    <row r="61" spans="1:11" s="360" customFormat="1">
      <c r="A61" s="364" t="str">
        <f>'Sources and Uses Budget'!$A61</f>
        <v>Legal for Perm Loan</v>
      </c>
      <c r="B61" s="361">
        <f>'Sources and Uses Budget'!C61</f>
        <v>25000</v>
      </c>
      <c r="C61" s="362">
        <f t="shared" si="3"/>
        <v>25000</v>
      </c>
      <c r="D61" s="362"/>
      <c r="E61" s="363"/>
      <c r="F61" s="363"/>
      <c r="G61" s="363"/>
      <c r="H61" s="363"/>
      <c r="I61" s="363"/>
      <c r="J61" s="363"/>
      <c r="K61" s="359"/>
    </row>
    <row r="62" spans="1:11" s="360" customFormat="1" ht="13.75" customHeight="1">
      <c r="A62" s="365" t="s">
        <v>301</v>
      </c>
      <c r="B62" s="361">
        <f>'Sources and Uses Budget'!C62</f>
        <v>132000</v>
      </c>
      <c r="C62" s="361">
        <f>SUM(C56:C61)</f>
        <v>132000</v>
      </c>
      <c r="D62" s="361">
        <f>SUM(D56:D61)</f>
        <v>0</v>
      </c>
      <c r="E62" s="363"/>
      <c r="F62" s="363"/>
      <c r="G62" s="363"/>
      <c r="H62" s="363"/>
      <c r="I62" s="363"/>
      <c r="J62" s="363"/>
      <c r="K62" s="359"/>
    </row>
    <row r="63" spans="1:11" s="360" customFormat="1">
      <c r="A63" s="370" t="s">
        <v>302</v>
      </c>
      <c r="B63" s="361">
        <f>'Sources and Uses Budget'!C63</f>
        <v>70171287</v>
      </c>
      <c r="C63" s="361">
        <f>SUM(C8+C11+C13+C14+C15+C26+C27+C38+C42+C43+C54+C62)</f>
        <v>70171287</v>
      </c>
      <c r="D63" s="361">
        <f>SUM(D8+D11+D13+D14+D15+D26+D27+D38+D42+D43+D54+D62)</f>
        <v>0</v>
      </c>
      <c r="E63" s="361">
        <f>'Sources and Uses Budget'!S63</f>
        <v>64539287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25000</v>
      </c>
      <c r="C65" s="362">
        <f t="shared" ref="C65" si="4">B65</f>
        <v>25000</v>
      </c>
      <c r="D65" s="362"/>
      <c r="E65" s="361">
        <f>'Sources and Uses Budget'!S65</f>
        <v>25000</v>
      </c>
      <c r="F65" s="362"/>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64000</v>
      </c>
      <c r="C69" s="362">
        <f t="shared" ref="C69" si="5">B69</f>
        <v>64000</v>
      </c>
      <c r="D69" s="362"/>
      <c r="E69" s="361">
        <f>'Sources and Uses Budget'!S69</f>
        <v>64000</v>
      </c>
      <c r="F69" s="362"/>
      <c r="G69" s="362"/>
      <c r="H69" s="361">
        <f>'Sources and Uses Budget'!T69</f>
        <v>0</v>
      </c>
      <c r="I69" s="362"/>
      <c r="J69" s="362"/>
      <c r="K69" s="359"/>
    </row>
    <row r="70" spans="1:11" s="360" customFormat="1">
      <c r="A70" s="365" t="s">
        <v>601</v>
      </c>
      <c r="B70" s="361">
        <f>'Sources and Uses Budget'!C70</f>
        <v>89000</v>
      </c>
      <c r="C70" s="361">
        <f>SUM(C64:C69)</f>
        <v>89000</v>
      </c>
      <c r="D70" s="361">
        <f>SUM(D64:D69)</f>
        <v>0</v>
      </c>
      <c r="E70" s="361">
        <f>'Sources and Uses Budget'!S70</f>
        <v>89000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276630</v>
      </c>
      <c r="C75" s="362">
        <f t="shared" ref="C75" si="6">B75</f>
        <v>276630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276630</v>
      </c>
      <c r="C77" s="361">
        <f>SUM(C72:C76)</f>
        <v>276630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2033068</v>
      </c>
      <c r="C79" s="362">
        <f t="shared" ref="C79:C80" si="7">B79</f>
        <v>2033068</v>
      </c>
      <c r="D79" s="362"/>
      <c r="E79" s="361">
        <f>'Sources and Uses Budget'!S79</f>
        <v>2033068</v>
      </c>
      <c r="F79" s="362"/>
      <c r="G79" s="362"/>
      <c r="H79" s="361">
        <f>'Sources and Uses Budget'!T79</f>
        <v>0</v>
      </c>
      <c r="I79" s="362"/>
      <c r="J79" s="362"/>
      <c r="K79" s="359"/>
    </row>
    <row r="80" spans="1:11" s="360" customFormat="1">
      <c r="A80" s="364" t="s">
        <v>58</v>
      </c>
      <c r="B80" s="361">
        <f>'Sources and Uses Budget'!C80</f>
        <v>265500</v>
      </c>
      <c r="C80" s="362">
        <f t="shared" si="7"/>
        <v>265500</v>
      </c>
      <c r="D80" s="362"/>
      <c r="E80" s="361">
        <f>'Sources and Uses Budget'!S80</f>
        <v>265500</v>
      </c>
      <c r="F80" s="362"/>
      <c r="G80" s="362"/>
      <c r="H80" s="361">
        <f>'Sources and Uses Budget'!T80</f>
        <v>0</v>
      </c>
      <c r="I80" s="362"/>
      <c r="J80" s="362"/>
      <c r="K80" s="359"/>
    </row>
    <row r="81" spans="1:11" s="360" customFormat="1">
      <c r="A81" s="365" t="s">
        <v>1209</v>
      </c>
      <c r="B81" s="361">
        <f>'Sources and Uses Budget'!C81</f>
        <v>2298568</v>
      </c>
      <c r="C81" s="361">
        <f>SUM(C79:C80)</f>
        <v>2298568</v>
      </c>
      <c r="D81" s="361">
        <f>SUM(D79:D80)</f>
        <v>0</v>
      </c>
      <c r="E81" s="361">
        <f>'Sources and Uses Budget'!S81</f>
        <v>2298568</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2051</v>
      </c>
      <c r="B83" s="361">
        <f>'Sources and Uses Budget'!C83</f>
        <v>85000</v>
      </c>
      <c r="C83" s="362">
        <f t="shared" ref="C83:C86" si="8">B83</f>
        <v>85000</v>
      </c>
      <c r="D83" s="362"/>
      <c r="E83" s="363"/>
      <c r="F83" s="363"/>
      <c r="G83" s="363"/>
      <c r="H83" s="363"/>
      <c r="I83" s="363"/>
      <c r="J83" s="363"/>
      <c r="K83" s="359"/>
    </row>
    <row r="84" spans="1:11" s="360" customFormat="1">
      <c r="A84" s="145" t="s">
        <v>767</v>
      </c>
      <c r="B84" s="361">
        <f>'Sources and Uses Budget'!C84</f>
        <v>15000</v>
      </c>
      <c r="C84" s="362">
        <f t="shared" si="8"/>
        <v>15000</v>
      </c>
      <c r="D84" s="362"/>
      <c r="E84" s="361">
        <f>'Sources and Uses Budget'!S84</f>
        <v>15000</v>
      </c>
      <c r="F84" s="362"/>
      <c r="G84" s="362"/>
      <c r="H84" s="361">
        <f>'Sources and Uses Budget'!T84</f>
        <v>0</v>
      </c>
      <c r="I84" s="362"/>
      <c r="J84" s="362"/>
      <c r="K84" s="359"/>
    </row>
    <row r="85" spans="1:11" s="360" customFormat="1">
      <c r="A85" s="145" t="s">
        <v>768</v>
      </c>
      <c r="B85" s="361">
        <f>'Sources and Uses Budget'!C85</f>
        <v>194304</v>
      </c>
      <c r="C85" s="362">
        <f t="shared" si="8"/>
        <v>194304</v>
      </c>
      <c r="D85" s="362"/>
      <c r="E85" s="361">
        <f>'Sources and Uses Budget'!S85</f>
        <v>194304</v>
      </c>
      <c r="F85" s="362"/>
      <c r="G85" s="362"/>
      <c r="H85" s="361">
        <f>'Sources and Uses Budget'!T85</f>
        <v>0</v>
      </c>
      <c r="I85" s="362"/>
      <c r="J85" s="362"/>
      <c r="K85" s="359"/>
    </row>
    <row r="86" spans="1:11" s="360" customFormat="1">
      <c r="A86" s="145" t="s">
        <v>769</v>
      </c>
      <c r="B86" s="361">
        <f>'Sources and Uses Budget'!C86</f>
        <v>264441</v>
      </c>
      <c r="C86" s="362">
        <f t="shared" si="8"/>
        <v>264441</v>
      </c>
      <c r="D86" s="362"/>
      <c r="E86" s="361">
        <f>'Sources and Uses Budget'!S86</f>
        <v>264441</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44800</v>
      </c>
      <c r="C89" s="362">
        <f t="shared" ref="C89:C95" si="9">B89</f>
        <v>44800</v>
      </c>
      <c r="D89" s="362"/>
      <c r="E89" s="361">
        <f>'Sources and Uses Budget'!S89</f>
        <v>44800</v>
      </c>
      <c r="F89" s="362"/>
      <c r="G89" s="362"/>
      <c r="H89" s="361">
        <f>'Sources and Uses Budget'!T89</f>
        <v>0</v>
      </c>
      <c r="I89" s="362"/>
      <c r="J89" s="362"/>
      <c r="K89" s="359"/>
    </row>
    <row r="90" spans="1:11" s="360" customFormat="1">
      <c r="A90" s="145" t="s">
        <v>773</v>
      </c>
      <c r="B90" s="361">
        <f>'Sources and Uses Budget'!C90</f>
        <v>6000</v>
      </c>
      <c r="C90" s="362">
        <f t="shared" si="9"/>
        <v>6000</v>
      </c>
      <c r="D90" s="362"/>
      <c r="E90" s="361">
        <f>'Sources and Uses Budget'!S90</f>
        <v>6000</v>
      </c>
      <c r="F90" s="362"/>
      <c r="G90" s="362"/>
      <c r="H90" s="361">
        <f>'Sources and Uses Budget'!T90</f>
        <v>0</v>
      </c>
      <c r="I90" s="362"/>
      <c r="J90" s="362"/>
      <c r="K90" s="359"/>
    </row>
    <row r="91" spans="1:11" s="360" customFormat="1">
      <c r="A91" s="155" t="s">
        <v>372</v>
      </c>
      <c r="B91" s="361">
        <f>'Sources and Uses Budget'!C91</f>
        <v>0</v>
      </c>
      <c r="C91" s="362">
        <f t="shared" si="9"/>
        <v>0</v>
      </c>
      <c r="D91" s="362"/>
      <c r="E91" s="361">
        <f>'Sources and Uses Budget'!S91</f>
        <v>0</v>
      </c>
      <c r="F91" s="362"/>
      <c r="G91" s="362"/>
      <c r="H91" s="361">
        <f>'Sources and Uses Budget'!T91</f>
        <v>0</v>
      </c>
      <c r="I91" s="362"/>
      <c r="J91" s="362"/>
      <c r="K91" s="359"/>
    </row>
    <row r="92" spans="1:11" s="360" customFormat="1">
      <c r="A92" s="508" t="s">
        <v>1211</v>
      </c>
      <c r="B92" s="361">
        <f>'Sources and Uses Budget'!C92</f>
        <v>5000</v>
      </c>
      <c r="C92" s="362">
        <f t="shared" si="9"/>
        <v>5000</v>
      </c>
      <c r="D92" s="362"/>
      <c r="E92" s="361">
        <f>'Sources and Uses Budget'!S92</f>
        <v>5000</v>
      </c>
      <c r="F92" s="362"/>
      <c r="G92" s="362"/>
      <c r="H92" s="361">
        <f>'Sources and Uses Budget'!T92</f>
        <v>0</v>
      </c>
      <c r="I92" s="362"/>
      <c r="J92" s="362"/>
      <c r="K92" s="359"/>
    </row>
    <row r="93" spans="1:11" s="360" customFormat="1">
      <c r="A93" s="364" t="str">
        <f>'Sources and Uses Budget'!$A93</f>
        <v>Other: (Specify)</v>
      </c>
      <c r="B93" s="361">
        <f>'Sources and Uses Budget'!C93</f>
        <v>0</v>
      </c>
      <c r="C93" s="362">
        <f t="shared" si="9"/>
        <v>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f t="shared" si="9"/>
        <v>0</v>
      </c>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f t="shared" si="9"/>
        <v>0</v>
      </c>
      <c r="D95" s="362"/>
      <c r="E95" s="361">
        <f>'Sources and Uses Budget'!S95</f>
        <v>0</v>
      </c>
      <c r="F95" s="362"/>
      <c r="G95" s="362"/>
      <c r="H95" s="361">
        <f>'Sources and Uses Budget'!T95</f>
        <v>0</v>
      </c>
      <c r="I95" s="362"/>
      <c r="J95" s="362"/>
      <c r="K95" s="359"/>
    </row>
    <row r="96" spans="1:11" s="360" customFormat="1">
      <c r="A96" s="365" t="s">
        <v>774</v>
      </c>
      <c r="B96" s="361">
        <f>'Sources and Uses Budget'!C96</f>
        <v>614545</v>
      </c>
      <c r="C96" s="361">
        <f>SUM(C83:C95)</f>
        <v>614545</v>
      </c>
      <c r="D96" s="361">
        <f>SUM(D83:D95)</f>
        <v>0</v>
      </c>
      <c r="E96" s="361">
        <f>'Sources and Uses Budget'!S96</f>
        <v>529545</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73450030</v>
      </c>
      <c r="C97" s="361">
        <f>SUM(C63+C70+C77+C81+C96)</f>
        <v>73450030</v>
      </c>
      <c r="D97" s="361">
        <f>SUM(D63+D70+D77+D81+D96)</f>
        <v>0</v>
      </c>
      <c r="E97" s="361">
        <f>'Sources and Uses Budget'!S97</f>
        <v>67456400</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13491280</v>
      </c>
      <c r="C99" s="362">
        <f t="shared" ref="C99" si="10">B99</f>
        <v>13491280</v>
      </c>
      <c r="D99" s="362"/>
      <c r="E99" s="361">
        <f>'Sources and Uses Budget'!S99</f>
        <v>13491280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13491280</v>
      </c>
      <c r="C104" s="361">
        <f>SUM(C99:C103)</f>
        <v>13491280</v>
      </c>
      <c r="D104" s="361">
        <f>SUM(D99:D103)</f>
        <v>0</v>
      </c>
      <c r="E104" s="361">
        <f>'Sources and Uses Budget'!S104</f>
        <v>13491280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86941310</v>
      </c>
      <c r="C105" s="367">
        <f>SUM(C97+C104)</f>
        <v>86941310</v>
      </c>
      <c r="D105" s="367">
        <f>SUM(D97+D104)</f>
        <v>0</v>
      </c>
      <c r="E105" s="361">
        <f>'Sources and Uses Budget'!S105</f>
        <v>80947680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80947680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0"/>
      <c r="E124" s="1324"/>
      <c r="F124" s="1324"/>
      <c r="G124" s="1324"/>
      <c r="H124" s="1324"/>
      <c r="I124" s="1324"/>
      <c r="J124" s="376"/>
      <c r="K124" s="359"/>
    </row>
    <row r="125" spans="1:11" s="360" customFormat="1" ht="12.5">
      <c r="A125" s="385"/>
      <c r="B125" s="384"/>
      <c r="C125" s="385"/>
      <c r="D125" s="1324"/>
      <c r="E125" s="1324"/>
      <c r="F125" s="1324"/>
      <c r="G125" s="1324"/>
      <c r="H125" s="1324"/>
      <c r="I125" s="1324"/>
      <c r="J125" s="376"/>
      <c r="K125" s="359"/>
    </row>
    <row r="126" spans="1:11" s="360" customFormat="1" ht="12.5">
      <c r="A126" s="385"/>
      <c r="B126" s="384"/>
      <c r="C126" s="385"/>
      <c r="D126" s="1324"/>
      <c r="E126" s="1324"/>
      <c r="F126" s="1324"/>
      <c r="G126" s="1324"/>
      <c r="H126" s="1324"/>
      <c r="I126" s="132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54296875" defaultRowHeight="15.75" customHeight="1"/>
  <cols>
    <col min="1" max="8" width="2.54296875" style="1204"/>
    <col min="9" max="9" width="7.54296875" style="1204" customWidth="1"/>
    <col min="10" max="13" width="2.54296875" style="1204"/>
    <col min="14" max="14" width="4.54296875" style="1204" customWidth="1"/>
    <col min="15" max="19" width="2.54296875" style="1204"/>
    <col min="20" max="20" width="3.54296875" style="1204" customWidth="1"/>
    <col min="21" max="37" width="2.54296875" style="1204"/>
    <col min="38" max="38" width="3" style="1204" customWidth="1"/>
    <col min="39" max="45" width="2.54296875" style="1204"/>
    <col min="46" max="46" width="4.54296875" style="1204" customWidth="1"/>
    <col min="47" max="51" width="2.54296875" style="1204"/>
    <col min="52" max="52" width="3.54296875" style="1204" customWidth="1"/>
    <col min="53" max="53" width="2.54296875" style="1204"/>
    <col min="54" max="54" width="4.453125" style="1204" customWidth="1"/>
    <col min="55" max="64" width="2.5429687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54296875" style="1204"/>
  </cols>
  <sheetData>
    <row r="1" spans="1:65" ht="15.75" customHeight="1">
      <c r="A1" s="1893" t="s">
        <v>2391</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2390</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9" t="s">
        <v>2595</v>
      </c>
      <c r="AY3" s="1900"/>
      <c r="AZ3" s="1900"/>
      <c r="BA3" s="1901"/>
      <c r="BB3" s="1899" t="s">
        <v>2596</v>
      </c>
      <c r="BC3" s="1900"/>
      <c r="BD3" s="1900"/>
      <c r="BE3" s="1901"/>
    </row>
    <row r="4" spans="1:65" ht="15.75" customHeight="1" thickBot="1">
      <c r="A4" s="1207"/>
      <c r="B4" s="1209" t="s">
        <v>656</v>
      </c>
      <c r="C4" s="1209"/>
      <c r="D4" s="1209"/>
      <c r="E4" s="1209"/>
      <c r="F4" s="1209"/>
      <c r="G4" s="1208"/>
      <c r="H4" s="1208"/>
      <c r="I4" s="1208"/>
      <c r="J4" s="1208"/>
      <c r="K4" s="1208"/>
      <c r="L4" s="1888" t="str">
        <f>IF(Application!H18="","",Application!H18)</f>
        <v>CSH San Pablo Housing</v>
      </c>
      <c r="M4" s="1889"/>
      <c r="N4" s="1889"/>
      <c r="O4" s="1889"/>
      <c r="P4" s="1889"/>
      <c r="Q4" s="1889"/>
      <c r="R4" s="1889"/>
      <c r="S4" s="1889"/>
      <c r="T4" s="1889"/>
      <c r="U4" s="1889"/>
      <c r="V4" s="1889"/>
      <c r="W4" s="1889"/>
      <c r="X4" s="1889"/>
      <c r="Y4" s="1889"/>
      <c r="Z4" s="1889"/>
      <c r="AA4" s="1889"/>
      <c r="AB4" s="1889"/>
      <c r="AC4" s="1890"/>
      <c r="AD4" s="1208"/>
      <c r="AE4" s="1208"/>
      <c r="AF4" s="1902" t="s">
        <v>2389</v>
      </c>
      <c r="AG4" s="1902"/>
      <c r="AH4" s="1902"/>
      <c r="AI4" s="1902"/>
      <c r="AJ4" s="1902"/>
      <c r="AK4" s="1902"/>
      <c r="AL4" s="1902"/>
      <c r="AM4" s="1902"/>
      <c r="AN4" s="1902"/>
      <c r="AO4" s="1902"/>
      <c r="AP4" s="1903"/>
      <c r="AQ4" s="1904"/>
      <c r="AR4" s="1904"/>
      <c r="AS4" s="1904"/>
      <c r="AT4" s="1904"/>
      <c r="AU4" s="1904"/>
      <c r="AV4" s="1208"/>
      <c r="AW4" s="1208"/>
      <c r="AX4" s="1885" t="s">
        <v>2597</v>
      </c>
      <c r="AY4" s="1886"/>
      <c r="AZ4" s="1886"/>
      <c r="BA4" s="1887"/>
      <c r="BB4" s="1210">
        <f t="array" ref="BB4">ROUNDDOWN(SUM(IF((B19:I27&gt;0)*(B19:I27&lt;=30%),J19:O27,0))/J29,2)</f>
        <v>0.31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2" t="s">
        <v>2388</v>
      </c>
      <c r="AG5" s="1902"/>
      <c r="AH5" s="1902"/>
      <c r="AI5" s="1902"/>
      <c r="AJ5" s="1902"/>
      <c r="AK5" s="1902"/>
      <c r="AL5" s="1902"/>
      <c r="AM5" s="1902"/>
      <c r="AN5" s="1902"/>
      <c r="AO5" s="1902"/>
      <c r="AP5" s="1903"/>
      <c r="AQ5" s="1904"/>
      <c r="AR5" s="1904"/>
      <c r="AS5" s="1904"/>
      <c r="AT5" s="1904"/>
      <c r="AU5" s="1904"/>
      <c r="AV5" s="1208"/>
      <c r="AW5" s="1208"/>
      <c r="AX5" s="1885" t="s">
        <v>2598</v>
      </c>
      <c r="AY5" s="1886"/>
      <c r="AZ5" s="1886"/>
      <c r="BA5" s="1887"/>
      <c r="BB5" s="1210">
        <f t="array" ref="BB5">ROUNDDOWN(SUM(IF((B19:I27&gt;0%)*(B19:I27&lt;=50%),J19:O27,0))/J29,2)</f>
        <v>0.62</v>
      </c>
      <c r="BC5" s="1211"/>
      <c r="BD5" s="1211"/>
      <c r="BE5" s="1212"/>
    </row>
    <row r="6" spans="1:65" ht="15.75" customHeight="1" thickBot="1">
      <c r="A6" s="1207"/>
      <c r="B6" s="1209" t="s">
        <v>2387</v>
      </c>
      <c r="C6" s="1208"/>
      <c r="D6" s="1208"/>
      <c r="E6" s="1208"/>
      <c r="F6" s="1208"/>
      <c r="G6" s="1208"/>
      <c r="H6" s="1208"/>
      <c r="I6" s="1208"/>
      <c r="J6" s="1208"/>
      <c r="K6" s="1208"/>
      <c r="L6" s="1888" t="str">
        <f>IF(Application!H16="","",Application!H16)</f>
        <v>California Supportive Housing</v>
      </c>
      <c r="M6" s="1889"/>
      <c r="N6" s="1889"/>
      <c r="O6" s="1889"/>
      <c r="P6" s="1889"/>
      <c r="Q6" s="1889"/>
      <c r="R6" s="1889"/>
      <c r="S6" s="1889"/>
      <c r="T6" s="1889"/>
      <c r="U6" s="1889"/>
      <c r="V6" s="1889"/>
      <c r="W6" s="1889"/>
      <c r="X6" s="1889"/>
      <c r="Y6" s="1889"/>
      <c r="Z6" s="1889"/>
      <c r="AA6" s="1889"/>
      <c r="AB6" s="1889"/>
      <c r="AC6" s="1890"/>
      <c r="AD6" s="1208"/>
      <c r="AE6" s="1208"/>
      <c r="AF6" s="1891" t="s">
        <v>2386</v>
      </c>
      <c r="AG6" s="1891"/>
      <c r="AH6" s="1891"/>
      <c r="AI6" s="1891"/>
      <c r="AJ6" s="1891"/>
      <c r="AK6" s="1891"/>
      <c r="AL6" s="1891"/>
      <c r="AM6" s="1891"/>
      <c r="AN6" s="1891"/>
      <c r="AO6" s="1891"/>
      <c r="AP6" s="1892"/>
      <c r="AQ6" s="1892"/>
      <c r="AR6" s="1892"/>
      <c r="AS6" s="1892"/>
      <c r="AT6" s="1892"/>
      <c r="AU6" s="1892"/>
      <c r="AV6" s="1208"/>
      <c r="AW6" s="1208"/>
      <c r="AX6" s="1885" t="s">
        <v>2599</v>
      </c>
      <c r="AY6" s="1886"/>
      <c r="AZ6" s="1886"/>
      <c r="BA6" s="1887"/>
      <c r="BB6" s="1210">
        <f t="array" ref="BB6">ROUNDDOWN(SUM(IF((B19:I27&gt;60%)*(B19:I27&lt;=80%),J19:O27,0))/J29,2)</f>
        <v>0.25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1" t="s">
        <v>2385</v>
      </c>
      <c r="AG7" s="1891"/>
      <c r="AH7" s="1891"/>
      <c r="AI7" s="1891"/>
      <c r="AJ7" s="1891"/>
      <c r="AK7" s="1891"/>
      <c r="AL7" s="1891"/>
      <c r="AM7" s="1891"/>
      <c r="AN7" s="1891"/>
      <c r="AO7" s="1891"/>
      <c r="AP7" s="1892"/>
      <c r="AQ7" s="1892"/>
      <c r="AR7" s="1892"/>
      <c r="AS7" s="1892"/>
      <c r="AT7" s="1892"/>
      <c r="AU7" s="1892"/>
      <c r="AV7" s="1208"/>
      <c r="AW7" s="1208"/>
      <c r="AX7" s="1208"/>
      <c r="AY7" s="1208"/>
      <c r="AZ7" s="1208"/>
      <c r="BA7" s="1208"/>
      <c r="BB7" s="1208"/>
      <c r="BC7" s="1208"/>
      <c r="BD7" s="1208"/>
      <c r="BE7" s="1213"/>
    </row>
    <row r="8" spans="1:65" ht="1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5" t="str">
        <f>Application!T197</f>
        <v>No</v>
      </c>
      <c r="AC8" s="1906"/>
      <c r="AD8" s="1907"/>
      <c r="AE8" s="1208"/>
      <c r="AF8" s="1891" t="s">
        <v>2384</v>
      </c>
      <c r="AG8" s="1891"/>
      <c r="AH8" s="1891"/>
      <c r="AI8" s="1891"/>
      <c r="AJ8" s="1891"/>
      <c r="AK8" s="1891"/>
      <c r="AL8" s="1891"/>
      <c r="AM8" s="1891"/>
      <c r="AN8" s="1891"/>
      <c r="AO8" s="1891"/>
      <c r="AP8" s="1892" t="s">
        <v>2055</v>
      </c>
      <c r="AQ8" s="1892"/>
      <c r="AR8" s="1892"/>
      <c r="AS8" s="1892"/>
      <c r="AT8" s="1892"/>
      <c r="AU8" s="1892"/>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2" t="s">
        <v>2383</v>
      </c>
      <c r="AG9" s="1902"/>
      <c r="AH9" s="1902"/>
      <c r="AI9" s="1902"/>
      <c r="AJ9" s="1902"/>
      <c r="AK9" s="1902"/>
      <c r="AL9" s="1902"/>
      <c r="AM9" s="1902"/>
      <c r="AN9" s="1902"/>
      <c r="AO9" s="1902"/>
      <c r="AP9" s="1903"/>
      <c r="AQ9" s="1904"/>
      <c r="AR9" s="1904"/>
      <c r="AS9" s="1904"/>
      <c r="AT9" s="1904"/>
      <c r="AU9" s="1904"/>
      <c r="AV9" s="1208"/>
      <c r="AW9" s="1208"/>
      <c r="AX9" s="1208"/>
      <c r="AY9" s="1208"/>
      <c r="AZ9" s="1208"/>
      <c r="BA9" s="1208"/>
      <c r="BB9" s="1208"/>
      <c r="BC9" s="1208"/>
      <c r="BD9" s="1208"/>
      <c r="BE9" s="1213"/>
      <c r="BM9" s="1204" t="s">
        <v>2382</v>
      </c>
    </row>
    <row r="10" spans="1:65" ht="14.5">
      <c r="A10" s="1207"/>
      <c r="B10" s="1209" t="s">
        <v>2381</v>
      </c>
      <c r="C10" s="1209"/>
      <c r="D10" s="1209"/>
      <c r="E10" s="1209"/>
      <c r="F10" s="1209"/>
      <c r="G10" s="1209"/>
      <c r="H10" s="1209"/>
      <c r="I10" s="1209"/>
      <c r="J10" s="1209"/>
      <c r="K10" s="1209"/>
      <c r="L10" s="1209"/>
      <c r="M10" s="1208"/>
      <c r="N10" s="1920">
        <f>Application!AO635</f>
        <v>13270000</v>
      </c>
      <c r="O10" s="1920"/>
      <c r="P10" s="1920"/>
      <c r="Q10" s="1920"/>
      <c r="R10" s="1920"/>
      <c r="S10" s="1920"/>
      <c r="T10" s="1920"/>
      <c r="U10" s="1208"/>
      <c r="V10" s="1208"/>
      <c r="W10" s="1208"/>
      <c r="X10" s="1214"/>
      <c r="Y10" s="1214"/>
      <c r="Z10" s="1214"/>
      <c r="AA10" s="1214"/>
      <c r="AB10" s="1214"/>
      <c r="AC10" s="1214"/>
      <c r="AD10" s="1214"/>
      <c r="AE10" s="1214"/>
      <c r="AF10" s="1902" t="s">
        <v>2380</v>
      </c>
      <c r="AG10" s="1902"/>
      <c r="AH10" s="1902"/>
      <c r="AI10" s="1902"/>
      <c r="AJ10" s="1902"/>
      <c r="AK10" s="1902"/>
      <c r="AL10" s="1902"/>
      <c r="AM10" s="1902"/>
      <c r="AN10" s="1902"/>
      <c r="AO10" s="1902"/>
      <c r="AP10" s="1903"/>
      <c r="AQ10" s="1904"/>
      <c r="AR10" s="1904"/>
      <c r="AS10" s="1904"/>
      <c r="AT10" s="1904"/>
      <c r="AU10" s="1904"/>
      <c r="AV10" s="1214"/>
      <c r="AW10" s="1214"/>
      <c r="AX10" s="1208"/>
      <c r="AY10" s="1208"/>
      <c r="AZ10" s="1208"/>
      <c r="BA10" s="1208"/>
      <c r="BB10" s="1208"/>
      <c r="BC10" s="1208"/>
      <c r="BD10" s="1208"/>
      <c r="BE10" s="1213"/>
      <c r="BM10" s="1204" t="s">
        <v>2379</v>
      </c>
    </row>
    <row r="11" spans="1:65" ht="14.5">
      <c r="A11" s="1207"/>
      <c r="B11" s="1209" t="s">
        <v>2378</v>
      </c>
      <c r="C11" s="1209"/>
      <c r="D11" s="1209"/>
      <c r="E11" s="1209"/>
      <c r="F11" s="1209"/>
      <c r="G11" s="1209"/>
      <c r="H11" s="1209"/>
      <c r="I11" s="1209"/>
      <c r="J11" s="1209"/>
      <c r="K11" s="1209"/>
      <c r="L11" s="1209"/>
      <c r="M11" s="1208"/>
      <c r="N11" s="1920">
        <f>Application!AA943</f>
        <v>0</v>
      </c>
      <c r="O11" s="1920"/>
      <c r="P11" s="1920"/>
      <c r="Q11" s="1920"/>
      <c r="R11" s="1920"/>
      <c r="S11" s="1920"/>
      <c r="T11" s="1920"/>
      <c r="U11" s="1208"/>
      <c r="V11" s="1208"/>
      <c r="W11" s="1208"/>
      <c r="X11" s="1214"/>
      <c r="Y11" s="1214"/>
      <c r="Z11" s="1214"/>
      <c r="AA11" s="1214"/>
      <c r="AB11" s="1214"/>
      <c r="AC11" s="1214"/>
      <c r="AD11" s="1214"/>
      <c r="AE11" s="1214"/>
      <c r="AF11" s="1902" t="s">
        <v>2377</v>
      </c>
      <c r="AG11" s="1902"/>
      <c r="AH11" s="1902"/>
      <c r="AI11" s="1902"/>
      <c r="AJ11" s="1902"/>
      <c r="AK11" s="1902"/>
      <c r="AL11" s="1902"/>
      <c r="AM11" s="1902"/>
      <c r="AN11" s="1902"/>
      <c r="AO11" s="1902"/>
      <c r="AP11" s="1903"/>
      <c r="AQ11" s="1904"/>
      <c r="AR11" s="1904"/>
      <c r="AS11" s="1904"/>
      <c r="AT11" s="1904"/>
      <c r="AU11" s="1904"/>
      <c r="AV11" s="1214"/>
      <c r="AW11" s="1214"/>
      <c r="AX11" s="1208"/>
      <c r="AY11" s="1208"/>
      <c r="AZ11" s="1208"/>
      <c r="BA11" s="1208"/>
      <c r="BB11" s="1208"/>
      <c r="BC11" s="1208"/>
      <c r="BD11" s="1208"/>
      <c r="BE11" s="1213"/>
      <c r="BM11" s="1204" t="s">
        <v>2055</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5" thickBot="1">
      <c r="A13" s="1208"/>
      <c r="B13" s="1908" t="s">
        <v>2375</v>
      </c>
      <c r="C13" s="1909"/>
      <c r="D13" s="1909"/>
      <c r="E13" s="1909"/>
      <c r="F13" s="1909"/>
      <c r="G13" s="1909"/>
      <c r="H13" s="1909"/>
      <c r="I13" s="1909"/>
      <c r="J13" s="1909"/>
      <c r="K13" s="1909"/>
      <c r="L13" s="1909"/>
      <c r="M13" s="1909"/>
      <c r="N13" s="1909"/>
      <c r="O13" s="1909"/>
      <c r="P13" s="1910"/>
      <c r="Q13" s="1911" t="s">
        <v>669</v>
      </c>
      <c r="R13" s="1912"/>
      <c r="S13" s="1912"/>
      <c r="T13" s="1913"/>
      <c r="U13" s="1214"/>
      <c r="V13" s="1208"/>
      <c r="W13" s="1208"/>
      <c r="X13" s="1208"/>
      <c r="Y13" s="1208"/>
      <c r="Z13" s="1208"/>
      <c r="AA13" s="1914" t="s">
        <v>2374</v>
      </c>
      <c r="AB13" s="1914"/>
      <c r="AC13" s="1914"/>
      <c r="AD13" s="1914"/>
      <c r="AE13" s="1914"/>
      <c r="AF13" s="1914"/>
      <c r="AG13" s="1914"/>
      <c r="AH13" s="1914"/>
      <c r="AI13" s="1914"/>
      <c r="AJ13" s="1914"/>
      <c r="AK13" s="1914"/>
      <c r="AL13" s="1914"/>
      <c r="AM13" s="1914"/>
      <c r="AN13" s="1914"/>
      <c r="AO13" s="1915">
        <f>Application!W481</f>
        <v>10</v>
      </c>
      <c r="AP13" s="1916"/>
      <c r="AQ13" s="1916"/>
      <c r="AR13" s="1916"/>
      <c r="AS13" s="1916"/>
      <c r="AT13" s="1214"/>
      <c r="AU13" s="1214"/>
      <c r="AV13" s="1214"/>
      <c r="AW13" s="1214"/>
      <c r="AX13" s="1214"/>
      <c r="AY13" s="1214"/>
      <c r="AZ13" s="1214"/>
      <c r="BA13" s="1214"/>
      <c r="BB13" s="1214"/>
      <c r="BC13" s="1214"/>
      <c r="BD13" s="1214"/>
      <c r="BE13" s="1215"/>
      <c r="BM13" s="1204" t="s">
        <v>2373</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7" t="s">
        <v>2372</v>
      </c>
      <c r="AB14" s="1917"/>
      <c r="AC14" s="1917"/>
      <c r="AD14" s="1917"/>
      <c r="AE14" s="1917"/>
      <c r="AF14" s="1917"/>
      <c r="AG14" s="1917"/>
      <c r="AH14" s="1917"/>
      <c r="AI14" s="1917"/>
      <c r="AJ14" s="1917"/>
      <c r="AK14" s="1917"/>
      <c r="AL14" s="1917"/>
      <c r="AM14" s="1917"/>
      <c r="AN14" s="1917"/>
      <c r="AO14" s="1918"/>
      <c r="AP14" s="1919"/>
      <c r="AQ14" s="1919"/>
      <c r="AR14" s="1919"/>
      <c r="AS14" s="1919"/>
      <c r="AT14" s="1214"/>
      <c r="AU14" s="1214"/>
      <c r="AV14" s="1214"/>
      <c r="AW14" s="1214"/>
      <c r="AX14" s="1214"/>
      <c r="AY14" s="1214"/>
      <c r="AZ14" s="1214"/>
      <c r="BA14" s="1214"/>
      <c r="BB14" s="1214"/>
      <c r="BC14" s="1214"/>
      <c r="BD14" s="1214"/>
      <c r="BE14" s="1215"/>
    </row>
    <row r="15" spans="1:65" ht="15" thickBot="1">
      <c r="A15" s="1208"/>
      <c r="B15" s="1921" t="s">
        <v>2371</v>
      </c>
      <c r="C15" s="1922"/>
      <c r="D15" s="1922"/>
      <c r="E15" s="1922"/>
      <c r="F15" s="1922"/>
      <c r="G15" s="1922"/>
      <c r="H15" s="1922"/>
      <c r="I15" s="1922"/>
      <c r="J15" s="1922"/>
      <c r="K15" s="1922"/>
      <c r="L15" s="1922"/>
      <c r="M15" s="1922"/>
      <c r="N15" s="1922"/>
      <c r="O15" s="1922"/>
      <c r="P15" s="1922"/>
      <c r="Q15" s="1922"/>
      <c r="R15" s="1923"/>
      <c r="S15" s="1924" t="str">
        <f>IF(Application!AB215="","",Application!AB215)</f>
        <v/>
      </c>
      <c r="T15" s="1924"/>
      <c r="U15" s="1924"/>
      <c r="V15" s="1924"/>
      <c r="W15" s="1925"/>
      <c r="X15" s="1214"/>
      <c r="Y15" s="1208"/>
      <c r="Z15" s="1208"/>
      <c r="AA15" s="1914" t="s">
        <v>2370</v>
      </c>
      <c r="AB15" s="1914"/>
      <c r="AC15" s="1914"/>
      <c r="AD15" s="1914"/>
      <c r="AE15" s="1914"/>
      <c r="AF15" s="1914"/>
      <c r="AG15" s="1914"/>
      <c r="AH15" s="1914"/>
      <c r="AI15" s="1914"/>
      <c r="AJ15" s="1914"/>
      <c r="AK15" s="1914"/>
      <c r="AL15" s="1914"/>
      <c r="AM15" s="1914"/>
      <c r="AN15" s="1914"/>
      <c r="AO15" s="1918"/>
      <c r="AP15" s="1919"/>
      <c r="AQ15" s="1919"/>
      <c r="AR15" s="1919"/>
      <c r="AS15" s="191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6" t="s">
        <v>2369</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208"/>
      <c r="BA17" s="1208"/>
      <c r="BB17" s="1208"/>
      <c r="BC17" s="1208"/>
      <c r="BD17" s="1208"/>
      <c r="BE17" s="1215"/>
      <c r="BF17" s="1206"/>
    </row>
    <row r="18" spans="1:58" ht="15.75" customHeight="1">
      <c r="A18" s="1208"/>
      <c r="B18" s="1929" t="s">
        <v>2368</v>
      </c>
      <c r="C18" s="1930"/>
      <c r="D18" s="1930"/>
      <c r="E18" s="1930"/>
      <c r="F18" s="1930"/>
      <c r="G18" s="1930"/>
      <c r="H18" s="1930"/>
      <c r="I18" s="1931"/>
      <c r="J18" s="1932" t="s">
        <v>1575</v>
      </c>
      <c r="K18" s="1933"/>
      <c r="L18" s="1933"/>
      <c r="M18" s="1933"/>
      <c r="N18" s="1933"/>
      <c r="O18" s="1934"/>
      <c r="P18" s="1932" t="s">
        <v>324</v>
      </c>
      <c r="Q18" s="1933"/>
      <c r="R18" s="1933"/>
      <c r="S18" s="1933"/>
      <c r="T18" s="1933"/>
      <c r="U18" s="1934"/>
      <c r="V18" s="1932" t="s">
        <v>325</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2367</v>
      </c>
      <c r="AU18" s="1933"/>
      <c r="AV18" s="1933"/>
      <c r="AW18" s="1933"/>
      <c r="AX18" s="1933"/>
      <c r="AY18" s="1935"/>
      <c r="AZ18" s="1208"/>
      <c r="BA18" s="1208"/>
      <c r="BB18" s="1208"/>
      <c r="BC18" s="1208"/>
      <c r="BD18" s="1208"/>
      <c r="BE18" s="1215"/>
    </row>
    <row r="19" spans="1:58" ht="14.5">
      <c r="A19" s="1208"/>
      <c r="B19" s="1936">
        <v>0.3</v>
      </c>
      <c r="C19" s="1937"/>
      <c r="D19" s="1937"/>
      <c r="E19" s="1937"/>
      <c r="F19" s="1937"/>
      <c r="G19" s="1937"/>
      <c r="H19" s="1937"/>
      <c r="I19" s="1938"/>
      <c r="J19" s="1939">
        <f t="shared" ref="J19:J24" si="0">SUM(P19:AS19)</f>
        <v>30</v>
      </c>
      <c r="K19" s="1940"/>
      <c r="L19" s="1940"/>
      <c r="M19" s="1940"/>
      <c r="N19" s="1940"/>
      <c r="O19" s="1941"/>
      <c r="P19" s="1939" cm="1">
        <f t="array" ref="P19">SUMPRODUCT((Application!$B$726:$B$760 = 'CalHFA Addendum'!P$18)*(Application!$AC$726:$AC$760 = 'CalHFA Addendum'!$B19),Application!$G$726:$G$760)</f>
        <v>26</v>
      </c>
      <c r="Q19" s="1940"/>
      <c r="R19" s="1940"/>
      <c r="S19" s="1940"/>
      <c r="T19" s="1940"/>
      <c r="U19" s="1941"/>
      <c r="V19" s="1939" cm="1">
        <f t="array" ref="V19">SUMPRODUCT((Application!$B$726:$B$760 = 'CalHFA Addendum'!V$18)*(Application!$AC$726:$AC$760 = 'CalHFA Addendum'!$B19),Application!$G$726:$G$760)</f>
        <v>0</v>
      </c>
      <c r="W19" s="1940"/>
      <c r="X19" s="1940"/>
      <c r="Y19" s="1940"/>
      <c r="Z19" s="1940"/>
      <c r="AA19" s="1941"/>
      <c r="AB19" s="1939" cm="1">
        <f t="array" ref="AB19">SUMPRODUCT((Application!$B$726:$B$760 = 'CalHFA Addendum'!AB$18)*(Application!$AC$726:$AC$760 = 'CalHFA Addendum'!$B19),Application!$G$726:$G$760)</f>
        <v>2</v>
      </c>
      <c r="AC19" s="1940"/>
      <c r="AD19" s="1940"/>
      <c r="AE19" s="1940"/>
      <c r="AF19" s="1940"/>
      <c r="AG19" s="1941"/>
      <c r="AH19" s="1939" cm="1">
        <f t="array" ref="AH19">SUMPRODUCT((Application!$B$726:$B$760 = 'CalHFA Addendum'!AH$18)*(Application!$AC$726:$AC$760 = 'CalHFA Addendum'!$B19),Application!$G$726:$G$760)</f>
        <v>2</v>
      </c>
      <c r="AI19" s="1940"/>
      <c r="AJ19" s="1940"/>
      <c r="AK19" s="1940"/>
      <c r="AL19" s="1940"/>
      <c r="AM19" s="1941"/>
      <c r="AN19" s="1939" cm="1">
        <f t="array" ref="AN19">SUMPRODUCT((Application!$B$726:$B$760 = 'CalHFA Addendum'!AN$18)*(Application!$AC$726:$AC$760 = 'CalHFA Addendum'!$B19),Application!$G$726:$G$760)</f>
        <v>0</v>
      </c>
      <c r="AO19" s="1940"/>
      <c r="AP19" s="1940"/>
      <c r="AQ19" s="1940"/>
      <c r="AR19" s="1940"/>
      <c r="AS19" s="1941"/>
      <c r="AT19" s="1942">
        <f>J19/$J$29</f>
        <v>0.3125</v>
      </c>
      <c r="AU19" s="1943"/>
      <c r="AV19" s="1943"/>
      <c r="AW19" s="1943"/>
      <c r="AX19" s="1943"/>
      <c r="AY19" s="1944"/>
      <c r="AZ19" s="1216"/>
      <c r="BA19" s="1208"/>
      <c r="BB19" s="1208"/>
      <c r="BC19" s="1208"/>
      <c r="BD19" s="1208"/>
      <c r="BE19" s="1215"/>
    </row>
    <row r="20" spans="1:58" ht="15" customHeight="1">
      <c r="A20" s="1208"/>
      <c r="B20" s="1936">
        <v>0.4</v>
      </c>
      <c r="C20" s="1937"/>
      <c r="D20" s="1937"/>
      <c r="E20" s="1937"/>
      <c r="F20" s="1937"/>
      <c r="G20" s="1937"/>
      <c r="H20" s="1937"/>
      <c r="I20" s="1938"/>
      <c r="J20" s="1939">
        <f t="shared" si="0"/>
        <v>13</v>
      </c>
      <c r="K20" s="1940"/>
      <c r="L20" s="1940"/>
      <c r="M20" s="1940"/>
      <c r="N20" s="1940"/>
      <c r="O20" s="1941"/>
      <c r="P20" s="1939" cm="1">
        <f t="array" ref="P20">SUMPRODUCT((Application!$B$726:$B$760 = 'CalHFA Addendum'!P$18)*(Application!$AC$726:$AC$760 = 'CalHFA Addendum'!$B20),Application!$G$726:$G$760)</f>
        <v>9</v>
      </c>
      <c r="Q20" s="1940"/>
      <c r="R20" s="1940"/>
      <c r="S20" s="1940"/>
      <c r="T20" s="1940"/>
      <c r="U20" s="1941"/>
      <c r="V20" s="1939" cm="1">
        <f t="array" ref="V20">SUMPRODUCT((Application!$B$726:$B$760 = 'CalHFA Addendum'!V$18)*(Application!$AC$726:$AC$760 = 'CalHFA Addendum'!$B20),Application!$G$726:$G$760)</f>
        <v>0</v>
      </c>
      <c r="W20" s="1940"/>
      <c r="X20" s="1940"/>
      <c r="Y20" s="1940"/>
      <c r="Z20" s="1940"/>
      <c r="AA20" s="1941"/>
      <c r="AB20" s="1939" cm="1">
        <f t="array" ref="AB20">SUMPRODUCT((Application!$B$726:$B$760 = 'CalHFA Addendum'!AB$18)*(Application!$AC$726:$AC$760 = 'CalHFA Addendum'!$B20),Application!$G$726:$G$760)</f>
        <v>2</v>
      </c>
      <c r="AC20" s="1940"/>
      <c r="AD20" s="1940"/>
      <c r="AE20" s="1940"/>
      <c r="AF20" s="1940"/>
      <c r="AG20" s="1941"/>
      <c r="AH20" s="1939" cm="1">
        <f t="array" ref="AH20">SUMPRODUCT((Application!$B$726:$B$760 = 'CalHFA Addendum'!AH$18)*(Application!$AC$726:$AC$760 = 'CalHFA Addendum'!$B20),Application!$G$726:$G$760)</f>
        <v>2</v>
      </c>
      <c r="AI20" s="1940"/>
      <c r="AJ20" s="1940"/>
      <c r="AK20" s="1940"/>
      <c r="AL20" s="1940"/>
      <c r="AM20" s="1941"/>
      <c r="AN20" s="1939" cm="1">
        <f t="array" ref="AN20">SUMPRODUCT((Application!$B$726:$B$760 = 'CalHFA Addendum'!AN$18)*(Application!$AC$726:$AC$760 = 'CalHFA Addendum'!$B20),Application!$G$726:$G$760)</f>
        <v>0</v>
      </c>
      <c r="AO20" s="1940"/>
      <c r="AP20" s="1940"/>
      <c r="AQ20" s="1940"/>
      <c r="AR20" s="1940"/>
      <c r="AS20" s="1941"/>
      <c r="AT20" s="1942">
        <f t="shared" ref="AT20:AT29" si="1">J20/$J$29</f>
        <v>0.13541666666666666</v>
      </c>
      <c r="AU20" s="1943"/>
      <c r="AV20" s="1943"/>
      <c r="AW20" s="1943"/>
      <c r="AX20" s="1943"/>
      <c r="AY20" s="1944"/>
      <c r="AZ20" s="1208"/>
      <c r="BA20" s="1208"/>
      <c r="BB20" s="1208"/>
      <c r="BC20" s="1208"/>
      <c r="BD20" s="1208"/>
      <c r="BE20" s="1215"/>
    </row>
    <row r="21" spans="1:58" ht="14.5">
      <c r="A21" s="1208"/>
      <c r="B21" s="1936">
        <v>0.5</v>
      </c>
      <c r="C21" s="1937"/>
      <c r="D21" s="1937"/>
      <c r="E21" s="1937"/>
      <c r="F21" s="1937"/>
      <c r="G21" s="1937"/>
      <c r="H21" s="1937"/>
      <c r="I21" s="1938"/>
      <c r="J21" s="1939">
        <f t="shared" si="0"/>
        <v>17</v>
      </c>
      <c r="K21" s="1940"/>
      <c r="L21" s="1940"/>
      <c r="M21" s="1940"/>
      <c r="N21" s="1940"/>
      <c r="O21" s="1941"/>
      <c r="P21" s="1939" cm="1">
        <f t="array" ref="P21">SUMPRODUCT((Application!$B$726:$B$760 = 'CalHFA Addendum'!P$18)*(Application!$AC$726:$AC$760 = 'CalHFA Addendum'!$B21),Application!$G$726:$G$760)</f>
        <v>9</v>
      </c>
      <c r="Q21" s="1940"/>
      <c r="R21" s="1940"/>
      <c r="S21" s="1940"/>
      <c r="T21" s="1940"/>
      <c r="U21" s="1941"/>
      <c r="V21" s="1939" cm="1">
        <f t="array" ref="V21">SUMPRODUCT((Application!$B$726:$B$760 = 'CalHFA Addendum'!V$18)*(Application!$AC$726:$AC$760 = 'CalHFA Addendum'!$B21),Application!$G$726:$G$760)</f>
        <v>0</v>
      </c>
      <c r="W21" s="1940"/>
      <c r="X21" s="1940"/>
      <c r="Y21" s="1940"/>
      <c r="Z21" s="1940"/>
      <c r="AA21" s="1941"/>
      <c r="AB21" s="1939" cm="1">
        <f t="array" ref="AB21">SUMPRODUCT((Application!$B$726:$B$760 = 'CalHFA Addendum'!AB$18)*(Application!$AC$726:$AC$760 = 'CalHFA Addendum'!$B21),Application!$G$726:$G$760)</f>
        <v>4</v>
      </c>
      <c r="AC21" s="1940"/>
      <c r="AD21" s="1940"/>
      <c r="AE21" s="1940"/>
      <c r="AF21" s="1940"/>
      <c r="AG21" s="1941"/>
      <c r="AH21" s="1939" cm="1">
        <f t="array" ref="AH21">SUMPRODUCT((Application!$B$726:$B$760 = 'CalHFA Addendum'!AH$18)*(Application!$AC$726:$AC$760 = 'CalHFA Addendum'!$B21),Application!$G$726:$G$760)</f>
        <v>4</v>
      </c>
      <c r="AI21" s="1940"/>
      <c r="AJ21" s="1940"/>
      <c r="AK21" s="1940"/>
      <c r="AL21" s="1940"/>
      <c r="AM21" s="1941"/>
      <c r="AN21" s="1939" cm="1">
        <f t="array" ref="AN21">SUMPRODUCT((Application!$B$726:$B$760 = 'CalHFA Addendum'!AN$18)*(Application!$AC$726:$AC$760 = 'CalHFA Addendum'!$B21),Application!$G$726:$G$760)</f>
        <v>0</v>
      </c>
      <c r="AO21" s="1940"/>
      <c r="AP21" s="1940"/>
      <c r="AQ21" s="1940"/>
      <c r="AR21" s="1940"/>
      <c r="AS21" s="1941"/>
      <c r="AT21" s="1942">
        <f t="shared" si="1"/>
        <v>0.17708333333333334</v>
      </c>
      <c r="AU21" s="1943"/>
      <c r="AV21" s="1943"/>
      <c r="AW21" s="1943"/>
      <c r="AX21" s="1943"/>
      <c r="AY21" s="1944"/>
      <c r="AZ21" s="1208"/>
      <c r="BA21" s="1208"/>
      <c r="BB21" s="1208"/>
      <c r="BC21" s="1208"/>
      <c r="BD21" s="1208"/>
      <c r="BE21" s="1215"/>
    </row>
    <row r="22" spans="1:58" ht="14.5">
      <c r="A22" s="1208"/>
      <c r="B22" s="1936">
        <v>0.6</v>
      </c>
      <c r="C22" s="1937"/>
      <c r="D22" s="1937"/>
      <c r="E22" s="1937"/>
      <c r="F22" s="1937"/>
      <c r="G22" s="1937"/>
      <c r="H22" s="1937"/>
      <c r="I22" s="1938"/>
      <c r="J22" s="1939">
        <f t="shared" si="0"/>
        <v>11</v>
      </c>
      <c r="K22" s="1940"/>
      <c r="L22" s="1940"/>
      <c r="M22" s="1940"/>
      <c r="N22" s="1940"/>
      <c r="O22" s="1941"/>
      <c r="P22" s="1939" cm="1">
        <f t="array" ref="P22">SUMPRODUCT((Application!$B$726:$B$760 = 'CalHFA Addendum'!P$18)*(Application!$AC$726:$AC$760 = 'CalHFA Addendum'!$B22),Application!$G$726:$G$760)</f>
        <v>3</v>
      </c>
      <c r="Q22" s="1940"/>
      <c r="R22" s="1940"/>
      <c r="S22" s="1940"/>
      <c r="T22" s="1940"/>
      <c r="U22" s="1941"/>
      <c r="V22" s="1939" cm="1">
        <f t="array" ref="V22">SUMPRODUCT((Application!$B$726:$B$760 = 'CalHFA Addendum'!V$18)*(Application!$AC$726:$AC$760 = 'CalHFA Addendum'!$B22),Application!$G$726:$G$760)</f>
        <v>0</v>
      </c>
      <c r="W22" s="1940"/>
      <c r="X22" s="1940"/>
      <c r="Y22" s="1940"/>
      <c r="Z22" s="1940"/>
      <c r="AA22" s="1941"/>
      <c r="AB22" s="1939" cm="1">
        <f t="array" ref="AB22">SUMPRODUCT((Application!$B$726:$B$760 = 'CalHFA Addendum'!AB$18)*(Application!$AC$726:$AC$760 = 'CalHFA Addendum'!$B22),Application!$G$726:$G$760)</f>
        <v>4</v>
      </c>
      <c r="AC22" s="1940"/>
      <c r="AD22" s="1940"/>
      <c r="AE22" s="1940"/>
      <c r="AF22" s="1940"/>
      <c r="AG22" s="1941"/>
      <c r="AH22" s="1939" cm="1">
        <f t="array" ref="AH22">SUMPRODUCT((Application!$B$726:$B$760 = 'CalHFA Addendum'!AH$18)*(Application!$AC$726:$AC$760 = 'CalHFA Addendum'!$B22),Application!$G$726:$G$760)</f>
        <v>4</v>
      </c>
      <c r="AI22" s="1940"/>
      <c r="AJ22" s="1940"/>
      <c r="AK22" s="1940"/>
      <c r="AL22" s="1940"/>
      <c r="AM22" s="1941"/>
      <c r="AN22" s="1939" cm="1">
        <f t="array" ref="AN22">SUMPRODUCT((Application!$B$726:$B$760 = 'CalHFA Addendum'!AN$18)*(Application!$AC$726:$AC$760 = 'CalHFA Addendum'!$B22),Application!$G$726:$G$760)</f>
        <v>0</v>
      </c>
      <c r="AO22" s="1940"/>
      <c r="AP22" s="1940"/>
      <c r="AQ22" s="1940"/>
      <c r="AR22" s="1940"/>
      <c r="AS22" s="1941"/>
      <c r="AT22" s="1942">
        <f t="shared" si="1"/>
        <v>0.11458333333333333</v>
      </c>
      <c r="AU22" s="1943"/>
      <c r="AV22" s="1943"/>
      <c r="AW22" s="1943"/>
      <c r="AX22" s="1943"/>
      <c r="AY22" s="1944"/>
      <c r="AZ22" s="1208"/>
      <c r="BA22" s="1208"/>
      <c r="BB22" s="1208"/>
      <c r="BC22" s="1208"/>
      <c r="BD22" s="1208"/>
      <c r="BE22" s="1215"/>
    </row>
    <row r="23" spans="1:58" ht="14.5">
      <c r="A23" s="1208"/>
      <c r="B23" s="1936">
        <v>0.7</v>
      </c>
      <c r="C23" s="1937"/>
      <c r="D23" s="1937"/>
      <c r="E23" s="1937"/>
      <c r="F23" s="1937"/>
      <c r="G23" s="1937"/>
      <c r="H23" s="1937"/>
      <c r="I23" s="1938"/>
      <c r="J23" s="1939">
        <f t="shared" si="0"/>
        <v>12</v>
      </c>
      <c r="K23" s="1940"/>
      <c r="L23" s="1940"/>
      <c r="M23" s="1940"/>
      <c r="N23" s="1940"/>
      <c r="O23" s="1941"/>
      <c r="P23" s="1939" cm="1">
        <f t="array" ref="P23">SUMPRODUCT((Application!$B$726:$B$760 = 'CalHFA Addendum'!P$18)*(Application!$AC$726:$AC$760 = 'CalHFA Addendum'!$B23),Application!$G$726:$G$760)</f>
        <v>0</v>
      </c>
      <c r="Q23" s="1940"/>
      <c r="R23" s="1940"/>
      <c r="S23" s="1940"/>
      <c r="T23" s="1940"/>
      <c r="U23" s="1941"/>
      <c r="V23" s="1939" cm="1">
        <f t="array" ref="V23">SUMPRODUCT((Application!$B$726:$B$760 = 'CalHFA Addendum'!V$18)*(Application!$AC$726:$AC$760 = 'CalHFA Addendum'!$B23),Application!$G$726:$G$760)</f>
        <v>0</v>
      </c>
      <c r="W23" s="1940"/>
      <c r="X23" s="1940"/>
      <c r="Y23" s="1940"/>
      <c r="Z23" s="1940"/>
      <c r="AA23" s="1941"/>
      <c r="AB23" s="1939" cm="1">
        <f t="array" ref="AB23">SUMPRODUCT((Application!$B$726:$B$760 = 'CalHFA Addendum'!AB$18)*(Application!$AC$726:$AC$760 = 'CalHFA Addendum'!$B23),Application!$G$726:$G$760)</f>
        <v>6</v>
      </c>
      <c r="AC23" s="1940"/>
      <c r="AD23" s="1940"/>
      <c r="AE23" s="1940"/>
      <c r="AF23" s="1940"/>
      <c r="AG23" s="1941"/>
      <c r="AH23" s="1939" cm="1">
        <f t="array" ref="AH23">SUMPRODUCT((Application!$B$726:$B$760 = 'CalHFA Addendum'!AH$18)*(Application!$AC$726:$AC$760 = 'CalHFA Addendum'!$B23),Application!$G$726:$G$760)</f>
        <v>6</v>
      </c>
      <c r="AI23" s="1940"/>
      <c r="AJ23" s="1940"/>
      <c r="AK23" s="1940"/>
      <c r="AL23" s="1940"/>
      <c r="AM23" s="1941"/>
      <c r="AN23" s="1939" cm="1">
        <f t="array" ref="AN23">SUMPRODUCT((Application!$B$726:$B$760 = 'CalHFA Addendum'!AN$18)*(Application!$AC$726:$AC$760 = 'CalHFA Addendum'!$B23),Application!$G$726:$G$760)</f>
        <v>0</v>
      </c>
      <c r="AO23" s="1940"/>
      <c r="AP23" s="1940"/>
      <c r="AQ23" s="1940"/>
      <c r="AR23" s="1940"/>
      <c r="AS23" s="1941"/>
      <c r="AT23" s="1942">
        <f t="shared" si="1"/>
        <v>0.125</v>
      </c>
      <c r="AU23" s="1943"/>
      <c r="AV23" s="1943"/>
      <c r="AW23" s="1943"/>
      <c r="AX23" s="1943"/>
      <c r="AY23" s="1944"/>
      <c r="AZ23" s="1208"/>
      <c r="BA23" s="1208"/>
      <c r="BB23" s="1208"/>
      <c r="BC23" s="1208"/>
      <c r="BD23" s="1208"/>
      <c r="BE23" s="1215"/>
    </row>
    <row r="24" spans="1:58" ht="14.5">
      <c r="A24" s="1208"/>
      <c r="B24" s="1936">
        <v>0.8</v>
      </c>
      <c r="C24" s="1937"/>
      <c r="D24" s="1937"/>
      <c r="E24" s="1937"/>
      <c r="F24" s="1937"/>
      <c r="G24" s="1937"/>
      <c r="H24" s="1937"/>
      <c r="I24" s="1938"/>
      <c r="J24" s="1939">
        <f t="shared" si="0"/>
        <v>12</v>
      </c>
      <c r="K24" s="1940"/>
      <c r="L24" s="1940"/>
      <c r="M24" s="1940"/>
      <c r="N24" s="1940"/>
      <c r="O24" s="1941"/>
      <c r="P24" s="1939" cm="1">
        <f t="array" ref="P24">SUMPRODUCT((Application!$B$726:$B$760 = 'CalHFA Addendum'!P$18)*(Application!$AC$726:$AC$760 = 'CalHFA Addendum'!$B24),Application!$G$726:$G$760)</f>
        <v>0</v>
      </c>
      <c r="Q24" s="1940"/>
      <c r="R24" s="1940"/>
      <c r="S24" s="1940"/>
      <c r="T24" s="1940"/>
      <c r="U24" s="1941"/>
      <c r="V24" s="1939" cm="1">
        <f t="array" ref="V24">SUMPRODUCT((Application!$B$726:$B$760 = 'CalHFA Addendum'!V$18)*(Application!$AC$726:$AC$760 = 'CalHFA Addendum'!$B24),Application!$G$726:$G$760)</f>
        <v>0</v>
      </c>
      <c r="W24" s="1940"/>
      <c r="X24" s="1940"/>
      <c r="Y24" s="1940"/>
      <c r="Z24" s="1940"/>
      <c r="AA24" s="1941"/>
      <c r="AB24" s="1939" cm="1">
        <f t="array" ref="AB24">SUMPRODUCT((Application!$B$726:$B$760 = 'CalHFA Addendum'!AB$18)*(Application!$AC$726:$AC$760 = 'CalHFA Addendum'!$B24),Application!$G$726:$G$760)</f>
        <v>6</v>
      </c>
      <c r="AC24" s="1940"/>
      <c r="AD24" s="1940"/>
      <c r="AE24" s="1940"/>
      <c r="AF24" s="1940"/>
      <c r="AG24" s="1941"/>
      <c r="AH24" s="1939" cm="1">
        <f t="array" ref="AH24">SUMPRODUCT((Application!$B$726:$B$760 = 'CalHFA Addendum'!AH$18)*(Application!$AC$726:$AC$760 = 'CalHFA Addendum'!$B24),Application!$G$726:$G$760)</f>
        <v>6</v>
      </c>
      <c r="AI24" s="1940"/>
      <c r="AJ24" s="1940"/>
      <c r="AK24" s="1940"/>
      <c r="AL24" s="1940"/>
      <c r="AM24" s="1941"/>
      <c r="AN24" s="1939" cm="1">
        <f t="array" ref="AN24">SUMPRODUCT((Application!$B$726:$B$760 = 'CalHFA Addendum'!AN$18)*(Application!$AC$726:$AC$760 = 'CalHFA Addendum'!$B24),Application!$G$726:$G$760)</f>
        <v>0</v>
      </c>
      <c r="AO24" s="1940"/>
      <c r="AP24" s="1940"/>
      <c r="AQ24" s="1940"/>
      <c r="AR24" s="1940"/>
      <c r="AS24" s="1941"/>
      <c r="AT24" s="1942">
        <f t="shared" si="1"/>
        <v>0.125</v>
      </c>
      <c r="AU24" s="1943"/>
      <c r="AV24" s="1943"/>
      <c r="AW24" s="1943"/>
      <c r="AX24" s="1943"/>
      <c r="AY24" s="1944"/>
      <c r="AZ24" s="1208"/>
      <c r="BA24" s="1208"/>
      <c r="BB24" s="1208"/>
      <c r="BC24" s="1208"/>
      <c r="BD24" s="1208"/>
      <c r="BE24" s="1215"/>
    </row>
    <row r="25" spans="1:58" ht="14.5">
      <c r="A25" s="1208"/>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208"/>
      <c r="BA25" s="1208"/>
      <c r="BB25" s="1208"/>
      <c r="BC25" s="1208"/>
      <c r="BD25" s="1208"/>
      <c r="BE25" s="1215"/>
    </row>
    <row r="26" spans="1:58" ht="14.5">
      <c r="A26" s="1208"/>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208"/>
      <c r="BA26" s="1208"/>
      <c r="BB26" s="1208"/>
      <c r="BC26" s="1208"/>
      <c r="BD26" s="1208"/>
      <c r="BE26" s="1215"/>
    </row>
    <row r="27" spans="1:58" ht="14.5">
      <c r="A27" s="1208"/>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208"/>
      <c r="BA27" s="1208"/>
      <c r="BB27" s="1208"/>
      <c r="BC27" s="1208"/>
      <c r="BD27" s="1208"/>
      <c r="BE27" s="1215"/>
    </row>
    <row r="28" spans="1:58" ht="15" thickBot="1">
      <c r="A28" s="1208"/>
      <c r="B28" s="1948" t="s">
        <v>2366</v>
      </c>
      <c r="C28" s="1949"/>
      <c r="D28" s="1949"/>
      <c r="E28" s="1949"/>
      <c r="F28" s="1949"/>
      <c r="G28" s="1949"/>
      <c r="H28" s="1949"/>
      <c r="I28" s="1950"/>
      <c r="J28" s="1951">
        <f>SUM(P28:AS28)</f>
        <v>1</v>
      </c>
      <c r="K28" s="1952"/>
      <c r="L28" s="1952"/>
      <c r="M28" s="1952"/>
      <c r="N28" s="1952"/>
      <c r="O28" s="1953"/>
      <c r="P28" s="1951">
        <f>_xlfn.IFNA(VLOOKUP(P$18,Application!$J$781:$S$784,6,FALSE), 0)</f>
        <v>0</v>
      </c>
      <c r="Q28" s="1952"/>
      <c r="R28" s="1952"/>
      <c r="S28" s="1952"/>
      <c r="T28" s="1952"/>
      <c r="U28" s="1953"/>
      <c r="V28" s="1951">
        <f>_xlfn.IFNA(VLOOKUP(V$18,Application!$J$781:$S$784,6,FALSE), 0)</f>
        <v>0</v>
      </c>
      <c r="W28" s="1952"/>
      <c r="X28" s="1952"/>
      <c r="Y28" s="1952"/>
      <c r="Z28" s="1952"/>
      <c r="AA28" s="1953"/>
      <c r="AB28" s="1951">
        <f>_xlfn.IFNA(VLOOKUP(AB$18,Application!$J$781:$S$784,6,FALSE), 0)</f>
        <v>1</v>
      </c>
      <c r="AC28" s="1952"/>
      <c r="AD28" s="1952"/>
      <c r="AE28" s="1952"/>
      <c r="AF28" s="1952"/>
      <c r="AG28" s="1953"/>
      <c r="AH28" s="1951">
        <f>_xlfn.IFNA(VLOOKUP(AH$18,Application!$J$781:$S$784,6,FALSE), 0)</f>
        <v>0</v>
      </c>
      <c r="AI28" s="1952"/>
      <c r="AJ28" s="1952"/>
      <c r="AK28" s="1952"/>
      <c r="AL28" s="1952"/>
      <c r="AM28" s="1953"/>
      <c r="AN28" s="1951">
        <f>_xlfn.IFNA(VLOOKUP(AN$18,Application!$J$781:$S$784,6,FALSE), 0)</f>
        <v>0</v>
      </c>
      <c r="AO28" s="1952"/>
      <c r="AP28" s="1952"/>
      <c r="AQ28" s="1952"/>
      <c r="AR28" s="1952"/>
      <c r="AS28" s="1953"/>
      <c r="AT28" s="1954">
        <f t="shared" si="1"/>
        <v>1.0416666666666666E-2</v>
      </c>
      <c r="AU28" s="1955"/>
      <c r="AV28" s="1955"/>
      <c r="AW28" s="1955"/>
      <c r="AX28" s="1955"/>
      <c r="AY28" s="1956"/>
      <c r="AZ28" s="1208"/>
      <c r="BA28" s="1208"/>
      <c r="BB28" s="1208"/>
      <c r="BC28" s="1208"/>
      <c r="BD28" s="1208"/>
      <c r="BE28" s="1215"/>
    </row>
    <row r="29" spans="1:58" ht="15" thickBot="1">
      <c r="A29" s="1208"/>
      <c r="B29" s="1985" t="s">
        <v>1575</v>
      </c>
      <c r="C29" s="1958"/>
      <c r="D29" s="1958"/>
      <c r="E29" s="1958"/>
      <c r="F29" s="1958"/>
      <c r="G29" s="1958"/>
      <c r="H29" s="1958"/>
      <c r="I29" s="1959"/>
      <c r="J29" s="1957">
        <f>SUM(J19:O28)</f>
        <v>96</v>
      </c>
      <c r="K29" s="1958"/>
      <c r="L29" s="1958"/>
      <c r="M29" s="1958"/>
      <c r="N29" s="1958"/>
      <c r="O29" s="1959"/>
      <c r="P29" s="1957">
        <f>SUM(P19:U28)</f>
        <v>47</v>
      </c>
      <c r="Q29" s="1958"/>
      <c r="R29" s="1958"/>
      <c r="S29" s="1958"/>
      <c r="T29" s="1958"/>
      <c r="U29" s="1959"/>
      <c r="V29" s="1957">
        <f>SUM(V19:AA28)</f>
        <v>0</v>
      </c>
      <c r="W29" s="1958"/>
      <c r="X29" s="1958"/>
      <c r="Y29" s="1958"/>
      <c r="Z29" s="1958"/>
      <c r="AA29" s="1959"/>
      <c r="AB29" s="1957">
        <f>SUM(AB19:AG28)</f>
        <v>25</v>
      </c>
      <c r="AC29" s="1958"/>
      <c r="AD29" s="1958"/>
      <c r="AE29" s="1958"/>
      <c r="AF29" s="1958"/>
      <c r="AG29" s="1959"/>
      <c r="AH29" s="1957">
        <f>SUM(AH19:AM28)</f>
        <v>24</v>
      </c>
      <c r="AI29" s="1958"/>
      <c r="AJ29" s="1958"/>
      <c r="AK29" s="1958"/>
      <c r="AL29" s="1958"/>
      <c r="AM29" s="1959"/>
      <c r="AN29" s="1957">
        <f>SUM(AN19:AS28)</f>
        <v>0</v>
      </c>
      <c r="AO29" s="1958"/>
      <c r="AP29" s="1958"/>
      <c r="AQ29" s="1958"/>
      <c r="AR29" s="1958"/>
      <c r="AS29" s="1959"/>
      <c r="AT29" s="1960">
        <f t="shared" si="1"/>
        <v>1</v>
      </c>
      <c r="AU29" s="1961"/>
      <c r="AV29" s="1961"/>
      <c r="AW29" s="1961"/>
      <c r="AX29" s="1961"/>
      <c r="AY29" s="196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3" t="s">
        <v>2365</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215"/>
    </row>
    <row r="32" spans="1:58" ht="15" thickBot="1">
      <c r="A32" s="1208"/>
      <c r="B32" s="1966" t="s">
        <v>2364</v>
      </c>
      <c r="C32" s="1967"/>
      <c r="D32" s="1967"/>
      <c r="E32" s="1967"/>
      <c r="F32" s="1967"/>
      <c r="G32" s="1967"/>
      <c r="H32" s="1967"/>
      <c r="I32" s="1967"/>
      <c r="J32" s="1970" t="s">
        <v>2363</v>
      </c>
      <c r="K32" s="1971"/>
      <c r="L32" s="1971"/>
      <c r="M32" s="1971"/>
      <c r="N32" s="1970" t="s">
        <v>2362</v>
      </c>
      <c r="O32" s="1971"/>
      <c r="P32" s="1971"/>
      <c r="Q32" s="1973"/>
      <c r="R32" s="1975" t="s">
        <v>2361</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215"/>
    </row>
    <row r="33" spans="1:58" ht="15" customHeight="1">
      <c r="A33" s="1208"/>
      <c r="B33" s="1968"/>
      <c r="C33" s="1969"/>
      <c r="D33" s="1969"/>
      <c r="E33" s="1969"/>
      <c r="F33" s="1969"/>
      <c r="G33" s="1969"/>
      <c r="H33" s="1969"/>
      <c r="I33" s="1969"/>
      <c r="J33" s="1972"/>
      <c r="K33" s="1972"/>
      <c r="L33" s="1972"/>
      <c r="M33" s="1972"/>
      <c r="N33" s="1972"/>
      <c r="O33" s="1972"/>
      <c r="P33" s="1972"/>
      <c r="Q33" s="1974"/>
      <c r="R33" s="1978" t="s">
        <v>2360</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215"/>
    </row>
    <row r="34" spans="1:58" ht="15.75" customHeight="1" thickBot="1">
      <c r="A34" s="1208"/>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215"/>
    </row>
    <row r="35" spans="1:58" ht="15.75" customHeight="1">
      <c r="A35" s="1208"/>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2359</v>
      </c>
      <c r="AT35" s="1987"/>
      <c r="AU35" s="1987"/>
      <c r="AV35" s="1987"/>
      <c r="AW35" s="1987"/>
      <c r="AX35" s="1995"/>
      <c r="AY35" s="1986" t="s">
        <v>2358</v>
      </c>
      <c r="AZ35" s="1987"/>
      <c r="BA35" s="1987"/>
      <c r="BB35" s="1987"/>
      <c r="BC35" s="1987"/>
      <c r="BD35" s="1988"/>
      <c r="BE35" s="1215"/>
    </row>
    <row r="36" spans="1:58" ht="15.75" customHeight="1">
      <c r="A36" s="1208"/>
      <c r="B36" s="2005" t="s">
        <v>2357</v>
      </c>
      <c r="C36" s="2006"/>
      <c r="D36" s="2006"/>
      <c r="E36" s="2006"/>
      <c r="F36" s="2006"/>
      <c r="G36" s="2006"/>
      <c r="H36" s="2006"/>
      <c r="I36" s="2006"/>
      <c r="J36" s="2007" t="s">
        <v>2356</v>
      </c>
      <c r="K36" s="2007"/>
      <c r="L36" s="2007"/>
      <c r="M36" s="2007"/>
      <c r="N36" s="2007">
        <v>55</v>
      </c>
      <c r="O36" s="2007"/>
      <c r="P36" s="2007"/>
      <c r="Q36" s="2007"/>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1996"/>
      <c r="AM36" s="1997"/>
      <c r="AN36" s="1997"/>
      <c r="AO36" s="1998"/>
      <c r="AP36" s="1996"/>
      <c r="AQ36" s="1997"/>
      <c r="AR36" s="1998"/>
      <c r="AS36" s="1999">
        <f t="shared" ref="AS36:AS47" si="2">SUM(R36:AR36)</f>
        <v>0</v>
      </c>
      <c r="AT36" s="2000"/>
      <c r="AU36" s="2000"/>
      <c r="AV36" s="2000"/>
      <c r="AW36" s="2000"/>
      <c r="AX36" s="2001"/>
      <c r="AY36" s="2002">
        <f t="shared" ref="AY36:AY47" si="3">AS36/$J$29</f>
        <v>0</v>
      </c>
      <c r="AZ36" s="2003"/>
      <c r="BA36" s="2003"/>
      <c r="BB36" s="2003"/>
      <c r="BC36" s="2003"/>
      <c r="BD36" s="2004"/>
      <c r="BE36" s="1215"/>
    </row>
    <row r="37" spans="1:58" ht="15.75" customHeight="1">
      <c r="A37" s="1208"/>
      <c r="B37" s="2005" t="s">
        <v>2355</v>
      </c>
      <c r="C37" s="2006"/>
      <c r="D37" s="2006"/>
      <c r="E37" s="2006"/>
      <c r="F37" s="2006"/>
      <c r="G37" s="2006"/>
      <c r="H37" s="2006"/>
      <c r="I37" s="2006"/>
      <c r="J37" s="2007" t="s">
        <v>2354</v>
      </c>
      <c r="K37" s="2007"/>
      <c r="L37" s="2007"/>
      <c r="M37" s="2007"/>
      <c r="N37" s="2007">
        <v>55</v>
      </c>
      <c r="O37" s="2007"/>
      <c r="P37" s="2007"/>
      <c r="Q37" s="2007"/>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1996"/>
      <c r="AM37" s="1997"/>
      <c r="AN37" s="1997"/>
      <c r="AO37" s="1998"/>
      <c r="AP37" s="1996"/>
      <c r="AQ37" s="1997"/>
      <c r="AR37" s="1998"/>
      <c r="AS37" s="1999">
        <f t="shared" si="2"/>
        <v>0</v>
      </c>
      <c r="AT37" s="2000"/>
      <c r="AU37" s="2000"/>
      <c r="AV37" s="2000"/>
      <c r="AW37" s="2000"/>
      <c r="AX37" s="2001"/>
      <c r="AY37" s="2002">
        <f t="shared" si="3"/>
        <v>0</v>
      </c>
      <c r="AZ37" s="2003"/>
      <c r="BA37" s="2003"/>
      <c r="BB37" s="2003"/>
      <c r="BC37" s="2003"/>
      <c r="BD37" s="2004"/>
      <c r="BE37" s="1215"/>
    </row>
    <row r="38" spans="1:58" ht="15.75" customHeight="1">
      <c r="A38" s="1208"/>
      <c r="B38" s="2005" t="s">
        <v>2353</v>
      </c>
      <c r="C38" s="2006"/>
      <c r="D38" s="2006"/>
      <c r="E38" s="2006"/>
      <c r="F38" s="2006"/>
      <c r="G38" s="2006"/>
      <c r="H38" s="2006"/>
      <c r="I38" s="2006"/>
      <c r="J38" s="2007" t="s">
        <v>2352</v>
      </c>
      <c r="K38" s="2007"/>
      <c r="L38" s="2007"/>
      <c r="M38" s="2007"/>
      <c r="N38" s="2007">
        <v>55</v>
      </c>
      <c r="O38" s="2007"/>
      <c r="P38" s="2007"/>
      <c r="Q38" s="2007"/>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1996"/>
      <c r="AM38" s="1997"/>
      <c r="AN38" s="1997"/>
      <c r="AO38" s="1998"/>
      <c r="AP38" s="1996"/>
      <c r="AQ38" s="1997"/>
      <c r="AR38" s="1998"/>
      <c r="AS38" s="1999">
        <f t="shared" si="2"/>
        <v>0</v>
      </c>
      <c r="AT38" s="2000"/>
      <c r="AU38" s="2000"/>
      <c r="AV38" s="2000"/>
      <c r="AW38" s="2000"/>
      <c r="AX38" s="2001"/>
      <c r="AY38" s="2002">
        <f t="shared" si="3"/>
        <v>0</v>
      </c>
      <c r="AZ38" s="2003"/>
      <c r="BA38" s="2003"/>
      <c r="BB38" s="2003"/>
      <c r="BC38" s="2003"/>
      <c r="BD38" s="2004"/>
      <c r="BE38" s="1215"/>
    </row>
    <row r="39" spans="1:58" ht="15.75" customHeight="1">
      <c r="A39" s="1208"/>
      <c r="B39" s="2005" t="s">
        <v>2351</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215"/>
    </row>
    <row r="40" spans="1:58" ht="15.75" customHeight="1">
      <c r="A40" s="1208"/>
      <c r="B40" s="2005" t="s">
        <v>2351</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215"/>
    </row>
    <row r="41" spans="1:58" ht="15.75" customHeight="1">
      <c r="A41" s="1208"/>
      <c r="B41" s="2005" t="s">
        <v>2350</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215"/>
    </row>
    <row r="42" spans="1:58" ht="15.75" customHeight="1">
      <c r="A42" s="1208"/>
      <c r="B42" s="2005" t="s">
        <v>2350</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215"/>
    </row>
    <row r="43" spans="1:58" ht="15.75" customHeight="1">
      <c r="A43" s="1208"/>
      <c r="B43" s="2009" t="s">
        <v>2349</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215"/>
    </row>
    <row r="44" spans="1:58" ht="15.75" customHeight="1">
      <c r="A44" s="1208"/>
      <c r="B44" s="2009" t="s">
        <v>2348</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215"/>
    </row>
    <row r="45" spans="1:58" ht="15.75" customHeight="1">
      <c r="A45" s="1208"/>
      <c r="B45" s="2009" t="s">
        <v>2347</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215"/>
    </row>
    <row r="46" spans="1:58" ht="15.75" customHeight="1">
      <c r="A46" s="1208"/>
      <c r="B46" s="2009" t="s">
        <v>2279</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215"/>
    </row>
    <row r="47" spans="1:58" ht="15.75" customHeight="1" thickBot="1">
      <c r="A47" s="1208"/>
      <c r="B47" s="2011" t="s">
        <v>300</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1" t="s">
        <v>2344</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4" t="s">
        <v>2337</v>
      </c>
      <c r="C51" s="2025"/>
      <c r="D51" s="2025"/>
      <c r="E51" s="2025"/>
      <c r="F51" s="2025"/>
      <c r="G51" s="2025"/>
      <c r="H51" s="2025"/>
      <c r="I51" s="2025"/>
      <c r="J51" s="2025" t="s">
        <v>2343</v>
      </c>
      <c r="K51" s="2025"/>
      <c r="L51" s="2025"/>
      <c r="M51" s="2025"/>
      <c r="N51" s="2025"/>
      <c r="O51" s="2025"/>
      <c r="P51" s="2025"/>
      <c r="Q51" s="2025"/>
      <c r="R51" s="2026" t="s">
        <v>2342</v>
      </c>
      <c r="S51" s="2026"/>
      <c r="T51" s="2026"/>
      <c r="U51" s="2026"/>
      <c r="V51" s="2026"/>
      <c r="W51" s="2026"/>
      <c r="X51" s="2026"/>
      <c r="Y51" s="2026"/>
      <c r="Z51" s="2026" t="s">
        <v>2341</v>
      </c>
      <c r="AA51" s="2026"/>
      <c r="AB51" s="2026"/>
      <c r="AC51" s="2026"/>
      <c r="AD51" s="2026"/>
      <c r="AE51" s="2026"/>
      <c r="AF51" s="2026"/>
      <c r="AG51" s="2026"/>
      <c r="AH51" s="2026" t="s">
        <v>2340</v>
      </c>
      <c r="AI51" s="2026"/>
      <c r="AJ51" s="2026"/>
      <c r="AK51" s="2026"/>
      <c r="AL51" s="2026"/>
      <c r="AM51" s="2026"/>
      <c r="AN51" s="2026"/>
      <c r="AO51" s="202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9" t="s">
        <v>2339</v>
      </c>
      <c r="C52" s="2010"/>
      <c r="D52" s="2010"/>
      <c r="E52" s="2010"/>
      <c r="F52" s="2010"/>
      <c r="G52" s="2010"/>
      <c r="H52" s="2010"/>
      <c r="I52" s="2010"/>
      <c r="J52" s="2028">
        <v>0</v>
      </c>
      <c r="K52" s="2028"/>
      <c r="L52" s="2028"/>
      <c r="M52" s="2028"/>
      <c r="N52" s="2028"/>
      <c r="O52" s="2028"/>
      <c r="P52" s="2028"/>
      <c r="Q52" s="2028"/>
      <c r="R52" s="2029">
        <v>0</v>
      </c>
      <c r="S52" s="2029"/>
      <c r="T52" s="2029"/>
      <c r="U52" s="2029"/>
      <c r="V52" s="2029"/>
      <c r="W52" s="2029"/>
      <c r="X52" s="2029"/>
      <c r="Y52" s="2029"/>
      <c r="Z52" s="2030">
        <v>0</v>
      </c>
      <c r="AA52" s="2030"/>
      <c r="AB52" s="2030"/>
      <c r="AC52" s="2030"/>
      <c r="AD52" s="2030"/>
      <c r="AE52" s="2030"/>
      <c r="AF52" s="2030"/>
      <c r="AG52" s="2030"/>
      <c r="AH52" s="2031"/>
      <c r="AI52" s="2031"/>
      <c r="AJ52" s="2031"/>
      <c r="AK52" s="2031"/>
      <c r="AL52" s="2031"/>
      <c r="AM52" s="2031"/>
      <c r="AN52" s="2031"/>
      <c r="AO52" s="203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9" t="s">
        <v>2338</v>
      </c>
      <c r="C53" s="2010"/>
      <c r="D53" s="2010"/>
      <c r="E53" s="2010"/>
      <c r="F53" s="2010"/>
      <c r="G53" s="2010"/>
      <c r="H53" s="2010"/>
      <c r="I53" s="2010"/>
      <c r="J53" s="2028">
        <v>0</v>
      </c>
      <c r="K53" s="2028"/>
      <c r="L53" s="2028"/>
      <c r="M53" s="2028"/>
      <c r="N53" s="2028"/>
      <c r="O53" s="2028"/>
      <c r="P53" s="2028"/>
      <c r="Q53" s="2028"/>
      <c r="R53" s="2029">
        <v>0</v>
      </c>
      <c r="S53" s="2029"/>
      <c r="T53" s="2029"/>
      <c r="U53" s="2029"/>
      <c r="V53" s="2029"/>
      <c r="W53" s="2029"/>
      <c r="X53" s="2029"/>
      <c r="Y53" s="2029"/>
      <c r="Z53" s="2030">
        <v>0</v>
      </c>
      <c r="AA53" s="2030"/>
      <c r="AB53" s="2030"/>
      <c r="AC53" s="2030"/>
      <c r="AD53" s="2030"/>
      <c r="AE53" s="2030"/>
      <c r="AF53" s="2030"/>
      <c r="AG53" s="2030"/>
      <c r="AH53" s="2031"/>
      <c r="AI53" s="2031"/>
      <c r="AJ53" s="2031"/>
      <c r="AK53" s="2031"/>
      <c r="AL53" s="2031"/>
      <c r="AM53" s="2031"/>
      <c r="AN53" s="2031"/>
      <c r="AO53" s="203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2" t="s">
        <v>1575</v>
      </c>
      <c r="C57" s="2043"/>
      <c r="D57" s="2043"/>
      <c r="E57" s="2043"/>
      <c r="F57" s="2043"/>
      <c r="G57" s="2043"/>
      <c r="H57" s="2043"/>
      <c r="I57" s="2043"/>
      <c r="J57" s="2043"/>
      <c r="K57" s="2043"/>
      <c r="L57" s="2043"/>
      <c r="M57" s="2043"/>
      <c r="N57" s="2043"/>
      <c r="O57" s="2043"/>
      <c r="P57" s="2043"/>
      <c r="Q57" s="2043"/>
      <c r="R57" s="2044">
        <f>SUM(R52:Y56)</f>
        <v>0</v>
      </c>
      <c r="S57" s="2044"/>
      <c r="T57" s="2044"/>
      <c r="U57" s="2044"/>
      <c r="V57" s="2044"/>
      <c r="W57" s="2044"/>
      <c r="X57" s="2044"/>
      <c r="Y57" s="2044"/>
      <c r="Z57" s="2045">
        <f>SUM(Z52:AG56)</f>
        <v>0</v>
      </c>
      <c r="AA57" s="2045"/>
      <c r="AB57" s="2045"/>
      <c r="AC57" s="2045"/>
      <c r="AD57" s="2045"/>
      <c r="AE57" s="2045"/>
      <c r="AF57" s="2045"/>
      <c r="AG57" s="2045"/>
      <c r="AH57" s="2046"/>
      <c r="AI57" s="2046"/>
      <c r="AJ57" s="2046"/>
      <c r="AK57" s="2046"/>
      <c r="AL57" s="2046"/>
      <c r="AM57" s="2046"/>
      <c r="AN57" s="2046"/>
      <c r="AO57" s="204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3" t="s">
        <v>2337</v>
      </c>
      <c r="C59" s="2034"/>
      <c r="D59" s="2034"/>
      <c r="E59" s="2034"/>
      <c r="F59" s="2034"/>
      <c r="G59" s="2034"/>
      <c r="H59" s="2034"/>
      <c r="I59" s="2035"/>
      <c r="J59" s="1927" t="s">
        <v>2336</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208"/>
      <c r="AY59" s="1208"/>
      <c r="AZ59" s="1208"/>
      <c r="BA59" s="1208"/>
      <c r="BB59" s="1208"/>
      <c r="BC59" s="1208"/>
      <c r="BD59" s="1208"/>
      <c r="BE59" s="1215"/>
    </row>
    <row r="60" spans="1:77" ht="15.75" customHeight="1">
      <c r="A60" s="1208"/>
      <c r="B60" s="2036" t="str">
        <f>IF(B52="", "", B52)</f>
        <v>Services Company 1</v>
      </c>
      <c r="C60" s="2037"/>
      <c r="D60" s="2037"/>
      <c r="E60" s="2037"/>
      <c r="F60" s="2037"/>
      <c r="G60" s="2037"/>
      <c r="H60" s="2037"/>
      <c r="I60" s="2038"/>
      <c r="J60" s="2039"/>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208"/>
      <c r="AY60" s="1208"/>
      <c r="AZ60" s="1208"/>
      <c r="BA60" s="1208"/>
      <c r="BB60" s="1208"/>
      <c r="BC60" s="1208"/>
      <c r="BD60" s="1208"/>
      <c r="BE60" s="1215"/>
    </row>
    <row r="61" spans="1:77" ht="15.75" customHeight="1">
      <c r="A61" s="1208"/>
      <c r="B61" s="2036" t="str">
        <f>IF(B53="", "", B53)</f>
        <v>Services Company 2</v>
      </c>
      <c r="C61" s="2037"/>
      <c r="D61" s="2037"/>
      <c r="E61" s="2037"/>
      <c r="F61" s="2037"/>
      <c r="G61" s="2037"/>
      <c r="H61" s="2037"/>
      <c r="I61" s="2038"/>
      <c r="J61" s="2039"/>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208"/>
      <c r="AY61" s="1208"/>
      <c r="AZ61" s="1208"/>
      <c r="BA61" s="1208"/>
      <c r="BB61" s="1208"/>
      <c r="BC61" s="1208"/>
      <c r="BD61" s="1208"/>
      <c r="BE61" s="1215"/>
    </row>
    <row r="62" spans="1:77" ht="15.75" customHeight="1">
      <c r="A62" s="1208"/>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208"/>
      <c r="AY62" s="1208"/>
      <c r="AZ62" s="1208"/>
      <c r="BA62" s="1208"/>
      <c r="BB62" s="1208"/>
      <c r="BC62" s="1208"/>
      <c r="BD62" s="1208"/>
      <c r="BE62" s="1215"/>
    </row>
    <row r="63" spans="1:77" ht="15.75" customHeight="1">
      <c r="A63" s="1208"/>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208"/>
      <c r="AY63" s="1208"/>
      <c r="AZ63" s="1208"/>
      <c r="BA63" s="1208"/>
      <c r="BB63" s="1208"/>
      <c r="BC63" s="1208"/>
      <c r="BD63" s="1208"/>
      <c r="BE63" s="1215"/>
    </row>
    <row r="64" spans="1:77" ht="15.75" customHeight="1" thickBot="1">
      <c r="A64" s="1208"/>
      <c r="B64" s="2056" t="str">
        <f>IF(B56="", "", B56)</f>
        <v/>
      </c>
      <c r="C64" s="2057"/>
      <c r="D64" s="2057"/>
      <c r="E64" s="2057"/>
      <c r="F64" s="2057"/>
      <c r="G64" s="2057"/>
      <c r="H64" s="2057"/>
      <c r="I64" s="2058"/>
      <c r="J64" s="2059"/>
      <c r="K64" s="2060"/>
      <c r="L64" s="206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c r="AS64" s="2060"/>
      <c r="AT64" s="2060"/>
      <c r="AU64" s="2060"/>
      <c r="AV64" s="2060"/>
      <c r="AW64" s="206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6" t="s">
        <v>2334</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208"/>
      <c r="AC68" s="2068" t="s">
        <v>2333</v>
      </c>
      <c r="AD68" s="2069"/>
      <c r="AE68" s="2069"/>
      <c r="AF68" s="2069"/>
      <c r="AG68" s="2069"/>
      <c r="AH68" s="2069"/>
      <c r="AI68" s="2069"/>
      <c r="AJ68" s="2069"/>
      <c r="AK68" s="2069"/>
      <c r="AL68" s="2069"/>
      <c r="AM68" s="2069"/>
      <c r="AN68" s="2069"/>
      <c r="AO68" s="2069"/>
      <c r="AP68" s="2069"/>
      <c r="AQ68" s="2069"/>
      <c r="AR68" s="2069"/>
      <c r="AS68" s="2069"/>
      <c r="AT68" s="2069"/>
      <c r="AU68" s="2069"/>
      <c r="AV68" s="2048" t="s">
        <v>669</v>
      </c>
      <c r="AW68" s="2049"/>
      <c r="AX68" s="2049"/>
      <c r="AY68" s="2049"/>
      <c r="AZ68" s="2049"/>
      <c r="BA68" s="2049"/>
      <c r="BB68" s="2049"/>
      <c r="BC68" s="2050"/>
      <c r="BD68" s="1208"/>
      <c r="BE68" s="1215"/>
      <c r="BM68" s="1221" t="s">
        <v>2332</v>
      </c>
    </row>
    <row r="69" spans="1:94" ht="15.75" customHeight="1" thickTop="1" thickBot="1">
      <c r="A69" s="1208"/>
      <c r="B69" s="2051" t="s">
        <v>2331</v>
      </c>
      <c r="C69" s="2052"/>
      <c r="D69" s="2052"/>
      <c r="E69" s="2052"/>
      <c r="F69" s="2052"/>
      <c r="G69" s="2052"/>
      <c r="H69" s="2052"/>
      <c r="I69" s="2052"/>
      <c r="J69" s="2052"/>
      <c r="K69" s="2052"/>
      <c r="L69" s="2052"/>
      <c r="M69" s="2052"/>
      <c r="N69" s="2052"/>
      <c r="O69" s="1899" t="s">
        <v>2330</v>
      </c>
      <c r="P69" s="1900"/>
      <c r="Q69" s="1900"/>
      <c r="R69" s="1900"/>
      <c r="S69" s="1900"/>
      <c r="T69" s="1900"/>
      <c r="U69" s="1900"/>
      <c r="V69" s="1900"/>
      <c r="W69" s="1900"/>
      <c r="X69" s="1900"/>
      <c r="Y69" s="1900"/>
      <c r="Z69" s="1900"/>
      <c r="AA69" s="2053"/>
      <c r="AB69" s="1208"/>
      <c r="AC69" s="2054" t="s">
        <v>2329</v>
      </c>
      <c r="AD69" s="2055"/>
      <c r="AE69" s="2055"/>
      <c r="AF69" s="2055"/>
      <c r="AG69" s="2055"/>
      <c r="AH69" s="2055"/>
      <c r="AI69" s="2055"/>
      <c r="AJ69" s="2055"/>
      <c r="AK69" s="2055"/>
      <c r="AL69" s="2055"/>
      <c r="AM69" s="2055"/>
      <c r="AN69" s="2055"/>
      <c r="AO69" s="2055"/>
      <c r="AP69" s="2055"/>
      <c r="AQ69" s="2055"/>
      <c r="AR69" s="2055"/>
      <c r="AS69" s="2055"/>
      <c r="AT69" s="2055"/>
      <c r="AU69" s="2055"/>
      <c r="AV69" s="2048" t="s">
        <v>669</v>
      </c>
      <c r="AW69" s="2049"/>
      <c r="AX69" s="2049"/>
      <c r="AY69" s="2049"/>
      <c r="AZ69" s="2049"/>
      <c r="BA69" s="2049"/>
      <c r="BB69" s="2049"/>
      <c r="BC69" s="2050"/>
      <c r="BD69" s="1208"/>
      <c r="BE69" s="1215"/>
      <c r="BM69" s="1222" t="s">
        <v>545</v>
      </c>
    </row>
    <row r="70" spans="1:94" ht="15.75" customHeight="1">
      <c r="A70" s="1208"/>
      <c r="B70" s="2005" t="s">
        <v>2328</v>
      </c>
      <c r="C70" s="2006"/>
      <c r="D70" s="2006"/>
      <c r="E70" s="2006"/>
      <c r="F70" s="2006"/>
      <c r="G70" s="2006"/>
      <c r="H70" s="2006"/>
      <c r="I70" s="2006"/>
      <c r="J70" s="2006"/>
      <c r="K70" s="2006"/>
      <c r="L70" s="2006"/>
      <c r="M70" s="2006"/>
      <c r="N70" s="2006"/>
      <c r="O70" s="2062">
        <v>0</v>
      </c>
      <c r="P70" s="2062"/>
      <c r="Q70" s="2062"/>
      <c r="R70" s="2062"/>
      <c r="S70" s="2062"/>
      <c r="T70" s="2062"/>
      <c r="U70" s="2062"/>
      <c r="V70" s="2062"/>
      <c r="W70" s="2062"/>
      <c r="X70" s="2062"/>
      <c r="Y70" s="2062"/>
      <c r="Z70" s="2062"/>
      <c r="AA70" s="2063"/>
      <c r="AB70" s="1208"/>
      <c r="AC70" s="2021" t="s">
        <v>2327</v>
      </c>
      <c r="AD70" s="2022"/>
      <c r="AE70" s="2022"/>
      <c r="AF70" s="2064"/>
      <c r="AG70" s="2064"/>
      <c r="AH70" s="2064"/>
      <c r="AI70" s="2064"/>
      <c r="AJ70" s="2064"/>
      <c r="AK70" s="2064"/>
      <c r="AL70" s="2064"/>
      <c r="AM70" s="2064"/>
      <c r="AN70" s="2064"/>
      <c r="AO70" s="2064"/>
      <c r="AP70" s="2064"/>
      <c r="AQ70" s="2064"/>
      <c r="AR70" s="2064"/>
      <c r="AS70" s="2064"/>
      <c r="AT70" s="2064"/>
      <c r="AU70" s="2065"/>
      <c r="AV70" s="1208"/>
      <c r="AW70" s="1208"/>
      <c r="AX70" s="1208"/>
      <c r="AY70" s="1208"/>
      <c r="AZ70" s="1208"/>
      <c r="BA70" s="1208"/>
      <c r="BB70" s="1208"/>
      <c r="BC70" s="1208"/>
      <c r="BD70" s="1208"/>
      <c r="BE70" s="1215"/>
      <c r="BM70" s="1223" t="s">
        <v>669</v>
      </c>
    </row>
    <row r="71" spans="1:94" ht="15.75" customHeight="1" thickBot="1">
      <c r="A71" s="1208"/>
      <c r="B71" s="2005" t="s">
        <v>2326</v>
      </c>
      <c r="C71" s="2006"/>
      <c r="D71" s="2006"/>
      <c r="E71" s="2006"/>
      <c r="F71" s="2006"/>
      <c r="G71" s="2006"/>
      <c r="H71" s="2006"/>
      <c r="I71" s="2006"/>
      <c r="J71" s="2006"/>
      <c r="K71" s="2006"/>
      <c r="L71" s="2006"/>
      <c r="M71" s="2006"/>
      <c r="N71" s="2006"/>
      <c r="O71" s="2062">
        <v>0</v>
      </c>
      <c r="P71" s="2062"/>
      <c r="Q71" s="2062"/>
      <c r="R71" s="2062"/>
      <c r="S71" s="2062"/>
      <c r="T71" s="2062"/>
      <c r="U71" s="2062"/>
      <c r="V71" s="2062"/>
      <c r="W71" s="2062"/>
      <c r="X71" s="2062"/>
      <c r="Y71" s="2062"/>
      <c r="Z71" s="2062"/>
      <c r="AA71" s="2063"/>
      <c r="AB71" s="1208"/>
      <c r="AC71" s="2066" t="s">
        <v>2325</v>
      </c>
      <c r="AD71" s="2067"/>
      <c r="AE71" s="2067"/>
      <c r="AF71" s="2060"/>
      <c r="AG71" s="2060"/>
      <c r="AH71" s="2060"/>
      <c r="AI71" s="2060"/>
      <c r="AJ71" s="2060"/>
      <c r="AK71" s="2060"/>
      <c r="AL71" s="2060"/>
      <c r="AM71" s="2060"/>
      <c r="AN71" s="2060"/>
      <c r="AO71" s="2060"/>
      <c r="AP71" s="2060"/>
      <c r="AQ71" s="2060"/>
      <c r="AR71" s="2060"/>
      <c r="AS71" s="2060"/>
      <c r="AT71" s="2060"/>
      <c r="AU71" s="2061"/>
      <c r="AV71" s="1208"/>
      <c r="AW71" s="1208"/>
      <c r="AX71" s="1208"/>
      <c r="AY71" s="1208"/>
      <c r="AZ71" s="1208"/>
      <c r="BA71" s="1208"/>
      <c r="BB71" s="1208"/>
      <c r="BC71" s="1208"/>
      <c r="BD71" s="1208"/>
      <c r="BE71" s="1215"/>
      <c r="BM71" s="1204" t="s">
        <v>2324</v>
      </c>
    </row>
    <row r="72" spans="1:94" ht="15.75" customHeight="1">
      <c r="A72" s="1208"/>
      <c r="B72" s="2005" t="s">
        <v>2323</v>
      </c>
      <c r="C72" s="2006"/>
      <c r="D72" s="2006"/>
      <c r="E72" s="2006"/>
      <c r="F72" s="2006"/>
      <c r="G72" s="2006"/>
      <c r="H72" s="2006"/>
      <c r="I72" s="2006"/>
      <c r="J72" s="2006"/>
      <c r="K72" s="2006"/>
      <c r="L72" s="2006"/>
      <c r="M72" s="2006"/>
      <c r="N72" s="2006"/>
      <c r="O72" s="2062">
        <v>0</v>
      </c>
      <c r="P72" s="2062"/>
      <c r="Q72" s="2062"/>
      <c r="R72" s="2062"/>
      <c r="S72" s="2062"/>
      <c r="T72" s="2062"/>
      <c r="U72" s="2062"/>
      <c r="V72" s="2062"/>
      <c r="W72" s="2062"/>
      <c r="X72" s="2062"/>
      <c r="Y72" s="2062"/>
      <c r="Z72" s="2062"/>
      <c r="AA72" s="2063"/>
      <c r="AB72" s="1208"/>
      <c r="AC72" s="2070" t="s">
        <v>2322</v>
      </c>
      <c r="AD72" s="2071"/>
      <c r="AE72" s="2071"/>
      <c r="AF72" s="2071"/>
      <c r="AG72" s="2071"/>
      <c r="AH72" s="2071"/>
      <c r="AI72" s="2071"/>
      <c r="AJ72" s="2071"/>
      <c r="AK72" s="2071"/>
      <c r="AL72" s="2071"/>
      <c r="AM72" s="2071"/>
      <c r="AN72" s="2071"/>
      <c r="AO72" s="2071"/>
      <c r="AP72" s="2071"/>
      <c r="AQ72" s="2071"/>
      <c r="AR72" s="2071"/>
      <c r="AS72" s="2071"/>
      <c r="AT72" s="2071"/>
      <c r="AU72" s="2071"/>
      <c r="AV72" s="2022"/>
      <c r="AW72" s="2022"/>
      <c r="AX72" s="2022"/>
      <c r="AY72" s="2022"/>
      <c r="AZ72" s="2022"/>
      <c r="BA72" s="2022"/>
      <c r="BB72" s="2022"/>
      <c r="BC72" s="2023"/>
      <c r="BD72" s="1208"/>
      <c r="BE72" s="1215"/>
    </row>
    <row r="73" spans="1:94" ht="15.75" customHeight="1">
      <c r="A73" s="1208"/>
      <c r="B73" s="2009" t="s">
        <v>2321</v>
      </c>
      <c r="C73" s="2010"/>
      <c r="D73" s="2010"/>
      <c r="E73" s="2010"/>
      <c r="F73" s="2010"/>
      <c r="G73" s="2010"/>
      <c r="H73" s="2010"/>
      <c r="I73" s="2010"/>
      <c r="J73" s="2010"/>
      <c r="K73" s="2010"/>
      <c r="L73" s="2010"/>
      <c r="M73" s="2010"/>
      <c r="N73" s="2010"/>
      <c r="O73" s="2062">
        <v>0</v>
      </c>
      <c r="P73" s="2062"/>
      <c r="Q73" s="2062"/>
      <c r="R73" s="2062"/>
      <c r="S73" s="2062"/>
      <c r="T73" s="2062"/>
      <c r="U73" s="2062"/>
      <c r="V73" s="2062"/>
      <c r="W73" s="2062"/>
      <c r="X73" s="2062"/>
      <c r="Y73" s="2062"/>
      <c r="Z73" s="2062"/>
      <c r="AA73" s="2063"/>
      <c r="AB73" s="1208"/>
      <c r="AC73" s="2072" t="s">
        <v>2274</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208"/>
      <c r="BE73" s="1215"/>
      <c r="CK73" s="1206"/>
      <c r="CL73" s="1206"/>
      <c r="CM73" s="1206"/>
      <c r="CN73" s="1206"/>
      <c r="CO73" s="1206"/>
      <c r="CP73" s="1206"/>
    </row>
    <row r="74" spans="1:94" ht="15.75" customHeight="1">
      <c r="A74" s="1208"/>
      <c r="B74" s="2078"/>
      <c r="C74" s="2028"/>
      <c r="D74" s="2028"/>
      <c r="E74" s="2028"/>
      <c r="F74" s="2028"/>
      <c r="G74" s="2028"/>
      <c r="H74" s="2028"/>
      <c r="I74" s="2028"/>
      <c r="J74" s="2028"/>
      <c r="K74" s="2028"/>
      <c r="L74" s="2028"/>
      <c r="M74" s="2028"/>
      <c r="N74" s="2028"/>
      <c r="O74" s="2062"/>
      <c r="P74" s="2062"/>
      <c r="Q74" s="2062"/>
      <c r="R74" s="2062"/>
      <c r="S74" s="2062"/>
      <c r="T74" s="2062"/>
      <c r="U74" s="2062"/>
      <c r="V74" s="2062"/>
      <c r="W74" s="2062"/>
      <c r="X74" s="2062"/>
      <c r="Y74" s="2062"/>
      <c r="Z74" s="2062"/>
      <c r="AA74" s="2063"/>
      <c r="AB74" s="1208"/>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208"/>
      <c r="BE74" s="1215"/>
      <c r="CK74" s="1206"/>
      <c r="CL74" s="1206"/>
      <c r="CM74" s="1206"/>
      <c r="CN74" s="1206"/>
      <c r="CO74" s="1206"/>
      <c r="CP74" s="1206"/>
    </row>
    <row r="75" spans="1:94" ht="15.75" customHeight="1" thickBot="1">
      <c r="A75" s="1208"/>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208"/>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3"/>
      <c r="G79" s="2084"/>
      <c r="H79" s="2084"/>
      <c r="I79" s="2084"/>
      <c r="J79" s="2084"/>
      <c r="K79" s="2084"/>
      <c r="L79" s="2084"/>
      <c r="M79" s="2084"/>
      <c r="N79" s="2084"/>
      <c r="O79" s="2084"/>
      <c r="P79" s="2084"/>
      <c r="Q79" s="2084"/>
      <c r="R79" s="2084"/>
      <c r="S79" s="2084"/>
      <c r="T79" s="208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6" t="s">
        <v>2319</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208"/>
      <c r="AJ81" s="2089" t="s">
        <v>2625</v>
      </c>
      <c r="AK81" s="2090"/>
      <c r="AL81" s="2090"/>
      <c r="AM81" s="2090"/>
      <c r="AN81" s="2090"/>
      <c r="AO81" s="2090"/>
      <c r="AP81" s="2090"/>
      <c r="AQ81" s="2090"/>
      <c r="AR81" s="2090"/>
      <c r="AS81" s="2090"/>
      <c r="AT81" s="2090"/>
      <c r="AU81" s="2090"/>
      <c r="AV81" s="2090"/>
      <c r="AW81" s="2090"/>
      <c r="AX81" s="2090"/>
      <c r="AY81" s="2093" t="s">
        <v>545</v>
      </c>
      <c r="AZ81" s="2093"/>
      <c r="BA81" s="2093"/>
      <c r="BB81" s="2094"/>
      <c r="BC81" s="1208"/>
      <c r="BD81" s="1208"/>
      <c r="BE81" s="1215"/>
      <c r="CK81" s="1206"/>
      <c r="CL81" s="1206"/>
      <c r="CM81" s="1206"/>
      <c r="CN81" s="1206"/>
      <c r="CO81" s="1206"/>
      <c r="CP81" s="1206"/>
    </row>
    <row r="82" spans="1:94" ht="15.75" customHeight="1">
      <c r="A82" s="1208"/>
      <c r="B82" s="2024"/>
      <c r="C82" s="2025"/>
      <c r="D82" s="2025"/>
      <c r="E82" s="2025"/>
      <c r="F82" s="2025"/>
      <c r="G82" s="2025"/>
      <c r="H82" s="2025"/>
      <c r="I82" s="2025" t="s">
        <v>2313</v>
      </c>
      <c r="J82" s="2025"/>
      <c r="K82" s="2025"/>
      <c r="L82" s="2025"/>
      <c r="M82" s="2025"/>
      <c r="N82" s="2025"/>
      <c r="O82" s="2025" t="s">
        <v>2290</v>
      </c>
      <c r="P82" s="2025"/>
      <c r="Q82" s="2025"/>
      <c r="R82" s="2025"/>
      <c r="S82" s="2025"/>
      <c r="T82" s="2025"/>
      <c r="U82" s="2025"/>
      <c r="V82" s="2097" t="s">
        <v>2289</v>
      </c>
      <c r="W82" s="2097"/>
      <c r="X82" s="2097"/>
      <c r="Y82" s="2097"/>
      <c r="Z82" s="2097"/>
      <c r="AA82" s="2097"/>
      <c r="AB82" s="2098" t="s">
        <v>2312</v>
      </c>
      <c r="AC82" s="2098"/>
      <c r="AD82" s="2098"/>
      <c r="AE82" s="2098"/>
      <c r="AF82" s="2098"/>
      <c r="AG82" s="2098"/>
      <c r="AH82" s="2099"/>
      <c r="AI82" s="1208"/>
      <c r="AJ82" s="2091"/>
      <c r="AK82" s="2092"/>
      <c r="AL82" s="2092"/>
      <c r="AM82" s="2092"/>
      <c r="AN82" s="2092"/>
      <c r="AO82" s="2092"/>
      <c r="AP82" s="2092"/>
      <c r="AQ82" s="2092"/>
      <c r="AR82" s="2092"/>
      <c r="AS82" s="2092"/>
      <c r="AT82" s="2092"/>
      <c r="AU82" s="2092"/>
      <c r="AV82" s="2092"/>
      <c r="AW82" s="2092"/>
      <c r="AX82" s="2092"/>
      <c r="AY82" s="2095"/>
      <c r="AZ82" s="2095"/>
      <c r="BA82" s="2095"/>
      <c r="BB82" s="2096"/>
      <c r="BC82" s="1208"/>
      <c r="BD82" s="1208"/>
      <c r="BE82" s="1215"/>
      <c r="CK82" s="1206"/>
      <c r="CL82" s="1206"/>
      <c r="CM82" s="1206"/>
      <c r="CN82" s="1206"/>
      <c r="CO82" s="1206"/>
      <c r="CP82" s="1206"/>
    </row>
    <row r="83" spans="1:94" ht="15.75" customHeight="1">
      <c r="A83" s="1208"/>
      <c r="B83" s="2024"/>
      <c r="C83" s="2025"/>
      <c r="D83" s="2025"/>
      <c r="E83" s="2025"/>
      <c r="F83" s="2025"/>
      <c r="G83" s="2025"/>
      <c r="H83" s="2025"/>
      <c r="I83" s="2025"/>
      <c r="J83" s="2025"/>
      <c r="K83" s="2025"/>
      <c r="L83" s="2025"/>
      <c r="M83" s="2025"/>
      <c r="N83" s="2025"/>
      <c r="O83" s="2025"/>
      <c r="P83" s="2025"/>
      <c r="Q83" s="2025"/>
      <c r="R83" s="2025"/>
      <c r="S83" s="2025"/>
      <c r="T83" s="2025"/>
      <c r="U83" s="2025"/>
      <c r="V83" s="2097"/>
      <c r="W83" s="2097"/>
      <c r="X83" s="2097"/>
      <c r="Y83" s="2097"/>
      <c r="Z83" s="2097"/>
      <c r="AA83" s="2097"/>
      <c r="AB83" s="2098"/>
      <c r="AC83" s="2098"/>
      <c r="AD83" s="2098"/>
      <c r="AE83" s="2098"/>
      <c r="AF83" s="2098"/>
      <c r="AG83" s="2098"/>
      <c r="AH83" s="2099"/>
      <c r="AI83" s="1208"/>
      <c r="AJ83" s="2091"/>
      <c r="AK83" s="2092"/>
      <c r="AL83" s="2092"/>
      <c r="AM83" s="2092"/>
      <c r="AN83" s="2092"/>
      <c r="AO83" s="2092"/>
      <c r="AP83" s="2092"/>
      <c r="AQ83" s="2092"/>
      <c r="AR83" s="2092"/>
      <c r="AS83" s="2092"/>
      <c r="AT83" s="2092"/>
      <c r="AU83" s="2092"/>
      <c r="AV83" s="2092"/>
      <c r="AW83" s="2092"/>
      <c r="AX83" s="2092"/>
      <c r="AY83" s="2095"/>
      <c r="AZ83" s="2095"/>
      <c r="BA83" s="2095"/>
      <c r="BB83" s="2096"/>
      <c r="BC83" s="1208"/>
      <c r="BD83" s="1208"/>
      <c r="BE83" s="1215"/>
      <c r="CK83" s="1206"/>
      <c r="CL83" s="1206"/>
      <c r="CM83" s="1206"/>
      <c r="CN83" s="1206"/>
      <c r="CO83" s="1206"/>
      <c r="CP83" s="1206"/>
    </row>
    <row r="84" spans="1:94" ht="15.75" customHeight="1">
      <c r="A84" s="1208"/>
      <c r="B84" s="2024" t="s">
        <v>2311</v>
      </c>
      <c r="C84" s="2025"/>
      <c r="D84" s="2025"/>
      <c r="E84" s="2025"/>
      <c r="F84" s="2025"/>
      <c r="G84" s="2025"/>
      <c r="H84" s="2025"/>
      <c r="I84" s="2102">
        <v>0</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091"/>
      <c r="AK84" s="2092"/>
      <c r="AL84" s="2092"/>
      <c r="AM84" s="2092"/>
      <c r="AN84" s="2092"/>
      <c r="AO84" s="2092"/>
      <c r="AP84" s="2092"/>
      <c r="AQ84" s="2092"/>
      <c r="AR84" s="2092"/>
      <c r="AS84" s="2092"/>
      <c r="AT84" s="2092"/>
      <c r="AU84" s="2092"/>
      <c r="AV84" s="2092"/>
      <c r="AW84" s="2092"/>
      <c r="AX84" s="2092"/>
      <c r="AY84" s="2095"/>
      <c r="AZ84" s="2095"/>
      <c r="BA84" s="2095"/>
      <c r="BB84" s="2096"/>
      <c r="BC84" s="1208"/>
      <c r="BD84" s="1208"/>
      <c r="BE84" s="1215"/>
      <c r="CK84" s="1206"/>
      <c r="CL84" s="1206"/>
      <c r="CM84" s="1206"/>
      <c r="CN84" s="1206"/>
      <c r="CO84" s="1206"/>
      <c r="CP84" s="1206"/>
    </row>
    <row r="85" spans="1:94" ht="15.75" customHeight="1">
      <c r="A85" s="1208"/>
      <c r="B85" s="2024" t="s">
        <v>2310</v>
      </c>
      <c r="C85" s="2025"/>
      <c r="D85" s="2025"/>
      <c r="E85" s="2025"/>
      <c r="F85" s="2025"/>
      <c r="G85" s="2025"/>
      <c r="H85" s="2025"/>
      <c r="I85" s="2102">
        <v>0</v>
      </c>
      <c r="J85" s="2102"/>
      <c r="K85" s="2102"/>
      <c r="L85" s="2102"/>
      <c r="M85" s="2102"/>
      <c r="N85" s="2102"/>
      <c r="O85" s="2102">
        <v>0</v>
      </c>
      <c r="P85" s="2102"/>
      <c r="Q85" s="2102"/>
      <c r="R85" s="2102"/>
      <c r="S85" s="2102"/>
      <c r="T85" s="2102"/>
      <c r="U85" s="2102"/>
      <c r="V85" s="2102">
        <v>0</v>
      </c>
      <c r="W85" s="2102"/>
      <c r="X85" s="2102"/>
      <c r="Y85" s="2102"/>
      <c r="Z85" s="2102"/>
      <c r="AA85" s="2102"/>
      <c r="AB85" s="2102">
        <v>0</v>
      </c>
      <c r="AC85" s="2102"/>
      <c r="AD85" s="2102"/>
      <c r="AE85" s="2102"/>
      <c r="AF85" s="2102"/>
      <c r="AG85" s="2102"/>
      <c r="AH85" s="2103"/>
      <c r="AI85" s="1208"/>
      <c r="AJ85" s="2072" t="s">
        <v>2316</v>
      </c>
      <c r="AK85" s="2073"/>
      <c r="AL85" s="2073"/>
      <c r="AM85" s="2073"/>
      <c r="AN85" s="2073"/>
      <c r="AO85" s="2073"/>
      <c r="AP85" s="2073"/>
      <c r="AQ85" s="2073"/>
      <c r="AR85" s="2073"/>
      <c r="AS85" s="2073"/>
      <c r="AT85" s="2073"/>
      <c r="AU85" s="2073"/>
      <c r="AV85" s="2073"/>
      <c r="AW85" s="2073"/>
      <c r="AX85" s="2073"/>
      <c r="AY85" s="2073"/>
      <c r="AZ85" s="2073"/>
      <c r="BA85" s="2073"/>
      <c r="BB85" s="2074"/>
      <c r="BC85" s="1208"/>
      <c r="BD85" s="1208"/>
      <c r="BE85" s="1215"/>
      <c r="CK85" s="1206"/>
      <c r="CL85" s="1206"/>
      <c r="CM85" s="1206"/>
      <c r="CN85" s="1206"/>
      <c r="CO85" s="1206"/>
      <c r="CP85" s="1206"/>
    </row>
    <row r="86" spans="1:94" ht="15.75" customHeight="1" thickBot="1">
      <c r="A86" s="1208"/>
      <c r="B86" s="2042" t="s">
        <v>2309</v>
      </c>
      <c r="C86" s="2043"/>
      <c r="D86" s="2043"/>
      <c r="E86" s="2043"/>
      <c r="F86" s="2043"/>
      <c r="G86" s="2043"/>
      <c r="H86" s="204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208"/>
      <c r="AJ86" s="2075"/>
      <c r="AK86" s="2076"/>
      <c r="AL86" s="2076"/>
      <c r="AM86" s="2076"/>
      <c r="AN86" s="2076"/>
      <c r="AO86" s="2076"/>
      <c r="AP86" s="2076"/>
      <c r="AQ86" s="2076"/>
      <c r="AR86" s="2076"/>
      <c r="AS86" s="2076"/>
      <c r="AT86" s="2076"/>
      <c r="AU86" s="2076"/>
      <c r="AV86" s="2076"/>
      <c r="AW86" s="2076"/>
      <c r="AX86" s="2076"/>
      <c r="AY86" s="2076"/>
      <c r="AZ86" s="2076"/>
      <c r="BA86" s="2076"/>
      <c r="BB86" s="207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3"/>
      <c r="G90" s="2084"/>
      <c r="H90" s="2084"/>
      <c r="I90" s="2084"/>
      <c r="J90" s="2084"/>
      <c r="K90" s="2084"/>
      <c r="L90" s="2084"/>
      <c r="M90" s="2084"/>
      <c r="N90" s="2084"/>
      <c r="O90" s="2084"/>
      <c r="P90" s="2084"/>
      <c r="Q90" s="2084"/>
      <c r="R90" s="2084"/>
      <c r="S90" s="2084"/>
      <c r="T90" s="208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6" t="s">
        <v>2317</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208"/>
      <c r="AJ92" s="2089" t="s">
        <v>2626</v>
      </c>
      <c r="AK92" s="2090"/>
      <c r="AL92" s="2090"/>
      <c r="AM92" s="2090"/>
      <c r="AN92" s="2090"/>
      <c r="AO92" s="2090"/>
      <c r="AP92" s="2090"/>
      <c r="AQ92" s="2090"/>
      <c r="AR92" s="2090"/>
      <c r="AS92" s="2090"/>
      <c r="AT92" s="2090"/>
      <c r="AU92" s="2090"/>
      <c r="AV92" s="2090"/>
      <c r="AW92" s="2090"/>
      <c r="AX92" s="2090"/>
      <c r="AY92" s="2093" t="s">
        <v>545</v>
      </c>
      <c r="AZ92" s="2093"/>
      <c r="BA92" s="2093"/>
      <c r="BB92" s="209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4"/>
      <c r="C93" s="2025"/>
      <c r="D93" s="2025"/>
      <c r="E93" s="2025"/>
      <c r="F93" s="2025"/>
      <c r="G93" s="2025"/>
      <c r="H93" s="2025"/>
      <c r="I93" s="2025" t="s">
        <v>2313</v>
      </c>
      <c r="J93" s="2025"/>
      <c r="K93" s="2025"/>
      <c r="L93" s="2025"/>
      <c r="M93" s="2025"/>
      <c r="N93" s="2025"/>
      <c r="O93" s="2025" t="s">
        <v>2290</v>
      </c>
      <c r="P93" s="2025"/>
      <c r="Q93" s="2025"/>
      <c r="R93" s="2025"/>
      <c r="S93" s="2025"/>
      <c r="T93" s="2025"/>
      <c r="U93" s="2025"/>
      <c r="V93" s="2097" t="s">
        <v>2289</v>
      </c>
      <c r="W93" s="2097"/>
      <c r="X93" s="2097"/>
      <c r="Y93" s="2097"/>
      <c r="Z93" s="2097"/>
      <c r="AA93" s="2097"/>
      <c r="AB93" s="2098" t="s">
        <v>2312</v>
      </c>
      <c r="AC93" s="2098"/>
      <c r="AD93" s="2098"/>
      <c r="AE93" s="2098"/>
      <c r="AF93" s="2098"/>
      <c r="AG93" s="2098"/>
      <c r="AH93" s="2099"/>
      <c r="AI93" s="1208"/>
      <c r="AJ93" s="2091"/>
      <c r="AK93" s="2092"/>
      <c r="AL93" s="2092"/>
      <c r="AM93" s="2092"/>
      <c r="AN93" s="2092"/>
      <c r="AO93" s="2092"/>
      <c r="AP93" s="2092"/>
      <c r="AQ93" s="2092"/>
      <c r="AR93" s="2092"/>
      <c r="AS93" s="2092"/>
      <c r="AT93" s="2092"/>
      <c r="AU93" s="2092"/>
      <c r="AV93" s="2092"/>
      <c r="AW93" s="2092"/>
      <c r="AX93" s="2092"/>
      <c r="AY93" s="2095"/>
      <c r="AZ93" s="2095"/>
      <c r="BA93" s="2095"/>
      <c r="BB93" s="209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4"/>
      <c r="C94" s="2025"/>
      <c r="D94" s="2025"/>
      <c r="E94" s="2025"/>
      <c r="F94" s="2025"/>
      <c r="G94" s="2025"/>
      <c r="H94" s="2025"/>
      <c r="I94" s="2025"/>
      <c r="J94" s="2025"/>
      <c r="K94" s="2025"/>
      <c r="L94" s="2025"/>
      <c r="M94" s="2025"/>
      <c r="N94" s="2025"/>
      <c r="O94" s="2025"/>
      <c r="P94" s="2025"/>
      <c r="Q94" s="2025"/>
      <c r="R94" s="2025"/>
      <c r="S94" s="2025"/>
      <c r="T94" s="2025"/>
      <c r="U94" s="2025"/>
      <c r="V94" s="2097"/>
      <c r="W94" s="2097"/>
      <c r="X94" s="2097"/>
      <c r="Y94" s="2097"/>
      <c r="Z94" s="2097"/>
      <c r="AA94" s="2097"/>
      <c r="AB94" s="2098"/>
      <c r="AC94" s="2098"/>
      <c r="AD94" s="2098"/>
      <c r="AE94" s="2098"/>
      <c r="AF94" s="2098"/>
      <c r="AG94" s="2098"/>
      <c r="AH94" s="2099"/>
      <c r="AI94" s="1208"/>
      <c r="AJ94" s="2091"/>
      <c r="AK94" s="2092"/>
      <c r="AL94" s="2092"/>
      <c r="AM94" s="2092"/>
      <c r="AN94" s="2092"/>
      <c r="AO94" s="2092"/>
      <c r="AP94" s="2092"/>
      <c r="AQ94" s="2092"/>
      <c r="AR94" s="2092"/>
      <c r="AS94" s="2092"/>
      <c r="AT94" s="2092"/>
      <c r="AU94" s="2092"/>
      <c r="AV94" s="2092"/>
      <c r="AW94" s="2092"/>
      <c r="AX94" s="2092"/>
      <c r="AY94" s="2095"/>
      <c r="AZ94" s="2095"/>
      <c r="BA94" s="2095"/>
      <c r="BB94" s="209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4" t="s">
        <v>2311</v>
      </c>
      <c r="C95" s="2025"/>
      <c r="D95" s="2025"/>
      <c r="E95" s="2025"/>
      <c r="F95" s="2025"/>
      <c r="G95" s="2025"/>
      <c r="H95" s="2025"/>
      <c r="I95" s="2102">
        <v>0</v>
      </c>
      <c r="J95" s="2102"/>
      <c r="K95" s="2102"/>
      <c r="L95" s="2102"/>
      <c r="M95" s="2102"/>
      <c r="N95" s="2102"/>
      <c r="O95" s="2102">
        <v>0</v>
      </c>
      <c r="P95" s="2102"/>
      <c r="Q95" s="2102"/>
      <c r="R95" s="2102"/>
      <c r="S95" s="2102"/>
      <c r="T95" s="2102"/>
      <c r="U95" s="2102"/>
      <c r="V95" s="2102">
        <v>0</v>
      </c>
      <c r="W95" s="2102"/>
      <c r="X95" s="2102"/>
      <c r="Y95" s="2102"/>
      <c r="Z95" s="2102"/>
      <c r="AA95" s="2102"/>
      <c r="AB95" s="2102">
        <v>0</v>
      </c>
      <c r="AC95" s="2102"/>
      <c r="AD95" s="2102"/>
      <c r="AE95" s="2102"/>
      <c r="AF95" s="2102"/>
      <c r="AG95" s="2102"/>
      <c r="AH95" s="2103"/>
      <c r="AI95" s="1208"/>
      <c r="AJ95" s="2091"/>
      <c r="AK95" s="2092"/>
      <c r="AL95" s="2092"/>
      <c r="AM95" s="2092"/>
      <c r="AN95" s="2092"/>
      <c r="AO95" s="2092"/>
      <c r="AP95" s="2092"/>
      <c r="AQ95" s="2092"/>
      <c r="AR95" s="2092"/>
      <c r="AS95" s="2092"/>
      <c r="AT95" s="2092"/>
      <c r="AU95" s="2092"/>
      <c r="AV95" s="2092"/>
      <c r="AW95" s="2092"/>
      <c r="AX95" s="2092"/>
      <c r="AY95" s="2095"/>
      <c r="AZ95" s="2095"/>
      <c r="BA95" s="2095"/>
      <c r="BB95" s="209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4" t="s">
        <v>2310</v>
      </c>
      <c r="C96" s="2025"/>
      <c r="D96" s="2025"/>
      <c r="E96" s="2025"/>
      <c r="F96" s="2025"/>
      <c r="G96" s="2025"/>
      <c r="H96" s="2025"/>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72" t="s">
        <v>2316</v>
      </c>
      <c r="AK96" s="2073"/>
      <c r="AL96" s="2073"/>
      <c r="AM96" s="2073"/>
      <c r="AN96" s="2073"/>
      <c r="AO96" s="2073"/>
      <c r="AP96" s="2073"/>
      <c r="AQ96" s="2073"/>
      <c r="AR96" s="2073"/>
      <c r="AS96" s="2073"/>
      <c r="AT96" s="2073"/>
      <c r="AU96" s="2073"/>
      <c r="AV96" s="2073"/>
      <c r="AW96" s="2073"/>
      <c r="AX96" s="2073"/>
      <c r="AY96" s="2073"/>
      <c r="AZ96" s="2073"/>
      <c r="BA96" s="2073"/>
      <c r="BB96" s="207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2" t="s">
        <v>2309</v>
      </c>
      <c r="C97" s="2043"/>
      <c r="D97" s="2043"/>
      <c r="E97" s="2043"/>
      <c r="F97" s="2043"/>
      <c r="G97" s="2043"/>
      <c r="H97" s="2043"/>
      <c r="I97" s="2100">
        <v>0</v>
      </c>
      <c r="J97" s="2100"/>
      <c r="K97" s="2100"/>
      <c r="L97" s="2100"/>
      <c r="M97" s="2100"/>
      <c r="N97" s="2100"/>
      <c r="O97" s="2100">
        <v>0</v>
      </c>
      <c r="P97" s="2100"/>
      <c r="Q97" s="2100"/>
      <c r="R97" s="2100"/>
      <c r="S97" s="2100"/>
      <c r="T97" s="2100"/>
      <c r="U97" s="2100"/>
      <c r="V97" s="2100">
        <v>0</v>
      </c>
      <c r="W97" s="2100"/>
      <c r="X97" s="2100"/>
      <c r="Y97" s="2100"/>
      <c r="Z97" s="2100"/>
      <c r="AA97" s="2100"/>
      <c r="AB97" s="2100">
        <v>0</v>
      </c>
      <c r="AC97" s="2100"/>
      <c r="AD97" s="2100"/>
      <c r="AE97" s="2100"/>
      <c r="AF97" s="2100"/>
      <c r="AG97" s="2100"/>
      <c r="AH97" s="2101"/>
      <c r="AI97" s="1208"/>
      <c r="AJ97" s="2075"/>
      <c r="AK97" s="2076"/>
      <c r="AL97" s="2076"/>
      <c r="AM97" s="2076"/>
      <c r="AN97" s="2076"/>
      <c r="AO97" s="2076"/>
      <c r="AP97" s="2076"/>
      <c r="AQ97" s="2076"/>
      <c r="AR97" s="2076"/>
      <c r="AS97" s="2076"/>
      <c r="AT97" s="2076"/>
      <c r="AU97" s="2076"/>
      <c r="AV97" s="2076"/>
      <c r="AW97" s="2076"/>
      <c r="AX97" s="2076"/>
      <c r="AY97" s="2076"/>
      <c r="AZ97" s="2076"/>
      <c r="BA97" s="2076"/>
      <c r="BB97" s="207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8" t="s">
        <v>2314</v>
      </c>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c r="Y102" s="2069"/>
      <c r="Z102" s="2069"/>
      <c r="AA102" s="2069"/>
      <c r="AB102" s="2069"/>
      <c r="AC102" s="2069"/>
      <c r="AD102" s="2069"/>
      <c r="AE102" s="2069"/>
      <c r="AF102" s="2069"/>
      <c r="AG102" s="2069"/>
      <c r="AH102" s="210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4"/>
      <c r="C103" s="2025"/>
      <c r="D103" s="2025"/>
      <c r="E103" s="2025"/>
      <c r="F103" s="2025"/>
      <c r="G103" s="2025"/>
      <c r="H103" s="2025"/>
      <c r="I103" s="2025" t="s">
        <v>2313</v>
      </c>
      <c r="J103" s="2025"/>
      <c r="K103" s="2025"/>
      <c r="L103" s="2025"/>
      <c r="M103" s="2025"/>
      <c r="N103" s="2025"/>
      <c r="O103" s="2025" t="s">
        <v>2290</v>
      </c>
      <c r="P103" s="2025"/>
      <c r="Q103" s="2025"/>
      <c r="R103" s="2025"/>
      <c r="S103" s="2025"/>
      <c r="T103" s="2025"/>
      <c r="U103" s="2025"/>
      <c r="V103" s="2097" t="s">
        <v>2289</v>
      </c>
      <c r="W103" s="2097"/>
      <c r="X103" s="2097"/>
      <c r="Y103" s="2097"/>
      <c r="Z103" s="2097"/>
      <c r="AA103" s="2097"/>
      <c r="AB103" s="2098" t="s">
        <v>2312</v>
      </c>
      <c r="AC103" s="2098"/>
      <c r="AD103" s="2098"/>
      <c r="AE103" s="2098"/>
      <c r="AF103" s="2098"/>
      <c r="AG103" s="2098"/>
      <c r="AH103" s="209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4"/>
      <c r="C104" s="2025"/>
      <c r="D104" s="2025"/>
      <c r="E104" s="2025"/>
      <c r="F104" s="2025"/>
      <c r="G104" s="2025"/>
      <c r="H104" s="2025"/>
      <c r="I104" s="2025"/>
      <c r="J104" s="2025"/>
      <c r="K104" s="2025"/>
      <c r="L104" s="2025"/>
      <c r="M104" s="2025"/>
      <c r="N104" s="2025"/>
      <c r="O104" s="2025"/>
      <c r="P104" s="2025"/>
      <c r="Q104" s="2025"/>
      <c r="R104" s="2025"/>
      <c r="S104" s="2025"/>
      <c r="T104" s="2025"/>
      <c r="U104" s="2025"/>
      <c r="V104" s="2097"/>
      <c r="W104" s="2097"/>
      <c r="X104" s="2097"/>
      <c r="Y104" s="2097"/>
      <c r="Z104" s="2097"/>
      <c r="AA104" s="2097"/>
      <c r="AB104" s="2098"/>
      <c r="AC104" s="2098"/>
      <c r="AD104" s="2098"/>
      <c r="AE104" s="2098"/>
      <c r="AF104" s="2098"/>
      <c r="AG104" s="2098"/>
      <c r="AH104" s="209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4" t="s">
        <v>2311</v>
      </c>
      <c r="C105" s="2025"/>
      <c r="D105" s="2025"/>
      <c r="E105" s="2025"/>
      <c r="F105" s="2025"/>
      <c r="G105" s="2025"/>
      <c r="H105" s="2025"/>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4" t="s">
        <v>2310</v>
      </c>
      <c r="C106" s="2025"/>
      <c r="D106" s="2025"/>
      <c r="E106" s="2025"/>
      <c r="F106" s="2025"/>
      <c r="G106" s="2025"/>
      <c r="H106" s="2025"/>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2" t="s">
        <v>2309</v>
      </c>
      <c r="C107" s="2043"/>
      <c r="D107" s="2043"/>
      <c r="E107" s="2043"/>
      <c r="F107" s="2043"/>
      <c r="G107" s="2043"/>
      <c r="H107" s="2043"/>
      <c r="I107" s="2100">
        <v>0</v>
      </c>
      <c r="J107" s="2100"/>
      <c r="K107" s="2100"/>
      <c r="L107" s="2100"/>
      <c r="M107" s="2100"/>
      <c r="N107" s="2100"/>
      <c r="O107" s="2100">
        <v>0</v>
      </c>
      <c r="P107" s="2100"/>
      <c r="Q107" s="2100"/>
      <c r="R107" s="2100"/>
      <c r="S107" s="2100"/>
      <c r="T107" s="2100"/>
      <c r="U107" s="2100"/>
      <c r="V107" s="2100">
        <v>0</v>
      </c>
      <c r="W107" s="2100"/>
      <c r="X107" s="2100"/>
      <c r="Y107" s="2100"/>
      <c r="Z107" s="2100"/>
      <c r="AA107" s="2100"/>
      <c r="AB107" s="2100">
        <v>0</v>
      </c>
      <c r="AC107" s="2100"/>
      <c r="AD107" s="2100"/>
      <c r="AE107" s="2100"/>
      <c r="AF107" s="2100"/>
      <c r="AG107" s="2100"/>
      <c r="AH107" s="210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2627</v>
      </c>
      <c r="C112" s="2109"/>
      <c r="D112" s="2109"/>
      <c r="E112" s="2109"/>
      <c r="F112" s="2109"/>
      <c r="G112" s="2109"/>
      <c r="H112" s="2109"/>
      <c r="I112" s="2109"/>
      <c r="J112" s="2109"/>
      <c r="K112" s="2109"/>
      <c r="L112" s="2109"/>
      <c r="M112" s="2109"/>
      <c r="N112" s="2109"/>
      <c r="O112" s="2109"/>
      <c r="P112" s="2109"/>
      <c r="Q112" s="2109"/>
      <c r="R112" s="2109"/>
      <c r="S112" s="2109"/>
      <c r="T112" s="2109"/>
      <c r="U112" s="2112" t="s">
        <v>545</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2627</v>
      </c>
      <c r="C116" s="2117"/>
      <c r="D116" s="2117"/>
      <c r="E116" s="2117"/>
      <c r="F116" s="2117"/>
      <c r="G116" s="2117"/>
      <c r="H116" s="2117"/>
      <c r="I116" s="2117"/>
      <c r="J116" s="2117"/>
      <c r="K116" s="2117"/>
      <c r="L116" s="2117"/>
      <c r="M116" s="2117"/>
      <c r="N116" s="2117"/>
      <c r="O116" s="2117"/>
      <c r="P116" s="2117"/>
      <c r="Q116" s="2117"/>
      <c r="R116" s="2117"/>
      <c r="S116" s="2117"/>
      <c r="T116" s="2117"/>
      <c r="U116" s="2120" t="s">
        <v>545</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9" t="s">
        <v>2306</v>
      </c>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0"/>
      <c r="AY120" s="2090"/>
      <c r="AZ120" s="2090"/>
      <c r="BA120" s="2090"/>
      <c r="BB120" s="2090"/>
      <c r="BC120" s="2090"/>
      <c r="BD120" s="2130"/>
      <c r="BE120" s="1215"/>
    </row>
    <row r="121" spans="1:57" ht="15.75" customHeight="1">
      <c r="A121" s="1208"/>
      <c r="B121" s="2132" t="s">
        <v>1566</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091"/>
      <c r="Y121" s="2092"/>
      <c r="Z121" s="2092"/>
      <c r="AA121" s="2092"/>
      <c r="AB121" s="2092"/>
      <c r="AC121" s="2092"/>
      <c r="AD121" s="2092"/>
      <c r="AE121" s="2092"/>
      <c r="AF121" s="2092"/>
      <c r="AG121" s="2092"/>
      <c r="AH121" s="2092"/>
      <c r="AI121" s="2092"/>
      <c r="AJ121" s="2092"/>
      <c r="AK121" s="2092"/>
      <c r="AL121" s="2092"/>
      <c r="AM121" s="2092"/>
      <c r="AN121" s="2092"/>
      <c r="AO121" s="2092"/>
      <c r="AP121" s="2092"/>
      <c r="AQ121" s="2092"/>
      <c r="AR121" s="2092"/>
      <c r="AS121" s="2092"/>
      <c r="AT121" s="2092"/>
      <c r="AU121" s="2092"/>
      <c r="AV121" s="2092"/>
      <c r="AW121" s="2092"/>
      <c r="AX121" s="2092"/>
      <c r="AY121" s="2092"/>
      <c r="AZ121" s="2092"/>
      <c r="BA121" s="2092"/>
      <c r="BB121" s="2092"/>
      <c r="BC121" s="2092"/>
      <c r="BD121" s="2131"/>
      <c r="BE121" s="1215"/>
    </row>
    <row r="122" spans="1:57" ht="15.75" customHeight="1">
      <c r="A122" s="1208"/>
      <c r="B122" s="2150"/>
      <c r="C122" s="2151"/>
      <c r="D122" s="2151"/>
      <c r="E122" s="2151"/>
      <c r="F122" s="2151"/>
      <c r="G122" s="2151"/>
      <c r="H122" s="2151"/>
      <c r="I122" s="2025" t="s">
        <v>2305</v>
      </c>
      <c r="J122" s="2025"/>
      <c r="K122" s="2025"/>
      <c r="L122" s="2025"/>
      <c r="M122" s="2025"/>
      <c r="N122" s="2025"/>
      <c r="O122" s="2154" t="s">
        <v>2304</v>
      </c>
      <c r="P122" s="2154"/>
      <c r="Q122" s="2154"/>
      <c r="R122" s="2154"/>
      <c r="S122" s="2154"/>
      <c r="T122" s="2154"/>
      <c r="U122" s="2155"/>
      <c r="V122" s="1208"/>
      <c r="W122" s="1208"/>
      <c r="X122" s="2072" t="s">
        <v>2274</v>
      </c>
      <c r="Y122" s="2073"/>
      <c r="Z122" s="2073"/>
      <c r="AA122" s="2073"/>
      <c r="AB122" s="2073"/>
      <c r="AC122" s="2073"/>
      <c r="AD122" s="2073"/>
      <c r="AE122" s="2073"/>
      <c r="AF122" s="2073"/>
      <c r="AG122" s="2073"/>
      <c r="AH122" s="2073"/>
      <c r="AI122" s="2073"/>
      <c r="AJ122" s="2073"/>
      <c r="AK122" s="2073"/>
      <c r="AL122" s="2073"/>
      <c r="AM122" s="2073"/>
      <c r="AN122" s="2073"/>
      <c r="AO122" s="2073"/>
      <c r="AP122" s="2073"/>
      <c r="AQ122" s="2073"/>
      <c r="AR122" s="2073"/>
      <c r="AS122" s="2073"/>
      <c r="AT122" s="2073"/>
      <c r="AU122" s="2073"/>
      <c r="AV122" s="2073"/>
      <c r="AW122" s="2073"/>
      <c r="AX122" s="2073"/>
      <c r="AY122" s="2073"/>
      <c r="AZ122" s="2073"/>
      <c r="BA122" s="2073"/>
      <c r="BB122" s="2073"/>
      <c r="BC122" s="2073"/>
      <c r="BD122" s="2074"/>
      <c r="BE122" s="1215"/>
    </row>
    <row r="123" spans="1:57" ht="15.75" customHeight="1">
      <c r="A123" s="1208"/>
      <c r="B123" s="2124" t="s">
        <v>2288</v>
      </c>
      <c r="C123" s="2125"/>
      <c r="D123" s="2125"/>
      <c r="E123" s="2125"/>
      <c r="F123" s="2125"/>
      <c r="G123" s="2125"/>
      <c r="H123" s="2125"/>
      <c r="I123" s="2102">
        <v>0</v>
      </c>
      <c r="J123" s="2102"/>
      <c r="K123" s="2102"/>
      <c r="L123" s="2102"/>
      <c r="M123" s="2102"/>
      <c r="N123" s="2102"/>
      <c r="O123" s="2102">
        <v>0</v>
      </c>
      <c r="P123" s="2102"/>
      <c r="Q123" s="2102"/>
      <c r="R123" s="2102"/>
      <c r="S123" s="2102"/>
      <c r="T123" s="2102"/>
      <c r="U123" s="2103"/>
      <c r="V123" s="1208"/>
      <c r="W123" s="1208"/>
      <c r="X123" s="2072"/>
      <c r="Y123" s="2073"/>
      <c r="Z123" s="2073"/>
      <c r="AA123" s="2073"/>
      <c r="AB123" s="2073"/>
      <c r="AC123" s="2073"/>
      <c r="AD123" s="2073"/>
      <c r="AE123" s="2073"/>
      <c r="AF123" s="2073"/>
      <c r="AG123" s="2073"/>
      <c r="AH123" s="2073"/>
      <c r="AI123" s="2073"/>
      <c r="AJ123" s="2073"/>
      <c r="AK123" s="2073"/>
      <c r="AL123" s="2073"/>
      <c r="AM123" s="2073"/>
      <c r="AN123" s="2073"/>
      <c r="AO123" s="2073"/>
      <c r="AP123" s="2073"/>
      <c r="AQ123" s="2073"/>
      <c r="AR123" s="2073"/>
      <c r="AS123" s="2073"/>
      <c r="AT123" s="2073"/>
      <c r="AU123" s="2073"/>
      <c r="AV123" s="2073"/>
      <c r="AW123" s="2073"/>
      <c r="AX123" s="2073"/>
      <c r="AY123" s="2073"/>
      <c r="AZ123" s="2073"/>
      <c r="BA123" s="2073"/>
      <c r="BB123" s="2073"/>
      <c r="BC123" s="2073"/>
      <c r="BD123" s="2074"/>
      <c r="BE123" s="1215"/>
    </row>
    <row r="124" spans="1:57" ht="15.75" customHeight="1" thickBot="1">
      <c r="A124" s="1208"/>
      <c r="B124" s="2126" t="s">
        <v>2287</v>
      </c>
      <c r="C124" s="2127"/>
      <c r="D124" s="2127"/>
      <c r="E124" s="2127"/>
      <c r="F124" s="2127"/>
      <c r="G124" s="2127"/>
      <c r="H124" s="2127"/>
      <c r="I124" s="2100">
        <v>0</v>
      </c>
      <c r="J124" s="2100"/>
      <c r="K124" s="2100"/>
      <c r="L124" s="2100"/>
      <c r="M124" s="2100"/>
      <c r="N124" s="2100"/>
      <c r="O124" s="2128"/>
      <c r="P124" s="2128"/>
      <c r="Q124" s="2128"/>
      <c r="R124" s="2128"/>
      <c r="S124" s="2128"/>
      <c r="T124" s="2128"/>
      <c r="U124" s="2129"/>
      <c r="V124" s="1208"/>
      <c r="W124" s="1208"/>
      <c r="X124" s="2072"/>
      <c r="Y124" s="2073"/>
      <c r="Z124" s="2073"/>
      <c r="AA124" s="2073"/>
      <c r="AB124" s="2073"/>
      <c r="AC124" s="2073"/>
      <c r="AD124" s="2073"/>
      <c r="AE124" s="2073"/>
      <c r="AF124" s="2073"/>
      <c r="AG124" s="2073"/>
      <c r="AH124" s="2073"/>
      <c r="AI124" s="2073"/>
      <c r="AJ124" s="2073"/>
      <c r="AK124" s="2073"/>
      <c r="AL124" s="2073"/>
      <c r="AM124" s="2073"/>
      <c r="AN124" s="2073"/>
      <c r="AO124" s="2073"/>
      <c r="AP124" s="2073"/>
      <c r="AQ124" s="2073"/>
      <c r="AR124" s="2073"/>
      <c r="AS124" s="2073"/>
      <c r="AT124" s="2073"/>
      <c r="AU124" s="2073"/>
      <c r="AV124" s="2073"/>
      <c r="AW124" s="2073"/>
      <c r="AX124" s="2073"/>
      <c r="AY124" s="2073"/>
      <c r="AZ124" s="2073"/>
      <c r="BA124" s="2073"/>
      <c r="BB124" s="2073"/>
      <c r="BC124" s="2073"/>
      <c r="BD124" s="207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2"/>
      <c r="Y125" s="2073"/>
      <c r="Z125" s="2073"/>
      <c r="AA125" s="2073"/>
      <c r="AB125" s="2073"/>
      <c r="AC125" s="2073"/>
      <c r="AD125" s="2073"/>
      <c r="AE125" s="2073"/>
      <c r="AF125" s="2073"/>
      <c r="AG125" s="2073"/>
      <c r="AH125" s="2073"/>
      <c r="AI125" s="2073"/>
      <c r="AJ125" s="2073"/>
      <c r="AK125" s="2073"/>
      <c r="AL125" s="2073"/>
      <c r="AM125" s="2073"/>
      <c r="AN125" s="2073"/>
      <c r="AO125" s="2073"/>
      <c r="AP125" s="2073"/>
      <c r="AQ125" s="2073"/>
      <c r="AR125" s="2073"/>
      <c r="AS125" s="2073"/>
      <c r="AT125" s="2073"/>
      <c r="AU125" s="2073"/>
      <c r="AV125" s="2073"/>
      <c r="AW125" s="2073"/>
      <c r="AX125" s="2073"/>
      <c r="AY125" s="2073"/>
      <c r="AZ125" s="2073"/>
      <c r="BA125" s="2073"/>
      <c r="BB125" s="2073"/>
      <c r="BC125" s="2073"/>
      <c r="BD125" s="2074"/>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2"/>
      <c r="Y126" s="2073"/>
      <c r="Z126" s="2073"/>
      <c r="AA126" s="2073"/>
      <c r="AB126" s="2073"/>
      <c r="AC126" s="2073"/>
      <c r="AD126" s="2073"/>
      <c r="AE126" s="2073"/>
      <c r="AF126" s="2073"/>
      <c r="AG126" s="2073"/>
      <c r="AH126" s="2073"/>
      <c r="AI126" s="2073"/>
      <c r="AJ126" s="2073"/>
      <c r="AK126" s="2073"/>
      <c r="AL126" s="2073"/>
      <c r="AM126" s="2073"/>
      <c r="AN126" s="2073"/>
      <c r="AO126" s="2073"/>
      <c r="AP126" s="2073"/>
      <c r="AQ126" s="2073"/>
      <c r="AR126" s="2073"/>
      <c r="AS126" s="2073"/>
      <c r="AT126" s="2073"/>
      <c r="AU126" s="2073"/>
      <c r="AV126" s="2073"/>
      <c r="AW126" s="2073"/>
      <c r="AX126" s="2073"/>
      <c r="AY126" s="2073"/>
      <c r="AZ126" s="2073"/>
      <c r="BA126" s="2073"/>
      <c r="BB126" s="2073"/>
      <c r="BC126" s="2073"/>
      <c r="BD126" s="207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2"/>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215"/>
    </row>
    <row r="128" spans="1:57" ht="15.75" customHeight="1">
      <c r="A128" s="1208"/>
      <c r="B128" s="1926" t="s">
        <v>2302</v>
      </c>
      <c r="C128" s="1927"/>
      <c r="D128" s="1927"/>
      <c r="E128" s="1927"/>
      <c r="F128" s="1927"/>
      <c r="G128" s="1927"/>
      <c r="H128" s="1927"/>
      <c r="I128" s="1927"/>
      <c r="J128" s="1927"/>
      <c r="K128" s="1927"/>
      <c r="L128" s="1927"/>
      <c r="M128" s="1927"/>
      <c r="N128" s="1927"/>
      <c r="O128" s="1927"/>
      <c r="P128" s="1927"/>
      <c r="Q128" s="1927"/>
      <c r="R128" s="1927"/>
      <c r="S128" s="1927"/>
      <c r="T128" s="1927"/>
      <c r="U128" s="1928"/>
      <c r="V128" s="1208"/>
      <c r="W128" s="1208"/>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215"/>
    </row>
    <row r="129" spans="1:57" ht="15.75" customHeight="1">
      <c r="A129" s="1208"/>
      <c r="B129" s="2150"/>
      <c r="C129" s="2151"/>
      <c r="D129" s="2151"/>
      <c r="E129" s="2151"/>
      <c r="F129" s="2151"/>
      <c r="G129" s="2151"/>
      <c r="H129" s="2151"/>
      <c r="I129" s="2152" t="s">
        <v>2290</v>
      </c>
      <c r="J129" s="2152"/>
      <c r="K129" s="2152"/>
      <c r="L129" s="2152"/>
      <c r="M129" s="2152"/>
      <c r="N129" s="2152"/>
      <c r="O129" s="2152"/>
      <c r="P129" s="2152" t="s">
        <v>2289</v>
      </c>
      <c r="Q129" s="2152"/>
      <c r="R129" s="2152"/>
      <c r="S129" s="2152"/>
      <c r="T129" s="2152"/>
      <c r="U129" s="2153"/>
      <c r="V129" s="1208"/>
      <c r="W129" s="1208"/>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215"/>
    </row>
    <row r="130" spans="1:57" ht="15.75" customHeight="1">
      <c r="A130" s="1208"/>
      <c r="B130" s="2150"/>
      <c r="C130" s="2151"/>
      <c r="D130" s="2151"/>
      <c r="E130" s="2151"/>
      <c r="F130" s="2151"/>
      <c r="G130" s="2151"/>
      <c r="H130" s="2151"/>
      <c r="I130" s="2152"/>
      <c r="J130" s="2152"/>
      <c r="K130" s="2152"/>
      <c r="L130" s="2152"/>
      <c r="M130" s="2152"/>
      <c r="N130" s="2152"/>
      <c r="O130" s="2152"/>
      <c r="P130" s="2152"/>
      <c r="Q130" s="2152"/>
      <c r="R130" s="2152"/>
      <c r="S130" s="2152"/>
      <c r="T130" s="2152"/>
      <c r="U130" s="2153"/>
      <c r="V130" s="1208"/>
      <c r="W130" s="1208"/>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215"/>
    </row>
    <row r="131" spans="1:57" ht="15.75" customHeight="1">
      <c r="A131" s="1208"/>
      <c r="B131" s="2124" t="s">
        <v>2288</v>
      </c>
      <c r="C131" s="2125"/>
      <c r="D131" s="2125"/>
      <c r="E131" s="2125"/>
      <c r="F131" s="2125"/>
      <c r="G131" s="2125"/>
      <c r="H131" s="2125"/>
      <c r="I131" s="2102">
        <v>0</v>
      </c>
      <c r="J131" s="2102"/>
      <c r="K131" s="2102"/>
      <c r="L131" s="2102"/>
      <c r="M131" s="2102"/>
      <c r="N131" s="2102"/>
      <c r="O131" s="2102"/>
      <c r="P131" s="2102">
        <v>0</v>
      </c>
      <c r="Q131" s="2102"/>
      <c r="R131" s="2102"/>
      <c r="S131" s="2102"/>
      <c r="T131" s="2102"/>
      <c r="U131" s="2103"/>
      <c r="V131" s="1208"/>
      <c r="W131" s="1208"/>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215"/>
    </row>
    <row r="132" spans="1:57" ht="15.75" customHeight="1" thickBot="1">
      <c r="A132" s="1208"/>
      <c r="B132" s="2126" t="s">
        <v>2287</v>
      </c>
      <c r="C132" s="2127"/>
      <c r="D132" s="2127"/>
      <c r="E132" s="2127"/>
      <c r="F132" s="2127"/>
      <c r="G132" s="2127"/>
      <c r="H132" s="2127"/>
      <c r="I132" s="2100">
        <v>0</v>
      </c>
      <c r="J132" s="2100"/>
      <c r="K132" s="2100"/>
      <c r="L132" s="2100"/>
      <c r="M132" s="2100"/>
      <c r="N132" s="2100"/>
      <c r="O132" s="2100"/>
      <c r="P132" s="2100">
        <v>0</v>
      </c>
      <c r="Q132" s="2100"/>
      <c r="R132" s="2100"/>
      <c r="S132" s="2100"/>
      <c r="T132" s="2100"/>
      <c r="U132" s="2101"/>
      <c r="V132" s="1208"/>
      <c r="W132" s="1208"/>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8" t="s">
        <v>2301</v>
      </c>
      <c r="C134" s="2149"/>
      <c r="D134" s="2149"/>
      <c r="E134" s="2149"/>
      <c r="F134" s="2149"/>
      <c r="G134" s="2149"/>
      <c r="H134" s="2149"/>
      <c r="I134" s="2149"/>
      <c r="J134" s="2149"/>
      <c r="K134" s="2149"/>
      <c r="L134" s="2149"/>
      <c r="M134" s="2149"/>
      <c r="N134" s="2149"/>
      <c r="O134" s="2149"/>
      <c r="P134" s="2149"/>
      <c r="Q134" s="2149"/>
      <c r="R134" s="2149"/>
      <c r="S134" s="2149"/>
      <c r="T134" s="2149"/>
      <c r="U134" s="2149"/>
      <c r="V134" s="2149"/>
      <c r="W134" s="2149"/>
      <c r="X134" s="2149"/>
      <c r="Y134" s="2149"/>
      <c r="Z134" s="2149"/>
      <c r="AA134" s="2149"/>
      <c r="AB134" s="2149"/>
      <c r="AC134" s="2149"/>
      <c r="AD134" s="2149"/>
      <c r="AE134" s="2149"/>
      <c r="AF134" s="2149"/>
      <c r="AG134" s="2149"/>
      <c r="AH134" s="2049" t="s">
        <v>545</v>
      </c>
      <c r="AI134" s="2049"/>
      <c r="AJ134" s="2049"/>
      <c r="AK134" s="2049"/>
      <c r="AL134" s="2049"/>
      <c r="AM134" s="2049"/>
      <c r="AN134" s="2049"/>
      <c r="AO134" s="2049"/>
      <c r="AP134" s="2049"/>
      <c r="AQ134" s="2049"/>
      <c r="AR134" s="2049"/>
      <c r="AS134" s="2049"/>
      <c r="AT134" s="2049"/>
      <c r="AU134" s="2049"/>
      <c r="AV134" s="2049"/>
      <c r="AW134" s="2049"/>
      <c r="AX134" s="2050"/>
      <c r="AY134" s="1208"/>
      <c r="AZ134" s="1208"/>
      <c r="BA134" s="1208"/>
      <c r="BB134" s="1208"/>
      <c r="BC134" s="1208"/>
      <c r="BD134" s="1208"/>
      <c r="BE134" s="1215"/>
    </row>
    <row r="135" spans="1:57" ht="15.75" customHeight="1" thickBot="1">
      <c r="A135" s="1208"/>
      <c r="B135" s="2135" t="s">
        <v>2300</v>
      </c>
      <c r="C135" s="2136"/>
      <c r="D135" s="2136"/>
      <c r="E135" s="2136"/>
      <c r="F135" s="2136"/>
      <c r="G135" s="2136"/>
      <c r="H135" s="2136"/>
      <c r="I135" s="2136"/>
      <c r="J135" s="2136"/>
      <c r="K135" s="2136"/>
      <c r="L135" s="2136"/>
      <c r="M135" s="2136"/>
      <c r="N135" s="2136"/>
      <c r="O135" s="2136"/>
      <c r="P135" s="2136"/>
      <c r="Q135" s="2136"/>
      <c r="R135" s="2136"/>
      <c r="S135" s="2136"/>
      <c r="T135" s="2136"/>
      <c r="U135" s="2136"/>
      <c r="V135" s="2136"/>
      <c r="W135" s="2136"/>
      <c r="X135" s="2136"/>
      <c r="Y135" s="2136"/>
      <c r="Z135" s="2136"/>
      <c r="AA135" s="2136"/>
      <c r="AB135" s="2136"/>
      <c r="AC135" s="2136"/>
      <c r="AD135" s="2136"/>
      <c r="AE135" s="2136"/>
      <c r="AF135" s="2136"/>
      <c r="AG135" s="2137"/>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135" t="s">
        <v>2299</v>
      </c>
      <c r="C136" s="2136"/>
      <c r="D136" s="2136"/>
      <c r="E136" s="2136"/>
      <c r="F136" s="2136"/>
      <c r="G136" s="2136"/>
      <c r="H136" s="2136"/>
      <c r="I136" s="2136"/>
      <c r="J136" s="2136"/>
      <c r="K136" s="2136"/>
      <c r="L136" s="2136"/>
      <c r="M136" s="2136"/>
      <c r="N136" s="2136"/>
      <c r="O136" s="2136"/>
      <c r="P136" s="2136"/>
      <c r="Q136" s="2136"/>
      <c r="R136" s="2136"/>
      <c r="S136" s="2136"/>
      <c r="T136" s="2136"/>
      <c r="U136" s="2136"/>
      <c r="V136" s="2136"/>
      <c r="W136" s="2136"/>
      <c r="X136" s="2136"/>
      <c r="Y136" s="2136"/>
      <c r="Z136" s="2136"/>
      <c r="AA136" s="2136"/>
      <c r="AB136" s="2136"/>
      <c r="AC136" s="2136"/>
      <c r="AD136" s="2136"/>
      <c r="AE136" s="2136"/>
      <c r="AF136" s="2136"/>
      <c r="AG136" s="2137"/>
      <c r="AH136" s="2049" t="s">
        <v>545</v>
      </c>
      <c r="AI136" s="2049"/>
      <c r="AJ136" s="2049"/>
      <c r="AK136" s="2049"/>
      <c r="AL136" s="2049"/>
      <c r="AM136" s="2049"/>
      <c r="AN136" s="2049"/>
      <c r="AO136" s="2049"/>
      <c r="AP136" s="2049"/>
      <c r="AQ136" s="2049"/>
      <c r="AR136" s="2049"/>
      <c r="AS136" s="2049"/>
      <c r="AT136" s="2049"/>
      <c r="AU136" s="2049"/>
      <c r="AV136" s="2049"/>
      <c r="AW136" s="2049"/>
      <c r="AX136" s="2050"/>
      <c r="AY136" s="1208"/>
      <c r="AZ136" s="1208"/>
      <c r="BA136" s="1208"/>
      <c r="BB136" s="1208"/>
      <c r="BC136" s="1208"/>
      <c r="BD136" s="1208"/>
      <c r="BE136" s="1215"/>
    </row>
    <row r="137" spans="1:57" ht="15.75" customHeight="1">
      <c r="A137" s="1208"/>
      <c r="B137" s="2138" t="s">
        <v>2298</v>
      </c>
      <c r="C137" s="2139"/>
      <c r="D137" s="2139"/>
      <c r="E137" s="2139"/>
      <c r="F137" s="2139"/>
      <c r="G137" s="2139"/>
      <c r="H137" s="2139"/>
      <c r="I137" s="2139"/>
      <c r="J137" s="2139"/>
      <c r="K137" s="2139"/>
      <c r="L137" s="2139"/>
      <c r="M137" s="2139"/>
      <c r="N137" s="2139"/>
      <c r="O137" s="2139"/>
      <c r="P137" s="2139"/>
      <c r="Q137" s="2139"/>
      <c r="R137" s="2140" t="s">
        <v>2297</v>
      </c>
      <c r="S137" s="2140"/>
      <c r="T137" s="2140"/>
      <c r="U137" s="2140"/>
      <c r="V137" s="2140"/>
      <c r="W137" s="2140"/>
      <c r="X137" s="2140"/>
      <c r="Y137" s="2140"/>
      <c r="Z137" s="2140"/>
      <c r="AA137" s="2140"/>
      <c r="AB137" s="2140"/>
      <c r="AC137" s="2140"/>
      <c r="AD137" s="2140"/>
      <c r="AE137" s="2140"/>
      <c r="AF137" s="2140"/>
      <c r="AG137" s="2140"/>
      <c r="AH137" s="2140"/>
      <c r="AI137" s="2140"/>
      <c r="AJ137" s="2140"/>
      <c r="AK137" s="2140"/>
      <c r="AL137" s="2140"/>
      <c r="AM137" s="2140"/>
      <c r="AN137" s="2140"/>
      <c r="AO137" s="2140"/>
      <c r="AP137" s="2140"/>
      <c r="AQ137" s="2140"/>
      <c r="AR137" s="2140"/>
      <c r="AS137" s="2140"/>
      <c r="AT137" s="2140"/>
      <c r="AU137" s="2140"/>
      <c r="AV137" s="2140"/>
      <c r="AW137" s="2140"/>
      <c r="AX137" s="2141"/>
      <c r="AY137" s="1208"/>
      <c r="AZ137" s="1208"/>
      <c r="BA137" s="1208"/>
      <c r="BB137" s="1208"/>
      <c r="BC137" s="1208" t="s">
        <v>250</v>
      </c>
      <c r="BD137" s="1208"/>
      <c r="BE137" s="1215"/>
    </row>
    <row r="138" spans="1:57" ht="15.75" customHeight="1">
      <c r="A138" s="1208"/>
      <c r="B138" s="2142" t="s">
        <v>2296</v>
      </c>
      <c r="C138" s="2143"/>
      <c r="D138" s="2143"/>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c r="AD138" s="2143"/>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4"/>
      <c r="AY138" s="1208"/>
      <c r="AZ138" s="1208"/>
      <c r="BA138" s="1208"/>
      <c r="BB138" s="1208"/>
      <c r="BC138" s="1208"/>
      <c r="BD138" s="1208"/>
      <c r="BE138" s="1215"/>
    </row>
    <row r="139" spans="1:57" ht="15.75" customHeight="1">
      <c r="A139" s="1208"/>
      <c r="B139" s="2142"/>
      <c r="C139" s="2143"/>
      <c r="D139" s="2143"/>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Y139" s="2143"/>
      <c r="Z139" s="2143"/>
      <c r="AA139" s="2143"/>
      <c r="AB139" s="2143"/>
      <c r="AC139" s="2143"/>
      <c r="AD139" s="2143"/>
      <c r="AE139" s="2143"/>
      <c r="AF139" s="2143"/>
      <c r="AG139" s="2143"/>
      <c r="AH139" s="2143"/>
      <c r="AI139" s="2143"/>
      <c r="AJ139" s="2143"/>
      <c r="AK139" s="2143"/>
      <c r="AL139" s="2143"/>
      <c r="AM139" s="2143"/>
      <c r="AN139" s="2143"/>
      <c r="AO139" s="2143"/>
      <c r="AP139" s="2143"/>
      <c r="AQ139" s="2143"/>
      <c r="AR139" s="2143"/>
      <c r="AS139" s="2143"/>
      <c r="AT139" s="2143"/>
      <c r="AU139" s="2143"/>
      <c r="AV139" s="2143"/>
      <c r="AW139" s="2143"/>
      <c r="AX139" s="2144"/>
      <c r="AY139" s="1208"/>
      <c r="AZ139" s="1208"/>
      <c r="BA139" s="1208"/>
      <c r="BB139" s="1208"/>
      <c r="BC139" s="1208"/>
      <c r="BD139" s="1208"/>
      <c r="BE139" s="1215"/>
    </row>
    <row r="140" spans="1:57" ht="15.75" customHeight="1">
      <c r="A140" s="1208"/>
      <c r="B140" s="2142"/>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3"/>
      <c r="AH140" s="2143"/>
      <c r="AI140" s="2143"/>
      <c r="AJ140" s="2143"/>
      <c r="AK140" s="2143"/>
      <c r="AL140" s="2143"/>
      <c r="AM140" s="2143"/>
      <c r="AN140" s="2143"/>
      <c r="AO140" s="2143"/>
      <c r="AP140" s="2143"/>
      <c r="AQ140" s="2143"/>
      <c r="AR140" s="2143"/>
      <c r="AS140" s="2143"/>
      <c r="AT140" s="2143"/>
      <c r="AU140" s="2143"/>
      <c r="AV140" s="2143"/>
      <c r="AW140" s="2143"/>
      <c r="AX140" s="2144"/>
      <c r="AY140" s="1208"/>
      <c r="AZ140" s="1208"/>
      <c r="BA140" s="1208"/>
      <c r="BB140" s="1208"/>
      <c r="BC140" s="1208"/>
      <c r="BD140" s="1208"/>
      <c r="BE140" s="1215"/>
    </row>
    <row r="141" spans="1:57" ht="15.75" customHeight="1">
      <c r="A141" s="1208"/>
      <c r="B141" s="2142"/>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4"/>
      <c r="AY141" s="1208"/>
      <c r="AZ141" s="1208"/>
      <c r="BA141" s="1208"/>
      <c r="BB141" s="1208"/>
      <c r="BC141" s="1208"/>
      <c r="BD141" s="1208"/>
      <c r="BE141" s="1215"/>
    </row>
    <row r="142" spans="1:57" ht="15.75" customHeight="1">
      <c r="A142" s="1208"/>
      <c r="B142" s="2142"/>
      <c r="C142" s="2143"/>
      <c r="D142" s="2143"/>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208"/>
      <c r="AZ142" s="1208"/>
      <c r="BA142" s="1208"/>
      <c r="BB142" s="1208"/>
      <c r="BC142" s="1208"/>
      <c r="BD142" s="1208"/>
      <c r="BE142" s="1215"/>
    </row>
    <row r="143" spans="1:57" ht="15.75" customHeight="1">
      <c r="A143" s="1208"/>
      <c r="B143" s="2142"/>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208"/>
      <c r="AZ143" s="1208"/>
      <c r="BA143" s="1208"/>
      <c r="BB143" s="1208"/>
      <c r="BC143" s="1208"/>
      <c r="BD143" s="1208"/>
      <c r="BE143" s="1215"/>
    </row>
    <row r="144" spans="1:57" ht="15.75" customHeight="1">
      <c r="A144" s="1208"/>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208"/>
      <c r="AZ144" s="1208"/>
      <c r="BA144" s="1208"/>
      <c r="BB144" s="1208"/>
      <c r="BC144" s="1208"/>
      <c r="BD144" s="1208"/>
      <c r="BE144" s="1215"/>
    </row>
    <row r="145" spans="1:57" ht="15.75" customHeight="1">
      <c r="A145" s="1208"/>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208"/>
      <c r="AZ145" s="1208"/>
      <c r="BA145" s="1208"/>
      <c r="BB145" s="1208"/>
      <c r="BC145" s="1208"/>
      <c r="BD145" s="1208"/>
      <c r="BE145" s="1215"/>
    </row>
    <row r="146" spans="1:57" ht="15.75" customHeight="1">
      <c r="A146" s="1208"/>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208"/>
      <c r="AZ146" s="1208"/>
      <c r="BA146" s="1208"/>
      <c r="BB146" s="1208"/>
      <c r="BC146" s="1208"/>
      <c r="BD146" s="1208"/>
      <c r="BE146" s="1215"/>
    </row>
    <row r="147" spans="1:57" ht="15.75" customHeight="1" thickBot="1">
      <c r="A147" s="1208"/>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1" t="s">
        <v>2293</v>
      </c>
      <c r="C151" s="2022"/>
      <c r="D151" s="2022"/>
      <c r="E151" s="2022"/>
      <c r="F151" s="2022"/>
      <c r="G151" s="2022"/>
      <c r="H151" s="2022"/>
      <c r="I151" s="2022"/>
      <c r="J151" s="2022"/>
      <c r="K151" s="2022"/>
      <c r="L151" s="2022"/>
      <c r="M151" s="2022"/>
      <c r="N151" s="2022"/>
      <c r="O151" s="2022"/>
      <c r="P151" s="2022"/>
      <c r="Q151" s="2022"/>
      <c r="R151" s="2022"/>
      <c r="S151" s="2022"/>
      <c r="T151" s="2022"/>
      <c r="U151" s="2023"/>
      <c r="V151" s="1208"/>
      <c r="W151" s="1209"/>
      <c r="X151" s="2021" t="s">
        <v>2292</v>
      </c>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0"/>
      <c r="C152" s="2151"/>
      <c r="D152" s="2151"/>
      <c r="E152" s="2151"/>
      <c r="F152" s="2151"/>
      <c r="G152" s="2151"/>
      <c r="H152" s="2151"/>
      <c r="I152" s="2152" t="s">
        <v>2290</v>
      </c>
      <c r="J152" s="2152"/>
      <c r="K152" s="2152"/>
      <c r="L152" s="2152"/>
      <c r="M152" s="2152"/>
      <c r="N152" s="2152"/>
      <c r="O152" s="2152"/>
      <c r="P152" s="2152" t="s">
        <v>2291</v>
      </c>
      <c r="Q152" s="2152"/>
      <c r="R152" s="2152"/>
      <c r="S152" s="2152"/>
      <c r="T152" s="2152"/>
      <c r="U152" s="2153"/>
      <c r="V152" s="1208"/>
      <c r="W152" s="1208"/>
      <c r="X152" s="2150"/>
      <c r="Y152" s="2151"/>
      <c r="Z152" s="2151"/>
      <c r="AA152" s="2151"/>
      <c r="AB152" s="2151"/>
      <c r="AC152" s="2151"/>
      <c r="AD152" s="2151"/>
      <c r="AE152" s="2152" t="s">
        <v>2290</v>
      </c>
      <c r="AF152" s="2152"/>
      <c r="AG152" s="2152"/>
      <c r="AH152" s="2152"/>
      <c r="AI152" s="2152"/>
      <c r="AJ152" s="2152"/>
      <c r="AK152" s="2152"/>
      <c r="AL152" s="2152" t="s">
        <v>2289</v>
      </c>
      <c r="AM152" s="2152"/>
      <c r="AN152" s="2152"/>
      <c r="AO152" s="2152"/>
      <c r="AP152" s="2152"/>
      <c r="AQ152" s="2153"/>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0"/>
      <c r="C153" s="2151"/>
      <c r="D153" s="2151"/>
      <c r="E153" s="2151"/>
      <c r="F153" s="2151"/>
      <c r="G153" s="2151"/>
      <c r="H153" s="2151"/>
      <c r="I153" s="2152"/>
      <c r="J153" s="2152"/>
      <c r="K153" s="2152"/>
      <c r="L153" s="2152"/>
      <c r="M153" s="2152"/>
      <c r="N153" s="2152"/>
      <c r="O153" s="2152"/>
      <c r="P153" s="2152"/>
      <c r="Q153" s="2152"/>
      <c r="R153" s="2152"/>
      <c r="S153" s="2152"/>
      <c r="T153" s="2152"/>
      <c r="U153" s="2153"/>
      <c r="V153" s="1208"/>
      <c r="W153" s="1208"/>
      <c r="X153" s="2150"/>
      <c r="Y153" s="2151"/>
      <c r="Z153" s="2151"/>
      <c r="AA153" s="2151"/>
      <c r="AB153" s="2151"/>
      <c r="AC153" s="2151"/>
      <c r="AD153" s="2151"/>
      <c r="AE153" s="2152"/>
      <c r="AF153" s="2152"/>
      <c r="AG153" s="2152"/>
      <c r="AH153" s="2152"/>
      <c r="AI153" s="2152"/>
      <c r="AJ153" s="2152"/>
      <c r="AK153" s="2152"/>
      <c r="AL153" s="2152"/>
      <c r="AM153" s="2152"/>
      <c r="AN153" s="2152"/>
      <c r="AO153" s="2152"/>
      <c r="AP153" s="2152"/>
      <c r="AQ153" s="215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4" t="s">
        <v>2288</v>
      </c>
      <c r="C154" s="2125"/>
      <c r="D154" s="2125"/>
      <c r="E154" s="2125"/>
      <c r="F154" s="2125"/>
      <c r="G154" s="2125"/>
      <c r="H154" s="2125"/>
      <c r="I154" s="2102">
        <v>0</v>
      </c>
      <c r="J154" s="2102"/>
      <c r="K154" s="2102"/>
      <c r="L154" s="2102"/>
      <c r="M154" s="2102"/>
      <c r="N154" s="2102"/>
      <c r="O154" s="2102"/>
      <c r="P154" s="2102">
        <v>0</v>
      </c>
      <c r="Q154" s="2102"/>
      <c r="R154" s="2102"/>
      <c r="S154" s="2102"/>
      <c r="T154" s="2102"/>
      <c r="U154" s="2103"/>
      <c r="V154" s="1208"/>
      <c r="W154" s="1208"/>
      <c r="X154" s="2126" t="s">
        <v>2288</v>
      </c>
      <c r="Y154" s="2127"/>
      <c r="Z154" s="2127"/>
      <c r="AA154" s="2127"/>
      <c r="AB154" s="2127"/>
      <c r="AC154" s="2127"/>
      <c r="AD154" s="2127"/>
      <c r="AE154" s="2100">
        <v>0</v>
      </c>
      <c r="AF154" s="2100"/>
      <c r="AG154" s="2100"/>
      <c r="AH154" s="2100"/>
      <c r="AI154" s="2100"/>
      <c r="AJ154" s="2100"/>
      <c r="AK154" s="2100"/>
      <c r="AL154" s="2100">
        <v>0</v>
      </c>
      <c r="AM154" s="2100"/>
      <c r="AN154" s="2100"/>
      <c r="AO154" s="2100"/>
      <c r="AP154" s="2100"/>
      <c r="AQ154" s="210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6" t="s">
        <v>2287</v>
      </c>
      <c r="C155" s="2127"/>
      <c r="D155" s="2127"/>
      <c r="E155" s="2127"/>
      <c r="F155" s="2127"/>
      <c r="G155" s="2127"/>
      <c r="H155" s="2127"/>
      <c r="I155" s="2100">
        <v>0</v>
      </c>
      <c r="J155" s="2100"/>
      <c r="K155" s="2100"/>
      <c r="L155" s="2100"/>
      <c r="M155" s="2100"/>
      <c r="N155" s="2100"/>
      <c r="O155" s="2100"/>
      <c r="P155" s="2100">
        <v>0</v>
      </c>
      <c r="Q155" s="2100"/>
      <c r="R155" s="2100"/>
      <c r="S155" s="2100"/>
      <c r="T155" s="2100"/>
      <c r="U155" s="210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1" t="s">
        <v>2286</v>
      </c>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0" t="s">
        <v>2271</v>
      </c>
      <c r="D158" s="2151"/>
      <c r="E158" s="2151"/>
      <c r="F158" s="2151"/>
      <c r="G158" s="2151"/>
      <c r="H158" s="2151"/>
      <c r="I158" s="2151"/>
      <c r="J158" s="2151"/>
      <c r="K158" s="2151"/>
      <c r="L158" s="2151"/>
      <c r="M158" s="2151"/>
      <c r="N158" s="2151"/>
      <c r="O158" s="2151"/>
      <c r="P158" s="2151"/>
      <c r="Q158" s="2151" t="s">
        <v>2285</v>
      </c>
      <c r="R158" s="2151"/>
      <c r="S158" s="2151"/>
      <c r="T158" s="2098" t="s">
        <v>2284</v>
      </c>
      <c r="U158" s="2098"/>
      <c r="V158" s="2098"/>
      <c r="W158" s="2098"/>
      <c r="X158" s="2098"/>
      <c r="Y158" s="2098"/>
      <c r="Z158" s="2098"/>
      <c r="AA158" s="2098"/>
      <c r="AB158" s="2151" t="s">
        <v>2283</v>
      </c>
      <c r="AC158" s="2151"/>
      <c r="AD158" s="2151"/>
      <c r="AE158" s="2151"/>
      <c r="AF158" s="2151"/>
      <c r="AG158" s="216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6" t="s">
        <v>2282</v>
      </c>
      <c r="D159" s="2157"/>
      <c r="E159" s="2157"/>
      <c r="F159" s="2157"/>
      <c r="G159" s="2157"/>
      <c r="H159" s="2157"/>
      <c r="I159" s="2157"/>
      <c r="J159" s="2157"/>
      <c r="K159" s="2157"/>
      <c r="L159" s="2157"/>
      <c r="M159" s="2157"/>
      <c r="N159" s="2157"/>
      <c r="O159" s="2157"/>
      <c r="P159" s="2157"/>
      <c r="Q159" s="2158">
        <v>55</v>
      </c>
      <c r="R159" s="2158"/>
      <c r="S159" s="2158"/>
      <c r="T159" s="2159"/>
      <c r="U159" s="2159"/>
      <c r="V159" s="2159"/>
      <c r="W159" s="2159"/>
      <c r="X159" s="2159"/>
      <c r="Y159" s="2159"/>
      <c r="Z159" s="2159"/>
      <c r="AA159" s="215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6" t="s">
        <v>2281</v>
      </c>
      <c r="D160" s="2157"/>
      <c r="E160" s="2157"/>
      <c r="F160" s="2157"/>
      <c r="G160" s="2157"/>
      <c r="H160" s="2157"/>
      <c r="I160" s="2157"/>
      <c r="J160" s="2157"/>
      <c r="K160" s="2157"/>
      <c r="L160" s="2157"/>
      <c r="M160" s="2157"/>
      <c r="N160" s="2157"/>
      <c r="O160" s="2157"/>
      <c r="P160" s="2157"/>
      <c r="Q160" s="2158">
        <v>55</v>
      </c>
      <c r="R160" s="2158"/>
      <c r="S160" s="2158"/>
      <c r="T160" s="2160"/>
      <c r="U160" s="2160"/>
      <c r="V160" s="2160"/>
      <c r="W160" s="2160"/>
      <c r="X160" s="2160"/>
      <c r="Y160" s="2160"/>
      <c r="Z160" s="2160"/>
      <c r="AA160" s="21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6" t="s">
        <v>2280</v>
      </c>
      <c r="D161" s="2157"/>
      <c r="E161" s="2157"/>
      <c r="F161" s="2157"/>
      <c r="G161" s="2157"/>
      <c r="H161" s="2157"/>
      <c r="I161" s="2157"/>
      <c r="J161" s="2157"/>
      <c r="K161" s="2157"/>
      <c r="L161" s="2157"/>
      <c r="M161" s="2157"/>
      <c r="N161" s="2157"/>
      <c r="O161" s="2157"/>
      <c r="P161" s="2157"/>
      <c r="Q161" s="2158">
        <v>55</v>
      </c>
      <c r="R161" s="2158"/>
      <c r="S161" s="2158"/>
      <c r="T161" s="2159"/>
      <c r="U161" s="2159"/>
      <c r="V161" s="2159"/>
      <c r="W161" s="2159"/>
      <c r="X161" s="2159"/>
      <c r="Y161" s="2159"/>
      <c r="Z161" s="2159"/>
      <c r="AA161" s="21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6" t="s">
        <v>2279</v>
      </c>
      <c r="D162" s="2157"/>
      <c r="E162" s="2157"/>
      <c r="F162" s="2157"/>
      <c r="G162" s="2157"/>
      <c r="H162" s="2157"/>
      <c r="I162" s="2157"/>
      <c r="J162" s="2157"/>
      <c r="K162" s="2157"/>
      <c r="L162" s="2157"/>
      <c r="M162" s="2157"/>
      <c r="N162" s="2157"/>
      <c r="O162" s="2157"/>
      <c r="P162" s="2157"/>
      <c r="Q162" s="2158">
        <v>55</v>
      </c>
      <c r="R162" s="2158"/>
      <c r="S162" s="2158"/>
      <c r="T162" s="2159"/>
      <c r="U162" s="2159"/>
      <c r="V162" s="2159"/>
      <c r="W162" s="2159"/>
      <c r="X162" s="2159"/>
      <c r="Y162" s="2159"/>
      <c r="Z162" s="2159"/>
      <c r="AA162" s="2159"/>
      <c r="AB162" s="2162">
        <v>0</v>
      </c>
      <c r="AC162" s="2162"/>
      <c r="AD162" s="2162"/>
      <c r="AE162" s="2162"/>
      <c r="AF162" s="2162"/>
      <c r="AG162" s="21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6" t="s">
        <v>170</v>
      </c>
      <c r="D163" s="2157"/>
      <c r="E163" s="2157"/>
      <c r="F163" s="2164" t="s">
        <v>2260</v>
      </c>
      <c r="G163" s="2164"/>
      <c r="H163" s="2164"/>
      <c r="I163" s="2164"/>
      <c r="J163" s="2164"/>
      <c r="K163" s="2164"/>
      <c r="L163" s="2164"/>
      <c r="M163" s="2164"/>
      <c r="N163" s="2164"/>
      <c r="O163" s="2164"/>
      <c r="P163" s="2164"/>
      <c r="Q163" s="2158">
        <v>55</v>
      </c>
      <c r="R163" s="2158"/>
      <c r="S163" s="2158"/>
      <c r="T163" s="2160"/>
      <c r="U163" s="2160"/>
      <c r="V163" s="2160"/>
      <c r="W163" s="2160"/>
      <c r="X163" s="2160"/>
      <c r="Y163" s="2160"/>
      <c r="Z163" s="2160"/>
      <c r="AA163" s="2160"/>
      <c r="AB163" s="2162">
        <v>0</v>
      </c>
      <c r="AC163" s="2162"/>
      <c r="AD163" s="2162"/>
      <c r="AE163" s="2162"/>
      <c r="AF163" s="2162"/>
      <c r="AG163" s="21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6" t="s">
        <v>170</v>
      </c>
      <c r="D164" s="2157"/>
      <c r="E164" s="2157"/>
      <c r="F164" s="2164" t="s">
        <v>2260</v>
      </c>
      <c r="G164" s="2164"/>
      <c r="H164" s="2164"/>
      <c r="I164" s="2164"/>
      <c r="J164" s="2164"/>
      <c r="K164" s="2164"/>
      <c r="L164" s="2164"/>
      <c r="M164" s="2164"/>
      <c r="N164" s="2164"/>
      <c r="O164" s="2164"/>
      <c r="P164" s="2164"/>
      <c r="Q164" s="2158">
        <v>55</v>
      </c>
      <c r="R164" s="2158"/>
      <c r="S164" s="2158"/>
      <c r="T164" s="2160"/>
      <c r="U164" s="2160"/>
      <c r="V164" s="2160"/>
      <c r="W164" s="2160"/>
      <c r="X164" s="2160"/>
      <c r="Y164" s="2160"/>
      <c r="Z164" s="2160"/>
      <c r="AA164" s="2160"/>
      <c r="AB164" s="2162">
        <v>0</v>
      </c>
      <c r="AC164" s="2162"/>
      <c r="AD164" s="2162"/>
      <c r="AE164" s="2162"/>
      <c r="AF164" s="2162"/>
      <c r="AG164" s="21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5" t="s">
        <v>170</v>
      </c>
      <c r="D165" s="2166"/>
      <c r="E165" s="2166"/>
      <c r="F165" s="2167" t="s">
        <v>2260</v>
      </c>
      <c r="G165" s="2167"/>
      <c r="H165" s="2167"/>
      <c r="I165" s="2167"/>
      <c r="J165" s="2167"/>
      <c r="K165" s="2167"/>
      <c r="L165" s="2167"/>
      <c r="M165" s="2167"/>
      <c r="N165" s="2167"/>
      <c r="O165" s="2167"/>
      <c r="P165" s="2167"/>
      <c r="Q165" s="2168">
        <v>55</v>
      </c>
      <c r="R165" s="2168"/>
      <c r="S165" s="2168"/>
      <c r="T165" s="2169"/>
      <c r="U165" s="2169"/>
      <c r="V165" s="2169"/>
      <c r="W165" s="2169"/>
      <c r="X165" s="2169"/>
      <c r="Y165" s="2169"/>
      <c r="Z165" s="2169"/>
      <c r="AA165" s="2169"/>
      <c r="AB165" s="2170">
        <v>0</v>
      </c>
      <c r="AC165" s="2170"/>
      <c r="AD165" s="2170"/>
      <c r="AE165" s="2170"/>
      <c r="AF165" s="2170"/>
      <c r="AG165" s="21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8" t="s">
        <v>2278</v>
      </c>
      <c r="D167" s="2069"/>
      <c r="E167" s="2069"/>
      <c r="F167" s="2069"/>
      <c r="G167" s="2069"/>
      <c r="H167" s="2069"/>
      <c r="I167" s="2069"/>
      <c r="J167" s="2069"/>
      <c r="K167" s="2069"/>
      <c r="L167" s="2069"/>
      <c r="M167" s="2069"/>
      <c r="N167" s="2107"/>
      <c r="O167" s="1208"/>
      <c r="P167" s="2172" t="s">
        <v>2277</v>
      </c>
      <c r="Q167" s="2173"/>
      <c r="R167" s="2173"/>
      <c r="S167" s="2173"/>
      <c r="T167" s="2173"/>
      <c r="U167" s="2173"/>
      <c r="V167" s="2173"/>
      <c r="W167" s="2173"/>
      <c r="X167" s="2173"/>
      <c r="Y167" s="2173"/>
      <c r="Z167" s="2173"/>
      <c r="AA167" s="2173"/>
      <c r="AB167" s="2173"/>
      <c r="AC167" s="2173"/>
      <c r="AD167" s="2173"/>
      <c r="AE167" s="2173"/>
      <c r="AF167" s="2173"/>
      <c r="AG167" s="2173"/>
      <c r="AH167" s="2173"/>
      <c r="AI167" s="2173"/>
      <c r="AJ167" s="2173"/>
      <c r="AK167" s="2173"/>
      <c r="AL167" s="2173"/>
      <c r="AM167" s="2173"/>
      <c r="AN167" s="2173"/>
      <c r="AO167" s="217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0" t="s">
        <v>2276</v>
      </c>
      <c r="D168" s="2151"/>
      <c r="E168" s="2151"/>
      <c r="F168" s="2151"/>
      <c r="G168" s="2151"/>
      <c r="H168" s="2151"/>
      <c r="I168" s="2151" t="s">
        <v>2275</v>
      </c>
      <c r="J168" s="2151"/>
      <c r="K168" s="2151"/>
      <c r="L168" s="2151"/>
      <c r="M168" s="2151"/>
      <c r="N168" s="2161"/>
      <c r="O168" s="1208"/>
      <c r="P168" s="2072" t="s">
        <v>2274</v>
      </c>
      <c r="Q168" s="2073"/>
      <c r="R168" s="2073"/>
      <c r="S168" s="2073"/>
      <c r="T168" s="2073"/>
      <c r="U168" s="2073"/>
      <c r="V168" s="2073"/>
      <c r="W168" s="2073"/>
      <c r="X168" s="2073"/>
      <c r="Y168" s="2073"/>
      <c r="Z168" s="2073"/>
      <c r="AA168" s="2073"/>
      <c r="AB168" s="2073"/>
      <c r="AC168" s="2073"/>
      <c r="AD168" s="2073"/>
      <c r="AE168" s="2073"/>
      <c r="AF168" s="2073"/>
      <c r="AG168" s="2073"/>
      <c r="AH168" s="2073"/>
      <c r="AI168" s="2073"/>
      <c r="AJ168" s="2073"/>
      <c r="AK168" s="2073"/>
      <c r="AL168" s="2073"/>
      <c r="AM168" s="2073"/>
      <c r="AN168" s="2073"/>
      <c r="AO168" s="207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8"/>
      <c r="D169" s="2028"/>
      <c r="E169" s="2028"/>
      <c r="F169" s="2028"/>
      <c r="G169" s="2028"/>
      <c r="H169" s="2028"/>
      <c r="I169" s="2159"/>
      <c r="J169" s="2159"/>
      <c r="K169" s="2159"/>
      <c r="L169" s="2159"/>
      <c r="M169" s="2159"/>
      <c r="N169" s="2175"/>
      <c r="O169" s="1208"/>
      <c r="P169" s="2072"/>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2073"/>
      <c r="AN169" s="2073"/>
      <c r="AO169" s="207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8"/>
      <c r="D170" s="2028"/>
      <c r="E170" s="2028"/>
      <c r="F170" s="2028"/>
      <c r="G170" s="2028"/>
      <c r="H170" s="2028"/>
      <c r="I170" s="2159"/>
      <c r="J170" s="2159"/>
      <c r="K170" s="2159"/>
      <c r="L170" s="2159"/>
      <c r="M170" s="2159"/>
      <c r="N170" s="2175"/>
      <c r="O170" s="1208"/>
      <c r="P170" s="2072"/>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2073"/>
      <c r="AN170" s="2073"/>
      <c r="AO170" s="207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8"/>
      <c r="D171" s="2028"/>
      <c r="E171" s="2028"/>
      <c r="F171" s="2028"/>
      <c r="G171" s="2028"/>
      <c r="H171" s="2028"/>
      <c r="I171" s="2159"/>
      <c r="J171" s="2159"/>
      <c r="K171" s="2159"/>
      <c r="L171" s="2159"/>
      <c r="M171" s="2159"/>
      <c r="N171" s="2175"/>
      <c r="O171" s="1208"/>
      <c r="P171" s="2072"/>
      <c r="Q171" s="2073"/>
      <c r="R171" s="2073"/>
      <c r="S171" s="2073"/>
      <c r="T171" s="2073"/>
      <c r="U171" s="2073"/>
      <c r="V171" s="2073"/>
      <c r="W171" s="2073"/>
      <c r="X171" s="2073"/>
      <c r="Y171" s="2073"/>
      <c r="Z171" s="2073"/>
      <c r="AA171" s="2073"/>
      <c r="AB171" s="2073"/>
      <c r="AC171" s="2073"/>
      <c r="AD171" s="2073"/>
      <c r="AE171" s="2073"/>
      <c r="AF171" s="2073"/>
      <c r="AG171" s="2073"/>
      <c r="AH171" s="2073"/>
      <c r="AI171" s="2073"/>
      <c r="AJ171" s="2073"/>
      <c r="AK171" s="2073"/>
      <c r="AL171" s="2073"/>
      <c r="AM171" s="2073"/>
      <c r="AN171" s="2073"/>
      <c r="AO171" s="207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8"/>
      <c r="D172" s="2028"/>
      <c r="E172" s="2028"/>
      <c r="F172" s="2028"/>
      <c r="G172" s="2028"/>
      <c r="H172" s="2028"/>
      <c r="I172" s="2159"/>
      <c r="J172" s="2159"/>
      <c r="K172" s="2159"/>
      <c r="L172" s="2159"/>
      <c r="M172" s="2159"/>
      <c r="N172" s="2175"/>
      <c r="O172" s="1208"/>
      <c r="P172" s="2072"/>
      <c r="Q172" s="2073"/>
      <c r="R172" s="2073"/>
      <c r="S172" s="2073"/>
      <c r="T172" s="2073"/>
      <c r="U172" s="2073"/>
      <c r="V172" s="2073"/>
      <c r="W172" s="2073"/>
      <c r="X172" s="2073"/>
      <c r="Y172" s="2073"/>
      <c r="Z172" s="2073"/>
      <c r="AA172" s="2073"/>
      <c r="AB172" s="2073"/>
      <c r="AC172" s="2073"/>
      <c r="AD172" s="2073"/>
      <c r="AE172" s="2073"/>
      <c r="AF172" s="2073"/>
      <c r="AG172" s="2073"/>
      <c r="AH172" s="2073"/>
      <c r="AI172" s="2073"/>
      <c r="AJ172" s="2073"/>
      <c r="AK172" s="2073"/>
      <c r="AL172" s="2073"/>
      <c r="AM172" s="2073"/>
      <c r="AN172" s="2073"/>
      <c r="AO172" s="207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8"/>
      <c r="D173" s="2028"/>
      <c r="E173" s="2028"/>
      <c r="F173" s="2028"/>
      <c r="G173" s="2028"/>
      <c r="H173" s="2028"/>
      <c r="I173" s="2159"/>
      <c r="J173" s="2159"/>
      <c r="K173" s="2159"/>
      <c r="L173" s="2159"/>
      <c r="M173" s="2159"/>
      <c r="N173" s="2175"/>
      <c r="O173" s="1208"/>
      <c r="P173" s="2072"/>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8"/>
      <c r="D174" s="2028"/>
      <c r="E174" s="2028"/>
      <c r="F174" s="2028"/>
      <c r="G174" s="2028"/>
      <c r="H174" s="2028"/>
      <c r="I174" s="2159"/>
      <c r="J174" s="2159"/>
      <c r="K174" s="2159"/>
      <c r="L174" s="2159"/>
      <c r="M174" s="2159"/>
      <c r="N174" s="2175"/>
      <c r="O174" s="1208"/>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6"/>
      <c r="D175" s="2177"/>
      <c r="E175" s="2177"/>
      <c r="F175" s="2177"/>
      <c r="G175" s="2177"/>
      <c r="H175" s="2177"/>
      <c r="I175" s="2178"/>
      <c r="J175" s="2178"/>
      <c r="K175" s="2178"/>
      <c r="L175" s="2178"/>
      <c r="M175" s="2178"/>
      <c r="N175" s="2179"/>
      <c r="O175" s="1208"/>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3" t="s">
        <v>2273</v>
      </c>
      <c r="D177" s="2184"/>
      <c r="E177" s="2184"/>
      <c r="F177" s="2184"/>
      <c r="G177" s="2184"/>
      <c r="H177" s="2184"/>
      <c r="I177" s="2184"/>
      <c r="J177" s="2184"/>
      <c r="K177" s="2184"/>
      <c r="L177" s="2184"/>
      <c r="M177" s="2184"/>
      <c r="N177" s="2184"/>
      <c r="O177" s="2184"/>
      <c r="P177" s="2184"/>
      <c r="Q177" s="2184"/>
      <c r="R177" s="2184"/>
      <c r="S177" s="2184"/>
      <c r="T177" s="2184"/>
      <c r="U177" s="2184"/>
      <c r="V177" s="2184"/>
      <c r="W177" s="2184"/>
      <c r="X177" s="2184"/>
      <c r="Y177" s="2184"/>
      <c r="Z177" s="2184"/>
      <c r="AA177" s="2184"/>
      <c r="AB177" s="2184"/>
      <c r="AC177" s="2184"/>
      <c r="AD177" s="2184"/>
      <c r="AE177" s="2185"/>
      <c r="AF177" s="1208"/>
      <c r="AG177" s="1208"/>
      <c r="AH177" s="2193"/>
      <c r="AI177" s="2193"/>
      <c r="AJ177" s="2193"/>
      <c r="AK177" s="2193"/>
      <c r="AL177" s="2193"/>
      <c r="AM177" s="2193"/>
      <c r="AN177" s="2193"/>
      <c r="AO177" s="2193"/>
      <c r="AP177" s="2193"/>
      <c r="AQ177" s="2193"/>
      <c r="AR177" s="2193"/>
      <c r="AS177" s="2193"/>
      <c r="AT177" s="2193"/>
      <c r="AU177" s="2193"/>
      <c r="AV177" s="2193"/>
      <c r="AW177" s="2193"/>
      <c r="AX177" s="2193"/>
      <c r="AY177" s="2193"/>
      <c r="AZ177" s="2193"/>
      <c r="BA177" s="2193"/>
      <c r="BB177" s="2193"/>
      <c r="BC177" s="2193"/>
      <c r="BD177" s="2193"/>
      <c r="BE177" s="2193"/>
    </row>
    <row r="178" spans="1:57" ht="15.75" customHeight="1" thickBot="1">
      <c r="A178" s="1208"/>
      <c r="B178" s="1208"/>
      <c r="C178" s="2186"/>
      <c r="D178" s="2187"/>
      <c r="E178" s="2187"/>
      <c r="F178" s="2187"/>
      <c r="G178" s="2187"/>
      <c r="H178" s="2187"/>
      <c r="I178" s="2187"/>
      <c r="J178" s="2187"/>
      <c r="K178" s="2187"/>
      <c r="L178" s="2187"/>
      <c r="M178" s="2187"/>
      <c r="N178" s="2187"/>
      <c r="O178" s="2187"/>
      <c r="P178" s="2187"/>
      <c r="Q178" s="2187"/>
      <c r="R178" s="2187"/>
      <c r="S178" s="2187"/>
      <c r="T178" s="2187"/>
      <c r="U178" s="2187"/>
      <c r="V178" s="2187"/>
      <c r="W178" s="2187"/>
      <c r="X178" s="2187"/>
      <c r="Y178" s="2187"/>
      <c r="Z178" s="2187"/>
      <c r="AA178" s="2187"/>
      <c r="AB178" s="2187"/>
      <c r="AC178" s="2187"/>
      <c r="AD178" s="2187"/>
      <c r="AE178" s="2188"/>
      <c r="AF178" s="1208"/>
      <c r="AG178" s="1208"/>
      <c r="AH178" s="2193"/>
      <c r="AI178" s="2193"/>
      <c r="AJ178" s="2193"/>
      <c r="AK178" s="2193"/>
      <c r="AL178" s="2193"/>
      <c r="AM178" s="2193"/>
      <c r="AN178" s="2193"/>
      <c r="AO178" s="2193"/>
      <c r="AP178" s="2193"/>
      <c r="AQ178" s="2193"/>
      <c r="AR178" s="2193"/>
      <c r="AS178" s="2193"/>
      <c r="AT178" s="2193"/>
      <c r="AU178" s="2193"/>
      <c r="AV178" s="2193"/>
      <c r="AW178" s="2193"/>
      <c r="AX178" s="2193"/>
      <c r="AY178" s="2193"/>
      <c r="AZ178" s="2193"/>
      <c r="BA178" s="2193"/>
      <c r="BB178" s="2193"/>
      <c r="BC178" s="2193"/>
      <c r="BD178" s="2193"/>
      <c r="BE178" s="2193"/>
    </row>
    <row r="179" spans="1:57" ht="15.75" customHeight="1">
      <c r="A179" s="1208"/>
      <c r="B179" s="1208"/>
      <c r="C179" s="2068" t="s">
        <v>2271</v>
      </c>
      <c r="D179" s="2069"/>
      <c r="E179" s="2069"/>
      <c r="F179" s="2069"/>
      <c r="G179" s="2069"/>
      <c r="H179" s="2069"/>
      <c r="I179" s="2069"/>
      <c r="J179" s="2069"/>
      <c r="K179" s="2069"/>
      <c r="L179" s="2069"/>
      <c r="M179" s="2069"/>
      <c r="N179" s="2069" t="s">
        <v>2272</v>
      </c>
      <c r="O179" s="2069"/>
      <c r="P179" s="2069"/>
      <c r="Q179" s="2069"/>
      <c r="R179" s="2069"/>
      <c r="S179" s="2069"/>
      <c r="T179" s="2069"/>
      <c r="U179" s="2022" t="s">
        <v>2271</v>
      </c>
      <c r="V179" s="2022"/>
      <c r="W179" s="2022"/>
      <c r="X179" s="2022"/>
      <c r="Y179" s="2022"/>
      <c r="Z179" s="2022"/>
      <c r="AA179" s="2022"/>
      <c r="AB179" s="2022"/>
      <c r="AC179" s="2022"/>
      <c r="AD179" s="2022"/>
      <c r="AE179" s="2023"/>
      <c r="AF179" s="1208"/>
      <c r="AG179" s="1208"/>
      <c r="AH179" s="2193"/>
      <c r="AI179" s="2193"/>
      <c r="AJ179" s="2193"/>
      <c r="AK179" s="2193"/>
      <c r="AL179" s="2193"/>
      <c r="AM179" s="2193"/>
      <c r="AN179" s="2193"/>
      <c r="AO179" s="2193"/>
      <c r="AP179" s="2193"/>
      <c r="AQ179" s="2193"/>
      <c r="AR179" s="2193"/>
      <c r="AS179" s="2193"/>
      <c r="AT179" s="2193"/>
      <c r="AU179" s="2193"/>
      <c r="AV179" s="2193"/>
      <c r="AW179" s="2193"/>
      <c r="AX179" s="2193"/>
      <c r="AY179" s="2193"/>
      <c r="AZ179" s="2193"/>
      <c r="BA179" s="2193"/>
      <c r="BB179" s="2193"/>
      <c r="BC179" s="2193"/>
      <c r="BD179" s="2193"/>
      <c r="BE179" s="2193"/>
    </row>
    <row r="180" spans="1:57" ht="15.75" customHeight="1">
      <c r="A180" s="1208"/>
      <c r="B180" s="1208"/>
      <c r="C180" s="2180" t="s">
        <v>2270</v>
      </c>
      <c r="D180" s="2181"/>
      <c r="E180" s="2181"/>
      <c r="F180" s="2181"/>
      <c r="G180" s="2181"/>
      <c r="H180" s="2181"/>
      <c r="I180" s="2181"/>
      <c r="J180" s="2181"/>
      <c r="K180" s="2181"/>
      <c r="L180" s="2181"/>
      <c r="M180" s="2181"/>
      <c r="N180" s="2182">
        <f>'Sources and Uses Budget'!B105</f>
        <v>86941310</v>
      </c>
      <c r="O180" s="2182"/>
      <c r="P180" s="2182"/>
      <c r="Q180" s="2182"/>
      <c r="R180" s="2182"/>
      <c r="S180" s="2182"/>
      <c r="T180" s="2182"/>
      <c r="U180" s="2194"/>
      <c r="V180" s="2194"/>
      <c r="W180" s="2194"/>
      <c r="X180" s="2194"/>
      <c r="Y180" s="2194"/>
      <c r="Z180" s="2194"/>
      <c r="AA180" s="2194"/>
      <c r="AB180" s="2194"/>
      <c r="AC180" s="2194"/>
      <c r="AD180" s="2194"/>
      <c r="AE180" s="2195"/>
      <c r="AF180" s="1208"/>
      <c r="AG180" s="1208"/>
      <c r="AH180" s="2193"/>
      <c r="AI180" s="2193"/>
      <c r="AJ180" s="2193"/>
      <c r="AK180" s="2193"/>
      <c r="AL180" s="2193"/>
      <c r="AM180" s="2193"/>
      <c r="AN180" s="2193"/>
      <c r="AO180" s="2193"/>
      <c r="AP180" s="2193"/>
      <c r="AQ180" s="2193"/>
      <c r="AR180" s="2193"/>
      <c r="AS180" s="2193"/>
      <c r="AT180" s="2193"/>
      <c r="AU180" s="2193"/>
      <c r="AV180" s="2193"/>
      <c r="AW180" s="2193"/>
      <c r="AX180" s="2193"/>
      <c r="AY180" s="2193"/>
      <c r="AZ180" s="2193"/>
      <c r="BA180" s="2193"/>
      <c r="BB180" s="2193"/>
      <c r="BC180" s="2193"/>
      <c r="BD180" s="2193"/>
      <c r="BE180" s="2193"/>
    </row>
    <row r="181" spans="1:57" ht="15.75" customHeight="1">
      <c r="A181" s="1208"/>
      <c r="B181" s="1208"/>
      <c r="C181" s="2180" t="s">
        <v>2269</v>
      </c>
      <c r="D181" s="2181"/>
      <c r="E181" s="2181"/>
      <c r="F181" s="2181"/>
      <c r="G181" s="2181"/>
      <c r="H181" s="2181"/>
      <c r="I181" s="2181"/>
      <c r="J181" s="2181"/>
      <c r="K181" s="2181"/>
      <c r="L181" s="2181"/>
      <c r="M181" s="2181"/>
      <c r="N181" s="2182">
        <f>N180/J29</f>
        <v>905638.64583333337</v>
      </c>
      <c r="O181" s="2182"/>
      <c r="P181" s="2182"/>
      <c r="Q181" s="2182"/>
      <c r="R181" s="2182"/>
      <c r="S181" s="2182"/>
      <c r="T181" s="2182"/>
      <c r="U181" s="1248"/>
      <c r="V181" s="1248"/>
      <c r="W181" s="1248"/>
      <c r="X181" s="1248"/>
      <c r="Y181" s="1248"/>
      <c r="Z181" s="1248"/>
      <c r="AA181" s="1248"/>
      <c r="AB181" s="1248"/>
      <c r="AC181" s="1248"/>
      <c r="AD181" s="1248"/>
      <c r="AE181" s="1249"/>
      <c r="AF181" s="1208"/>
      <c r="AG181" s="1208"/>
      <c r="AH181" s="2193"/>
      <c r="AI181" s="2193"/>
      <c r="AJ181" s="2193"/>
      <c r="AK181" s="2193"/>
      <c r="AL181" s="2193"/>
      <c r="AM181" s="2193"/>
      <c r="AN181" s="2193"/>
      <c r="AO181" s="2193"/>
      <c r="AP181" s="2193"/>
      <c r="AQ181" s="2193"/>
      <c r="AR181" s="2193"/>
      <c r="AS181" s="2193"/>
      <c r="AT181" s="2193"/>
      <c r="AU181" s="2193"/>
      <c r="AV181" s="2193"/>
      <c r="AW181" s="2193"/>
      <c r="AX181" s="2193"/>
      <c r="AY181" s="2193"/>
      <c r="AZ181" s="2193"/>
      <c r="BA181" s="2193"/>
      <c r="BB181" s="2193"/>
      <c r="BC181" s="2193"/>
      <c r="BD181" s="2193"/>
      <c r="BE181" s="2193"/>
    </row>
    <row r="182" spans="1:57" ht="15.75" customHeight="1">
      <c r="A182" s="1208"/>
      <c r="B182" s="1208"/>
      <c r="C182" s="2196" t="s">
        <v>2268</v>
      </c>
      <c r="D182" s="2197"/>
      <c r="E182" s="2197"/>
      <c r="F182" s="2197"/>
      <c r="G182" s="2197"/>
      <c r="H182" s="2197"/>
      <c r="I182" s="2197"/>
      <c r="J182" s="2197"/>
      <c r="K182" s="2197"/>
      <c r="L182" s="2197"/>
      <c r="M182" s="2197"/>
      <c r="N182" s="2062">
        <v>0</v>
      </c>
      <c r="O182" s="2062"/>
      <c r="P182" s="2062"/>
      <c r="Q182" s="2062"/>
      <c r="R182" s="2062"/>
      <c r="S182" s="2062"/>
      <c r="T182" s="2062"/>
      <c r="U182" s="2040"/>
      <c r="V182" s="2040"/>
      <c r="W182" s="2040"/>
      <c r="X182" s="2040"/>
      <c r="Y182" s="2040"/>
      <c r="Z182" s="2040"/>
      <c r="AA182" s="2040"/>
      <c r="AB182" s="2040"/>
      <c r="AC182" s="2040"/>
      <c r="AD182" s="2040"/>
      <c r="AE182" s="2041"/>
      <c r="AF182" s="1208"/>
      <c r="AG182" s="1208"/>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208"/>
      <c r="B183" s="1208"/>
      <c r="C183" s="2180" t="s">
        <v>2267</v>
      </c>
      <c r="D183" s="2181"/>
      <c r="E183" s="2181"/>
      <c r="F183" s="2181"/>
      <c r="G183" s="2181"/>
      <c r="H183" s="2181"/>
      <c r="I183" s="2181"/>
      <c r="J183" s="2181"/>
      <c r="K183" s="2181"/>
      <c r="L183" s="2181"/>
      <c r="M183" s="2181"/>
      <c r="N183" s="2198">
        <f>SUM('Sources and Uses Budget'!B85:B86)</f>
        <v>458745</v>
      </c>
      <c r="O183" s="2198"/>
      <c r="P183" s="2198"/>
      <c r="Q183" s="2198"/>
      <c r="R183" s="2198"/>
      <c r="S183" s="2198"/>
      <c r="T183" s="2198"/>
      <c r="U183" s="2040"/>
      <c r="V183" s="2040"/>
      <c r="W183" s="2040"/>
      <c r="X183" s="2040"/>
      <c r="Y183" s="2040"/>
      <c r="Z183" s="2040"/>
      <c r="AA183" s="2040"/>
      <c r="AB183" s="2040"/>
      <c r="AC183" s="2040"/>
      <c r="AD183" s="2040"/>
      <c r="AE183" s="2041"/>
      <c r="AF183" s="1208"/>
      <c r="AG183" s="1208"/>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thickBot="1">
      <c r="A184" s="1208"/>
      <c r="B184" s="1208"/>
      <c r="C184" s="2180" t="s">
        <v>2266</v>
      </c>
      <c r="D184" s="2181"/>
      <c r="E184" s="2181"/>
      <c r="F184" s="2181"/>
      <c r="G184" s="2181"/>
      <c r="H184" s="2181"/>
      <c r="I184" s="2181"/>
      <c r="J184" s="2181"/>
      <c r="K184" s="2181"/>
      <c r="L184" s="2181"/>
      <c r="M184" s="2181"/>
      <c r="N184" s="2198">
        <f>'Sources and Uses Budget'!B8</f>
        <v>5500000</v>
      </c>
      <c r="O184" s="2198"/>
      <c r="P184" s="2198"/>
      <c r="Q184" s="2198"/>
      <c r="R184" s="2198"/>
      <c r="S184" s="2198"/>
      <c r="T184" s="2198"/>
      <c r="U184" s="2040"/>
      <c r="V184" s="2040"/>
      <c r="W184" s="2040"/>
      <c r="X184" s="2040"/>
      <c r="Y184" s="2040"/>
      <c r="Z184" s="2040"/>
      <c r="AA184" s="2040"/>
      <c r="AB184" s="2040"/>
      <c r="AC184" s="2040"/>
      <c r="AD184" s="2040"/>
      <c r="AE184" s="2041"/>
      <c r="AF184" s="1208"/>
      <c r="AG184" s="1208"/>
      <c r="AH184" s="2202" t="s">
        <v>2264</v>
      </c>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4"/>
    </row>
    <row r="185" spans="1:57" ht="15.75" customHeight="1">
      <c r="A185" s="1208"/>
      <c r="B185" s="1208"/>
      <c r="C185" s="2180" t="s">
        <v>2265</v>
      </c>
      <c r="D185" s="2181"/>
      <c r="E185" s="2181"/>
      <c r="F185" s="2181"/>
      <c r="G185" s="2181"/>
      <c r="H185" s="2181"/>
      <c r="I185" s="2181"/>
      <c r="J185" s="2181"/>
      <c r="K185" s="2181"/>
      <c r="L185" s="2181"/>
      <c r="M185" s="2181"/>
      <c r="N185" s="2189">
        <v>0</v>
      </c>
      <c r="O185" s="2189"/>
      <c r="P185" s="2189"/>
      <c r="Q185" s="2189"/>
      <c r="R185" s="2189"/>
      <c r="S185" s="2189"/>
      <c r="T185" s="2189"/>
      <c r="U185" s="2040"/>
      <c r="V185" s="2040"/>
      <c r="W185" s="2040"/>
      <c r="X185" s="2040"/>
      <c r="Y185" s="2040"/>
      <c r="Z185" s="2040"/>
      <c r="AA185" s="2040"/>
      <c r="AB185" s="2040"/>
      <c r="AC185" s="2040"/>
      <c r="AD185" s="2040"/>
      <c r="AE185" s="2041"/>
      <c r="AF185" s="1208"/>
      <c r="AG185" s="1208"/>
      <c r="AH185" s="2205" t="s">
        <v>2264</v>
      </c>
      <c r="AI185" s="2206"/>
      <c r="AJ185" s="2206"/>
      <c r="AK185" s="2206"/>
      <c r="AL185" s="2206"/>
      <c r="AM185" s="2206"/>
      <c r="AN185" s="2206"/>
      <c r="AO185" s="2206"/>
      <c r="AP185" s="2206"/>
      <c r="AQ185" s="2206"/>
      <c r="AR185" s="2206"/>
      <c r="AS185" s="2206"/>
      <c r="AT185" s="2206"/>
      <c r="AU185" s="2207">
        <v>0</v>
      </c>
      <c r="AV185" s="2207"/>
      <c r="AW185" s="2207"/>
      <c r="AX185" s="2207"/>
      <c r="AY185" s="2207"/>
      <c r="AZ185" s="2207"/>
      <c r="BA185" s="2207"/>
      <c r="BB185" s="2207"/>
      <c r="BC185" s="2208"/>
      <c r="BD185" s="2209"/>
      <c r="BE185" s="2210"/>
    </row>
    <row r="186" spans="1:57" ht="15.75" customHeight="1">
      <c r="A186" s="1208"/>
      <c r="B186" s="1208"/>
      <c r="C186" s="2180" t="s">
        <v>2263</v>
      </c>
      <c r="D186" s="2181"/>
      <c r="E186" s="2181"/>
      <c r="F186" s="2181"/>
      <c r="G186" s="2181"/>
      <c r="H186" s="2181"/>
      <c r="I186" s="2181"/>
      <c r="J186" s="2181"/>
      <c r="K186" s="2181"/>
      <c r="L186" s="2181"/>
      <c r="M186" s="2181"/>
      <c r="N186" s="2189">
        <v>0</v>
      </c>
      <c r="O186" s="2189"/>
      <c r="P186" s="2189"/>
      <c r="Q186" s="2189"/>
      <c r="R186" s="2189"/>
      <c r="S186" s="2189"/>
      <c r="T186" s="2189"/>
      <c r="U186" s="2040"/>
      <c r="V186" s="2040"/>
      <c r="W186" s="2040"/>
      <c r="X186" s="2040"/>
      <c r="Y186" s="2040"/>
      <c r="Z186" s="2040"/>
      <c r="AA186" s="2040"/>
      <c r="AB186" s="2040"/>
      <c r="AC186" s="2040"/>
      <c r="AD186" s="2040"/>
      <c r="AE186" s="2041"/>
      <c r="AF186" s="1208"/>
      <c r="AG186" s="1208"/>
      <c r="AH186" s="2190" t="s">
        <v>2262</v>
      </c>
      <c r="AI186" s="2191"/>
      <c r="AJ186" s="2191"/>
      <c r="AK186" s="2191"/>
      <c r="AL186" s="2191"/>
      <c r="AM186" s="2191"/>
      <c r="AN186" s="2191"/>
      <c r="AO186" s="2191"/>
      <c r="AP186" s="2191"/>
      <c r="AQ186" s="2191"/>
      <c r="AR186" s="2191"/>
      <c r="AS186" s="2191"/>
      <c r="AT186" s="2191"/>
      <c r="AU186" s="2192"/>
      <c r="AV186" s="2192"/>
      <c r="AW186" s="2192"/>
      <c r="AX186" s="2192"/>
      <c r="AY186" s="2192"/>
      <c r="AZ186" s="2192"/>
      <c r="BA186" s="2192"/>
      <c r="BB186" s="2192"/>
      <c r="BC186" s="2199"/>
      <c r="BD186" s="2200"/>
      <c r="BE186" s="2201"/>
    </row>
    <row r="187" spans="1:57" ht="15.75" customHeight="1">
      <c r="A187" s="1208"/>
      <c r="B187" s="1208"/>
      <c r="C187" s="2215" t="s">
        <v>300</v>
      </c>
      <c r="D187" s="2158"/>
      <c r="E187" s="2211" t="s">
        <v>2260</v>
      </c>
      <c r="F187" s="2211"/>
      <c r="G187" s="2211"/>
      <c r="H187" s="2211"/>
      <c r="I187" s="2211"/>
      <c r="J187" s="2211"/>
      <c r="K187" s="2211"/>
      <c r="L187" s="2211"/>
      <c r="M187" s="2211"/>
      <c r="N187" s="2189">
        <v>0</v>
      </c>
      <c r="O187" s="2189"/>
      <c r="P187" s="2189"/>
      <c r="Q187" s="2189"/>
      <c r="R187" s="2189"/>
      <c r="S187" s="2189"/>
      <c r="T187" s="2189"/>
      <c r="U187" s="2040"/>
      <c r="V187" s="2040"/>
      <c r="W187" s="2040"/>
      <c r="X187" s="2040"/>
      <c r="Y187" s="2040"/>
      <c r="Z187" s="2040"/>
      <c r="AA187" s="2040"/>
      <c r="AB187" s="2040"/>
      <c r="AC187" s="2040"/>
      <c r="AD187" s="2040"/>
      <c r="AE187" s="2041"/>
      <c r="AF187" s="1208"/>
      <c r="AG187" s="1208"/>
      <c r="AH187" s="2216" t="s">
        <v>2261</v>
      </c>
      <c r="AI187" s="2217"/>
      <c r="AJ187" s="2217"/>
      <c r="AK187" s="2217"/>
      <c r="AL187" s="2217"/>
      <c r="AM187" s="2217"/>
      <c r="AN187" s="2217"/>
      <c r="AO187" s="2217"/>
      <c r="AP187" s="2217"/>
      <c r="AQ187" s="2217"/>
      <c r="AR187" s="2217"/>
      <c r="AS187" s="2217"/>
      <c r="AT187" s="2217"/>
      <c r="AU187" s="2218">
        <f>SUM(AU185:BB186)</f>
        <v>0</v>
      </c>
      <c r="AV187" s="2218"/>
      <c r="AW187" s="2218"/>
      <c r="AX187" s="2218"/>
      <c r="AY187" s="2218"/>
      <c r="AZ187" s="2218"/>
      <c r="BA187" s="2218"/>
      <c r="BB187" s="2218"/>
      <c r="BC187" s="2199"/>
      <c r="BD187" s="2200"/>
      <c r="BE187" s="2201"/>
    </row>
    <row r="188" spans="1:57" ht="15.75" customHeight="1" thickBot="1">
      <c r="A188" s="1208"/>
      <c r="B188" s="1208"/>
      <c r="C188" s="2078" t="s">
        <v>300</v>
      </c>
      <c r="D188" s="2028"/>
      <c r="E188" s="2211" t="s">
        <v>2260</v>
      </c>
      <c r="F188" s="2211"/>
      <c r="G188" s="2211"/>
      <c r="H188" s="2211"/>
      <c r="I188" s="2211"/>
      <c r="J188" s="2211"/>
      <c r="K188" s="2211"/>
      <c r="L188" s="2211"/>
      <c r="M188" s="2211"/>
      <c r="N188" s="2189">
        <v>0</v>
      </c>
      <c r="O188" s="2189"/>
      <c r="P188" s="2189"/>
      <c r="Q188" s="2189"/>
      <c r="R188" s="2189"/>
      <c r="S188" s="2189"/>
      <c r="T188" s="2189"/>
      <c r="U188" s="2040"/>
      <c r="V188" s="2040"/>
      <c r="W188" s="2040"/>
      <c r="X188" s="2040"/>
      <c r="Y188" s="2040"/>
      <c r="Z188" s="2040"/>
      <c r="AA188" s="2040"/>
      <c r="AB188" s="2040"/>
      <c r="AC188" s="2040"/>
      <c r="AD188" s="2040"/>
      <c r="AE188" s="204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2"/>
      <c r="BD188" s="2213"/>
      <c r="BE188" s="2214"/>
    </row>
    <row r="189" spans="1:57" ht="15.75" customHeight="1" thickBot="1">
      <c r="A189" s="1208"/>
      <c r="B189" s="1208"/>
      <c r="C189" s="2236" t="s">
        <v>300</v>
      </c>
      <c r="D189" s="2237"/>
      <c r="E189" s="2238" t="s">
        <v>2260</v>
      </c>
      <c r="F189" s="2238"/>
      <c r="G189" s="2238"/>
      <c r="H189" s="2238"/>
      <c r="I189" s="2238"/>
      <c r="J189" s="2238"/>
      <c r="K189" s="2238"/>
      <c r="L189" s="2238"/>
      <c r="M189" s="2239"/>
      <c r="N189" s="2240">
        <v>0</v>
      </c>
      <c r="O189" s="2240"/>
      <c r="P189" s="2240"/>
      <c r="Q189" s="2240"/>
      <c r="R189" s="2240"/>
      <c r="S189" s="2240"/>
      <c r="T189" s="2241"/>
      <c r="U189" s="2242"/>
      <c r="V189" s="2243"/>
      <c r="W189" s="2243"/>
      <c r="X189" s="2243"/>
      <c r="Y189" s="2243"/>
      <c r="Z189" s="2243"/>
      <c r="AA189" s="2243"/>
      <c r="AB189" s="2243"/>
      <c r="AC189" s="2243"/>
      <c r="AD189" s="2243"/>
      <c r="AE189" s="2244"/>
      <c r="AF189" s="1208"/>
      <c r="AG189" s="1208"/>
      <c r="AH189" s="2245" t="s">
        <v>2259</v>
      </c>
      <c r="AI189" s="2246"/>
      <c r="AJ189" s="2246"/>
      <c r="AK189" s="2246"/>
      <c r="AL189" s="2246"/>
      <c r="AM189" s="2246"/>
      <c r="AN189" s="2246"/>
      <c r="AO189" s="2246"/>
      <c r="AP189" s="2246"/>
      <c r="AQ189" s="2246"/>
      <c r="AR189" s="2246"/>
      <c r="AS189" s="2246"/>
      <c r="AT189" s="2246"/>
      <c r="AU189" s="2247"/>
      <c r="AV189" s="2247"/>
      <c r="AW189" s="2247"/>
      <c r="AX189" s="2247"/>
      <c r="AY189" s="2247"/>
      <c r="AZ189" s="2247"/>
      <c r="BA189" s="2247"/>
      <c r="BB189" s="2247"/>
      <c r="BC189" s="1164"/>
      <c r="BD189" s="1164"/>
      <c r="BE189" s="1252"/>
    </row>
    <row r="190" spans="1:57" ht="15.75" customHeight="1">
      <c r="A190" s="1208"/>
      <c r="B190" s="1208"/>
      <c r="C190" s="2219" t="s">
        <v>2258</v>
      </c>
      <c r="D190" s="2220"/>
      <c r="E190" s="2220"/>
      <c r="F190" s="2220"/>
      <c r="G190" s="2220"/>
      <c r="H190" s="2220"/>
      <c r="I190" s="2220"/>
      <c r="J190" s="2220"/>
      <c r="K190" s="2220"/>
      <c r="L190" s="2220"/>
      <c r="M190" s="2220"/>
      <c r="N190" s="2221">
        <f>SUM(N182:T189)</f>
        <v>5958745</v>
      </c>
      <c r="O190" s="2221"/>
      <c r="P190" s="2221"/>
      <c r="Q190" s="2221"/>
      <c r="R190" s="2221"/>
      <c r="S190" s="2221"/>
      <c r="T190" s="2222"/>
      <c r="U190" s="1208"/>
      <c r="V190" s="1208"/>
      <c r="W190" s="1208"/>
      <c r="X190" s="1208"/>
      <c r="Y190" s="1208"/>
      <c r="Z190" s="1208"/>
      <c r="AA190" s="1208"/>
      <c r="AB190" s="1208"/>
      <c r="AC190" s="1208"/>
      <c r="AD190" s="1208"/>
      <c r="AE190" s="1208"/>
      <c r="AF190" s="1208"/>
      <c r="AG190" s="1208"/>
      <c r="AH190" s="2223" t="s">
        <v>2257</v>
      </c>
      <c r="AI190" s="2224"/>
      <c r="AJ190" s="2224"/>
      <c r="AK190" s="2224"/>
      <c r="AL190" s="2224"/>
      <c r="AM190" s="2224"/>
      <c r="AN190" s="2224"/>
      <c r="AO190" s="2224"/>
      <c r="AP190" s="2224"/>
      <c r="AQ190" s="2224"/>
      <c r="AR190" s="2224"/>
      <c r="AS190" s="2224"/>
      <c r="AT190" s="2224"/>
      <c r="AU190" s="2224"/>
      <c r="AV190" s="2224"/>
      <c r="AW190" s="2224"/>
      <c r="AX190" s="2224"/>
      <c r="AY190" s="2224"/>
      <c r="AZ190" s="2224"/>
      <c r="BA190" s="2224"/>
      <c r="BB190" s="2224"/>
      <c r="BC190" s="2224"/>
      <c r="BD190" s="2224"/>
      <c r="BE190" s="2225"/>
    </row>
    <row r="191" spans="1:57" ht="15.75" customHeight="1" thickBot="1">
      <c r="A191" s="1208"/>
      <c r="B191" s="1208"/>
      <c r="C191" s="2229" t="s">
        <v>2256</v>
      </c>
      <c r="D191" s="2230"/>
      <c r="E191" s="2230"/>
      <c r="F191" s="2230"/>
      <c r="G191" s="2230"/>
      <c r="H191" s="2230"/>
      <c r="I191" s="2230"/>
      <c r="J191" s="2230"/>
      <c r="K191" s="2230"/>
      <c r="L191" s="2230"/>
      <c r="M191" s="2230"/>
      <c r="N191" s="2231">
        <f>(N180-N190)/J29</f>
        <v>843568.38541666663</v>
      </c>
      <c r="O191" s="2232"/>
      <c r="P191" s="2232"/>
      <c r="Q191" s="2232"/>
      <c r="R191" s="2232"/>
      <c r="S191" s="2232"/>
      <c r="T191" s="2233"/>
      <c r="U191" s="1216"/>
      <c r="V191" s="1208"/>
      <c r="W191" s="1208"/>
      <c r="X191" s="1208"/>
      <c r="Y191" s="1208"/>
      <c r="Z191" s="1208"/>
      <c r="AA191" s="1208"/>
      <c r="AB191" s="1208"/>
      <c r="AC191" s="1208"/>
      <c r="AD191" s="1208"/>
      <c r="AE191" s="1208"/>
      <c r="AF191" s="1208"/>
      <c r="AG191" s="1208"/>
      <c r="AH191" s="2226"/>
      <c r="AI191" s="2227"/>
      <c r="AJ191" s="2227"/>
      <c r="AK191" s="2227"/>
      <c r="AL191" s="2227"/>
      <c r="AM191" s="2227"/>
      <c r="AN191" s="2227"/>
      <c r="AO191" s="2227"/>
      <c r="AP191" s="2227"/>
      <c r="AQ191" s="2227"/>
      <c r="AR191" s="2227"/>
      <c r="AS191" s="2227"/>
      <c r="AT191" s="2227"/>
      <c r="AU191" s="2227"/>
      <c r="AV191" s="2227"/>
      <c r="AW191" s="2227"/>
      <c r="AX191" s="2227"/>
      <c r="AY191" s="2227"/>
      <c r="AZ191" s="2227"/>
      <c r="BA191" s="2227"/>
      <c r="BB191" s="2227"/>
      <c r="BC191" s="2227"/>
      <c r="BD191" s="2227"/>
      <c r="BE191" s="222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4"/>
      <c r="AI192" s="2234"/>
      <c r="AJ192" s="2234"/>
      <c r="AK192" s="2234"/>
      <c r="AL192" s="2234"/>
      <c r="AM192" s="2234"/>
      <c r="AN192" s="2234"/>
      <c r="AO192" s="2234"/>
      <c r="AP192" s="2234"/>
      <c r="AQ192" s="2234"/>
      <c r="AR192" s="2234"/>
      <c r="AS192" s="2235"/>
      <c r="AT192" s="2235"/>
      <c r="AU192" s="2235"/>
      <c r="AV192" s="2235"/>
      <c r="AW192" s="2235"/>
      <c r="AX192" s="2235"/>
      <c r="AY192" s="2235"/>
      <c r="AZ192" s="2235"/>
      <c r="BA192" s="2235"/>
      <c r="BB192" s="2235"/>
      <c r="BC192" s="2235"/>
      <c r="BD192" s="223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3" t="s">
        <v>2255</v>
      </c>
      <c r="D194" s="2254"/>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2254"/>
      <c r="AD194" s="2254"/>
      <c r="AE194" s="225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6" t="s">
        <v>2254</v>
      </c>
      <c r="D195" s="2256"/>
      <c r="E195" s="2256"/>
      <c r="F195" s="2256"/>
      <c r="G195" s="2256"/>
      <c r="H195" s="2256"/>
      <c r="I195" s="2256"/>
      <c r="J195" s="2256"/>
      <c r="K195" s="2256"/>
      <c r="L195" s="2256"/>
      <c r="M195" s="2256"/>
      <c r="N195" s="2256"/>
      <c r="O195" s="2257" t="s">
        <v>2253</v>
      </c>
      <c r="P195" s="2257"/>
      <c r="Q195" s="2257"/>
      <c r="R195" s="2257"/>
      <c r="S195" s="2257"/>
      <c r="T195" s="2257"/>
      <c r="U195" s="2257"/>
      <c r="V195" s="2257"/>
      <c r="W195" s="2257"/>
      <c r="X195" s="2257" t="s">
        <v>2252</v>
      </c>
      <c r="Y195" s="2257"/>
      <c r="Z195" s="2257"/>
      <c r="AA195" s="2257"/>
      <c r="AB195" s="2257"/>
      <c r="AC195" s="2257"/>
      <c r="AD195" s="2257"/>
      <c r="AE195" s="225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8" t="s">
        <v>2251</v>
      </c>
      <c r="D196" s="2248"/>
      <c r="E196" s="2248"/>
      <c r="F196" s="2248"/>
      <c r="G196" s="2248"/>
      <c r="H196" s="2248"/>
      <c r="I196" s="2248"/>
      <c r="J196" s="2248"/>
      <c r="K196" s="2248"/>
      <c r="L196" s="2248"/>
      <c r="M196" s="2248"/>
      <c r="N196" s="2248"/>
      <c r="O196" s="2249" t="s">
        <v>2250</v>
      </c>
      <c r="P196" s="2249"/>
      <c r="Q196" s="2249"/>
      <c r="R196" s="2249"/>
      <c r="S196" s="2249"/>
      <c r="T196" s="2249"/>
      <c r="U196" s="2249"/>
      <c r="V196" s="2249"/>
      <c r="W196" s="2249"/>
      <c r="X196" s="2250">
        <v>0.03</v>
      </c>
      <c r="Y196" s="2250"/>
      <c r="Z196" s="2250"/>
      <c r="AA196" s="2250"/>
      <c r="AB196" s="2250"/>
      <c r="AC196" s="2250"/>
      <c r="AD196" s="2250"/>
      <c r="AE196" s="225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8" t="s">
        <v>854</v>
      </c>
      <c r="D197" s="2248"/>
      <c r="E197" s="2248"/>
      <c r="F197" s="2248"/>
      <c r="G197" s="2248"/>
      <c r="H197" s="2248"/>
      <c r="I197" s="2248"/>
      <c r="J197" s="2248"/>
      <c r="K197" s="2248"/>
      <c r="L197" s="2248"/>
      <c r="M197" s="2248"/>
      <c r="N197" s="2248"/>
      <c r="O197" s="2249" t="s">
        <v>2250</v>
      </c>
      <c r="P197" s="2249"/>
      <c r="Q197" s="2249"/>
      <c r="R197" s="2249"/>
      <c r="S197" s="2249"/>
      <c r="T197" s="2249"/>
      <c r="U197" s="2249"/>
      <c r="V197" s="2249"/>
      <c r="W197" s="2249"/>
      <c r="X197" s="2250">
        <v>0.03</v>
      </c>
      <c r="Y197" s="2250"/>
      <c r="Z197" s="2250"/>
      <c r="AA197" s="2250"/>
      <c r="AB197" s="2250"/>
      <c r="AC197" s="2250"/>
      <c r="AD197" s="2250"/>
      <c r="AE197" s="225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8" t="s">
        <v>2249</v>
      </c>
      <c r="D198" s="2248"/>
      <c r="E198" s="2248"/>
      <c r="F198" s="2248"/>
      <c r="G198" s="2248"/>
      <c r="H198" s="2248"/>
      <c r="I198" s="2248"/>
      <c r="J198" s="2248"/>
      <c r="K198" s="2248"/>
      <c r="L198" s="2248"/>
      <c r="M198" s="2248"/>
      <c r="N198" s="2248"/>
      <c r="O198" s="2251">
        <f>SUM(O196:W197)</f>
        <v>0</v>
      </c>
      <c r="P198" s="2252"/>
      <c r="Q198" s="2252"/>
      <c r="R198" s="2252"/>
      <c r="S198" s="2252"/>
      <c r="T198" s="2252"/>
      <c r="U198" s="2252"/>
      <c r="V198" s="2252"/>
      <c r="W198" s="2252"/>
      <c r="X198" s="2252" t="s">
        <v>2248</v>
      </c>
      <c r="Y198" s="2252"/>
      <c r="Z198" s="2252"/>
      <c r="AA198" s="2252"/>
      <c r="AB198" s="2252"/>
      <c r="AC198" s="2252"/>
      <c r="AD198" s="2252"/>
      <c r="AE198" s="225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8" t="s">
        <v>2247</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9" t="s">
        <v>2246</v>
      </c>
      <c r="D201" s="2260"/>
      <c r="E201" s="2260"/>
      <c r="F201" s="2260"/>
      <c r="G201" s="2260"/>
      <c r="H201" s="2260"/>
      <c r="I201" s="2260"/>
      <c r="J201" s="2260"/>
      <c r="K201" s="2260"/>
      <c r="L201" s="2260"/>
      <c r="M201" s="2260"/>
      <c r="N201" s="2260"/>
      <c r="O201" s="2260"/>
      <c r="P201" s="2260"/>
      <c r="Q201" s="2260"/>
      <c r="R201" s="2260"/>
      <c r="S201" s="2260"/>
      <c r="T201" s="2260"/>
      <c r="U201" s="2260"/>
      <c r="V201" s="2260"/>
      <c r="W201" s="2260"/>
      <c r="X201" s="2260"/>
      <c r="Y201" s="2260"/>
      <c r="Z201" s="2260"/>
      <c r="AA201" s="2260"/>
      <c r="AB201" s="2260"/>
      <c r="AC201" s="2260"/>
      <c r="AD201" s="2260"/>
      <c r="AE201" s="2260"/>
      <c r="AF201" s="2260"/>
      <c r="AG201" s="2260"/>
      <c r="AH201" s="2260"/>
      <c r="AI201" s="2260"/>
      <c r="AJ201" s="2260"/>
      <c r="AK201" s="226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2" t="s">
        <v>2245</v>
      </c>
      <c r="D202" s="2263"/>
      <c r="E202" s="2263"/>
      <c r="F202" s="2264"/>
      <c r="G202" s="2268" t="s">
        <v>2244</v>
      </c>
      <c r="H202" s="2263"/>
      <c r="I202" s="2263"/>
      <c r="J202" s="2263"/>
      <c r="K202" s="2263"/>
      <c r="L202" s="2263"/>
      <c r="M202" s="2263"/>
      <c r="N202" s="2263"/>
      <c r="O202" s="2264"/>
      <c r="P202" s="2270" t="s">
        <v>2243</v>
      </c>
      <c r="Q202" s="2271"/>
      <c r="R202" s="2271"/>
      <c r="S202" s="2271"/>
      <c r="T202" s="2272"/>
      <c r="U202" s="2276" t="s">
        <v>2242</v>
      </c>
      <c r="V202" s="2277"/>
      <c r="W202" s="2277"/>
      <c r="X202" s="2278"/>
      <c r="Y202" s="2276" t="s">
        <v>2241</v>
      </c>
      <c r="Z202" s="2277"/>
      <c r="AA202" s="2277"/>
      <c r="AB202" s="2278"/>
      <c r="AC202" s="2276" t="s">
        <v>2240</v>
      </c>
      <c r="AD202" s="2277"/>
      <c r="AE202" s="2277"/>
      <c r="AF202" s="2278"/>
      <c r="AG202" s="2268" t="s">
        <v>2239</v>
      </c>
      <c r="AH202" s="2263"/>
      <c r="AI202" s="2263"/>
      <c r="AJ202" s="2263"/>
      <c r="AK202" s="228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5"/>
      <c r="D203" s="2266"/>
      <c r="E203" s="2266"/>
      <c r="F203" s="2267"/>
      <c r="G203" s="2269"/>
      <c r="H203" s="2266"/>
      <c r="I203" s="2266"/>
      <c r="J203" s="2266"/>
      <c r="K203" s="2266"/>
      <c r="L203" s="2266"/>
      <c r="M203" s="2266"/>
      <c r="N203" s="2266"/>
      <c r="O203" s="2267"/>
      <c r="P203" s="2273"/>
      <c r="Q203" s="2274"/>
      <c r="R203" s="2274"/>
      <c r="S203" s="2274"/>
      <c r="T203" s="2275"/>
      <c r="U203" s="2279"/>
      <c r="V203" s="2280"/>
      <c r="W203" s="2280"/>
      <c r="X203" s="2281"/>
      <c r="Y203" s="2279"/>
      <c r="Z203" s="2280"/>
      <c r="AA203" s="2280"/>
      <c r="AB203" s="2281"/>
      <c r="AC203" s="2279"/>
      <c r="AD203" s="2280"/>
      <c r="AE203" s="2280"/>
      <c r="AF203" s="2281"/>
      <c r="AG203" s="2269"/>
      <c r="AH203" s="2266"/>
      <c r="AI203" s="2266"/>
      <c r="AJ203" s="2266"/>
      <c r="AK203" s="228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7">
        <v>1</v>
      </c>
      <c r="D204" s="2288"/>
      <c r="E204" s="2288"/>
      <c r="F204" s="2288"/>
      <c r="G204" s="2289" t="s">
        <v>1859</v>
      </c>
      <c r="H204" s="2289"/>
      <c r="I204" s="2289"/>
      <c r="J204" s="2289"/>
      <c r="K204" s="2289"/>
      <c r="L204" s="2289"/>
      <c r="M204" s="2289"/>
      <c r="N204" s="2289"/>
      <c r="O204" s="2289"/>
      <c r="P204" s="2290"/>
      <c r="Q204" s="2293"/>
      <c r="R204" s="2293"/>
      <c r="S204" s="2293"/>
      <c r="T204" s="2293"/>
      <c r="U204" s="2291" t="s">
        <v>1859</v>
      </c>
      <c r="V204" s="2291"/>
      <c r="W204" s="2291"/>
      <c r="X204" s="2291"/>
      <c r="Y204" s="2291" t="s">
        <v>1859</v>
      </c>
      <c r="Z204" s="2291"/>
      <c r="AA204" s="2291"/>
      <c r="AB204" s="2291"/>
      <c r="AC204" s="2292" t="s">
        <v>1859</v>
      </c>
      <c r="AD204" s="2292"/>
      <c r="AE204" s="2292"/>
      <c r="AF204" s="2292"/>
      <c r="AG204" s="2284"/>
      <c r="AH204" s="2285"/>
      <c r="AI204" s="2285"/>
      <c r="AJ204" s="2285"/>
      <c r="AK204" s="228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7">
        <v>2</v>
      </c>
      <c r="D205" s="2288"/>
      <c r="E205" s="2288"/>
      <c r="F205" s="2288"/>
      <c r="G205" s="2289" t="s">
        <v>1859</v>
      </c>
      <c r="H205" s="2289"/>
      <c r="I205" s="2289"/>
      <c r="J205" s="2289"/>
      <c r="K205" s="2289"/>
      <c r="L205" s="2289"/>
      <c r="M205" s="2289"/>
      <c r="N205" s="2289"/>
      <c r="O205" s="2289"/>
      <c r="P205" s="2290"/>
      <c r="Q205" s="2290"/>
      <c r="R205" s="2290"/>
      <c r="S205" s="2290"/>
      <c r="T205" s="2290"/>
      <c r="U205" s="2291" t="s">
        <v>1859</v>
      </c>
      <c r="V205" s="2291"/>
      <c r="W205" s="2291"/>
      <c r="X205" s="2291"/>
      <c r="Y205" s="2291" t="s">
        <v>1859</v>
      </c>
      <c r="Z205" s="2291"/>
      <c r="AA205" s="2291"/>
      <c r="AB205" s="2291"/>
      <c r="AC205" s="2292" t="s">
        <v>1859</v>
      </c>
      <c r="AD205" s="2292"/>
      <c r="AE205" s="2292"/>
      <c r="AF205" s="2292"/>
      <c r="AG205" s="2284"/>
      <c r="AH205" s="2285"/>
      <c r="AI205" s="2285"/>
      <c r="AJ205" s="2285"/>
      <c r="AK205" s="228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7">
        <v>3</v>
      </c>
      <c r="D206" s="2288"/>
      <c r="E206" s="2288"/>
      <c r="F206" s="2288"/>
      <c r="G206" s="2289" t="s">
        <v>1859</v>
      </c>
      <c r="H206" s="2289"/>
      <c r="I206" s="2289"/>
      <c r="J206" s="2289"/>
      <c r="K206" s="2289"/>
      <c r="L206" s="2289"/>
      <c r="M206" s="2289"/>
      <c r="N206" s="2289"/>
      <c r="O206" s="2289"/>
      <c r="P206" s="2290"/>
      <c r="Q206" s="2290"/>
      <c r="R206" s="2290"/>
      <c r="S206" s="2290"/>
      <c r="T206" s="2290"/>
      <c r="U206" s="2291" t="s">
        <v>1859</v>
      </c>
      <c r="V206" s="2291"/>
      <c r="W206" s="2291"/>
      <c r="X206" s="2291"/>
      <c r="Y206" s="2291" t="s">
        <v>1859</v>
      </c>
      <c r="Z206" s="2291"/>
      <c r="AA206" s="2291"/>
      <c r="AB206" s="2291"/>
      <c r="AC206" s="2292" t="s">
        <v>1859</v>
      </c>
      <c r="AD206" s="2292"/>
      <c r="AE206" s="2292"/>
      <c r="AF206" s="2292"/>
      <c r="AG206" s="2284"/>
      <c r="AH206" s="2285"/>
      <c r="AI206" s="2285"/>
      <c r="AJ206" s="2285"/>
      <c r="AK206" s="228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7">
        <v>4</v>
      </c>
      <c r="D207" s="2288"/>
      <c r="E207" s="2288"/>
      <c r="F207" s="2288"/>
      <c r="G207" s="2289" t="s">
        <v>1859</v>
      </c>
      <c r="H207" s="2289"/>
      <c r="I207" s="2289"/>
      <c r="J207" s="2289"/>
      <c r="K207" s="2289"/>
      <c r="L207" s="2289"/>
      <c r="M207" s="2289"/>
      <c r="N207" s="2289"/>
      <c r="O207" s="2289"/>
      <c r="P207" s="2290"/>
      <c r="Q207" s="2290"/>
      <c r="R207" s="2290"/>
      <c r="S207" s="2290"/>
      <c r="T207" s="2290"/>
      <c r="U207" s="2291" t="s">
        <v>1859</v>
      </c>
      <c r="V207" s="2291"/>
      <c r="W207" s="2291"/>
      <c r="X207" s="2291"/>
      <c r="Y207" s="2291" t="s">
        <v>1859</v>
      </c>
      <c r="Z207" s="2291"/>
      <c r="AA207" s="2291"/>
      <c r="AB207" s="2291"/>
      <c r="AC207" s="2292" t="s">
        <v>1859</v>
      </c>
      <c r="AD207" s="2292"/>
      <c r="AE207" s="2292"/>
      <c r="AF207" s="2292"/>
      <c r="AG207" s="2284"/>
      <c r="AH207" s="2285"/>
      <c r="AI207" s="2285"/>
      <c r="AJ207" s="2285"/>
      <c r="AK207" s="228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7">
        <v>5</v>
      </c>
      <c r="D208" s="2288"/>
      <c r="E208" s="2288"/>
      <c r="F208" s="2288"/>
      <c r="G208" s="2289" t="s">
        <v>1859</v>
      </c>
      <c r="H208" s="2289"/>
      <c r="I208" s="2289"/>
      <c r="J208" s="2289"/>
      <c r="K208" s="2289"/>
      <c r="L208" s="2289"/>
      <c r="M208" s="2289"/>
      <c r="N208" s="2289"/>
      <c r="O208" s="2289"/>
      <c r="P208" s="2290"/>
      <c r="Q208" s="2290"/>
      <c r="R208" s="2290"/>
      <c r="S208" s="2290"/>
      <c r="T208" s="2290"/>
      <c r="U208" s="2291" t="s">
        <v>1859</v>
      </c>
      <c r="V208" s="2291"/>
      <c r="W208" s="2291"/>
      <c r="X208" s="2291"/>
      <c r="Y208" s="2291" t="s">
        <v>1859</v>
      </c>
      <c r="Z208" s="2291"/>
      <c r="AA208" s="2291"/>
      <c r="AB208" s="2291"/>
      <c r="AC208" s="2292" t="s">
        <v>1859</v>
      </c>
      <c r="AD208" s="2292"/>
      <c r="AE208" s="2292"/>
      <c r="AF208" s="2292"/>
      <c r="AG208" s="2284"/>
      <c r="AH208" s="2285"/>
      <c r="AI208" s="2285"/>
      <c r="AJ208" s="2285"/>
      <c r="AK208" s="228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7">
        <v>6</v>
      </c>
      <c r="D209" s="2288"/>
      <c r="E209" s="2288"/>
      <c r="F209" s="2288"/>
      <c r="G209" s="2289" t="s">
        <v>1859</v>
      </c>
      <c r="H209" s="2289"/>
      <c r="I209" s="2289"/>
      <c r="J209" s="2289"/>
      <c r="K209" s="2289"/>
      <c r="L209" s="2289"/>
      <c r="M209" s="2289"/>
      <c r="N209" s="2289"/>
      <c r="O209" s="2289"/>
      <c r="P209" s="2290"/>
      <c r="Q209" s="2290"/>
      <c r="R209" s="2290"/>
      <c r="S209" s="2290"/>
      <c r="T209" s="2290"/>
      <c r="U209" s="2291"/>
      <c r="V209" s="2291"/>
      <c r="W209" s="2291"/>
      <c r="X209" s="2291"/>
      <c r="Y209" s="2291"/>
      <c r="Z209" s="2291"/>
      <c r="AA209" s="2291"/>
      <c r="AB209" s="2291"/>
      <c r="AC209" s="2292" t="s">
        <v>1859</v>
      </c>
      <c r="AD209" s="2292"/>
      <c r="AE209" s="2292"/>
      <c r="AF209" s="2292"/>
      <c r="AG209" s="2284"/>
      <c r="AH209" s="2285"/>
      <c r="AI209" s="2285"/>
      <c r="AJ209" s="2285"/>
      <c r="AK209" s="228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7">
        <v>7</v>
      </c>
      <c r="D210" s="2288"/>
      <c r="E210" s="2288"/>
      <c r="F210" s="2288"/>
      <c r="G210" s="2289"/>
      <c r="H210" s="2289"/>
      <c r="I210" s="2289"/>
      <c r="J210" s="2289"/>
      <c r="K210" s="2289"/>
      <c r="L210" s="2289"/>
      <c r="M210" s="2289"/>
      <c r="N210" s="2289"/>
      <c r="O210" s="2289"/>
      <c r="P210" s="2290"/>
      <c r="Q210" s="2290"/>
      <c r="R210" s="2290"/>
      <c r="S210" s="2290"/>
      <c r="T210" s="2290"/>
      <c r="U210" s="2291"/>
      <c r="V210" s="2291"/>
      <c r="W210" s="2291"/>
      <c r="X210" s="2291"/>
      <c r="Y210" s="2291"/>
      <c r="Z210" s="2291"/>
      <c r="AA210" s="2291"/>
      <c r="AB210" s="2291"/>
      <c r="AC210" s="2292" t="s">
        <v>1859</v>
      </c>
      <c r="AD210" s="2292"/>
      <c r="AE210" s="2292"/>
      <c r="AF210" s="2292"/>
      <c r="AG210" s="2284"/>
      <c r="AH210" s="2285"/>
      <c r="AI210" s="2285"/>
      <c r="AJ210" s="2285"/>
      <c r="AK210" s="228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6" t="s">
        <v>2238</v>
      </c>
      <c r="D211" s="2307"/>
      <c r="E211" s="2307"/>
      <c r="F211" s="2307"/>
      <c r="G211" s="2307"/>
      <c r="H211" s="2307"/>
      <c r="I211" s="2307"/>
      <c r="J211" s="2307"/>
      <c r="K211" s="2307"/>
      <c r="L211" s="2307"/>
      <c r="M211" s="2307"/>
      <c r="N211" s="2307"/>
      <c r="O211" s="2307"/>
      <c r="P211" s="2308"/>
      <c r="Q211" s="2308"/>
      <c r="R211" s="2308"/>
      <c r="S211" s="2308"/>
      <c r="T211" s="2308"/>
      <c r="U211" s="2309">
        <f>-SUM(U204:U210)</f>
        <v>0</v>
      </c>
      <c r="V211" s="2309"/>
      <c r="W211" s="2309"/>
      <c r="X211" s="2309"/>
      <c r="Y211" s="2309">
        <f>-SUM(Y204:Y210)</f>
        <v>0</v>
      </c>
      <c r="Z211" s="2309"/>
      <c r="AA211" s="2309"/>
      <c r="AB211" s="2309"/>
      <c r="AC211" s="2310">
        <f>-SUM(AC204:AC210)</f>
        <v>0</v>
      </c>
      <c r="AD211" s="2310"/>
      <c r="AE211" s="2310"/>
      <c r="AF211" s="2310"/>
      <c r="AG211" s="2311"/>
      <c r="AH211" s="2312"/>
      <c r="AI211" s="2312"/>
      <c r="AJ211" s="2312"/>
      <c r="AK211" s="231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4" t="s">
        <v>2236</v>
      </c>
      <c r="C216" s="2295"/>
      <c r="D216" s="2295"/>
      <c r="E216" s="2295"/>
      <c r="F216" s="2295"/>
      <c r="G216" s="2295"/>
      <c r="H216" s="2295"/>
      <c r="I216" s="2295"/>
      <c r="J216" s="2295"/>
      <c r="K216" s="2295"/>
      <c r="L216" s="2295"/>
      <c r="M216" s="2295"/>
      <c r="N216" s="2295"/>
      <c r="O216" s="2295"/>
      <c r="P216" s="2295"/>
      <c r="Q216" s="2295"/>
      <c r="R216" s="2295"/>
      <c r="S216" s="2295"/>
      <c r="T216" s="2295"/>
      <c r="U216" s="2295"/>
      <c r="V216" s="2295"/>
      <c r="W216" s="2295"/>
      <c r="X216" s="2295"/>
      <c r="Y216" s="2295"/>
      <c r="Z216" s="2295"/>
      <c r="AA216" s="2295"/>
      <c r="AB216" s="2295"/>
      <c r="AC216" s="2295"/>
      <c r="AD216" s="2295"/>
      <c r="AE216" s="2295"/>
      <c r="AF216" s="2295"/>
      <c r="AG216" s="2295"/>
      <c r="AH216" s="2295"/>
      <c r="AI216" s="2295"/>
      <c r="AJ216" s="2295"/>
      <c r="AK216" s="2295"/>
      <c r="AL216" s="2295"/>
      <c r="AM216" s="2295"/>
      <c r="AN216" s="2295"/>
      <c r="AO216" s="2295"/>
      <c r="AP216" s="2295"/>
      <c r="AQ216" s="2295"/>
      <c r="AR216" s="2295"/>
      <c r="AS216" s="2295"/>
      <c r="AT216" s="2295"/>
      <c r="AU216" s="2295"/>
      <c r="AV216" s="2295"/>
      <c r="AW216" s="2295"/>
      <c r="AX216" s="2295"/>
      <c r="AY216" s="2295"/>
      <c r="AZ216" s="2295"/>
      <c r="BA216" s="2295"/>
      <c r="BB216" s="2295"/>
      <c r="BC216" s="2295"/>
      <c r="BD216" s="2296"/>
      <c r="BE216" s="1215"/>
    </row>
    <row r="217" spans="1:57" ht="15.75" customHeight="1">
      <c r="A217" s="1208"/>
      <c r="B217" s="2297"/>
      <c r="C217" s="2298"/>
      <c r="D217" s="2298"/>
      <c r="E217" s="2298"/>
      <c r="F217" s="2298"/>
      <c r="G217" s="2298"/>
      <c r="H217" s="2298"/>
      <c r="I217" s="2298"/>
      <c r="J217" s="2298"/>
      <c r="K217" s="2298"/>
      <c r="L217" s="2298"/>
      <c r="M217" s="2298"/>
      <c r="N217" s="2298"/>
      <c r="O217" s="2298"/>
      <c r="P217" s="2298"/>
      <c r="Q217" s="2298"/>
      <c r="R217" s="2298"/>
      <c r="S217" s="2298"/>
      <c r="T217" s="2298"/>
      <c r="U217" s="2298"/>
      <c r="V217" s="2298"/>
      <c r="W217" s="2298"/>
      <c r="X217" s="2298"/>
      <c r="Y217" s="2298"/>
      <c r="Z217" s="2298"/>
      <c r="AA217" s="2298"/>
      <c r="AB217" s="2298"/>
      <c r="AC217" s="2298"/>
      <c r="AD217" s="2298"/>
      <c r="AE217" s="2298"/>
      <c r="AF217" s="2298"/>
      <c r="AG217" s="2298"/>
      <c r="AH217" s="2298"/>
      <c r="AI217" s="2298"/>
      <c r="AJ217" s="2298"/>
      <c r="AK217" s="2298"/>
      <c r="AL217" s="2298"/>
      <c r="AM217" s="2298"/>
      <c r="AN217" s="2298"/>
      <c r="AO217" s="2298"/>
      <c r="AP217" s="2298"/>
      <c r="AQ217" s="2298"/>
      <c r="AR217" s="2298"/>
      <c r="AS217" s="2298"/>
      <c r="AT217" s="2298"/>
      <c r="AU217" s="2298"/>
      <c r="AV217" s="2298"/>
      <c r="AW217" s="2298"/>
      <c r="AX217" s="2298"/>
      <c r="AY217" s="2298"/>
      <c r="AZ217" s="2298"/>
      <c r="BA217" s="2298"/>
      <c r="BB217" s="2298"/>
      <c r="BC217" s="2298"/>
      <c r="BD217" s="2299"/>
      <c r="BE217" s="1215"/>
    </row>
    <row r="218" spans="1:57" ht="15.75" customHeight="1">
      <c r="A218" s="1208"/>
      <c r="B218" s="2300" t="s">
        <v>2235</v>
      </c>
      <c r="C218" s="2301"/>
      <c r="D218" s="2301"/>
      <c r="E218" s="2301"/>
      <c r="F218" s="2301"/>
      <c r="G218" s="2301"/>
      <c r="H218" s="2301"/>
      <c r="I218" s="2301"/>
      <c r="J218" s="2301"/>
      <c r="K218" s="2301"/>
      <c r="L218" s="2301"/>
      <c r="M218" s="2301"/>
      <c r="N218" s="2301"/>
      <c r="O218" s="2301"/>
      <c r="P218" s="2301"/>
      <c r="Q218" s="2301"/>
      <c r="R218" s="2301"/>
      <c r="S218" s="2301"/>
      <c r="T218" s="2301"/>
      <c r="U218" s="2301"/>
      <c r="V218" s="2301"/>
      <c r="W218" s="2301"/>
      <c r="X218" s="2301"/>
      <c r="Y218" s="2301"/>
      <c r="Z218" s="2301"/>
      <c r="AA218" s="2301"/>
      <c r="AB218" s="2301"/>
      <c r="AC218" s="2301"/>
      <c r="AD218" s="2301"/>
      <c r="AE218" s="2301"/>
      <c r="AF218" s="2301"/>
      <c r="AG218" s="2301"/>
      <c r="AH218" s="2301"/>
      <c r="AI218" s="2301"/>
      <c r="AJ218" s="2301"/>
      <c r="AK218" s="2301"/>
      <c r="AL218" s="2301"/>
      <c r="AM218" s="2301"/>
      <c r="AN218" s="2301"/>
      <c r="AO218" s="2301"/>
      <c r="AP218" s="2301"/>
      <c r="AQ218" s="2301"/>
      <c r="AR218" s="2301"/>
      <c r="AS218" s="2301"/>
      <c r="AT218" s="2301"/>
      <c r="AU218" s="2301"/>
      <c r="AV218" s="2301"/>
      <c r="AW218" s="2301"/>
      <c r="AX218" s="2301"/>
      <c r="AY218" s="2301"/>
      <c r="AZ218" s="2301"/>
      <c r="BA218" s="2301"/>
      <c r="BB218" s="2301"/>
      <c r="BC218" s="2301"/>
      <c r="BD218" s="2302"/>
      <c r="BE218" s="1215"/>
    </row>
    <row r="219" spans="1:57" ht="15.75" customHeight="1">
      <c r="A219" s="1208"/>
      <c r="B219" s="2300" t="s">
        <v>2234</v>
      </c>
      <c r="C219" s="2301"/>
      <c r="D219" s="2301"/>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2301"/>
      <c r="AB219" s="2301"/>
      <c r="AC219" s="2301"/>
      <c r="AD219" s="2301"/>
      <c r="AE219" s="2301"/>
      <c r="AF219" s="2301"/>
      <c r="AG219" s="2301"/>
      <c r="AH219" s="2301"/>
      <c r="AI219" s="2301"/>
      <c r="AJ219" s="2301"/>
      <c r="AK219" s="2301"/>
      <c r="AL219" s="2301"/>
      <c r="AM219" s="2301"/>
      <c r="AN219" s="2301"/>
      <c r="AO219" s="2301"/>
      <c r="AP219" s="2301"/>
      <c r="AQ219" s="2301"/>
      <c r="AR219" s="2301"/>
      <c r="AS219" s="2301"/>
      <c r="AT219" s="2301"/>
      <c r="AU219" s="2301"/>
      <c r="AV219" s="2301"/>
      <c r="AW219" s="2301"/>
      <c r="AX219" s="2301"/>
      <c r="AY219" s="2301"/>
      <c r="AZ219" s="2301"/>
      <c r="BA219" s="2301"/>
      <c r="BB219" s="2301"/>
      <c r="BC219" s="2301"/>
      <c r="BD219" s="23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3" t="s">
        <v>2233</v>
      </c>
      <c r="C221" s="2193"/>
      <c r="D221" s="2193"/>
      <c r="E221" s="2193"/>
      <c r="F221" s="2193"/>
      <c r="G221" s="2193"/>
      <c r="H221" s="2193"/>
      <c r="I221" s="2193"/>
      <c r="J221" s="2193"/>
      <c r="K221" s="2193"/>
      <c r="L221" s="2193"/>
      <c r="M221" s="2193"/>
      <c r="N221" s="2193"/>
      <c r="O221" s="2193"/>
      <c r="P221" s="2193"/>
      <c r="Q221" s="2193"/>
      <c r="R221" s="2193"/>
      <c r="S221" s="2193"/>
      <c r="T221" s="2193"/>
      <c r="U221" s="2193"/>
      <c r="V221" s="2193"/>
      <c r="W221" s="2193"/>
      <c r="X221" s="2193"/>
      <c r="Y221" s="2193"/>
      <c r="Z221" s="2193"/>
      <c r="AA221" s="2193"/>
      <c r="AB221" s="2193"/>
      <c r="AC221" s="2193"/>
      <c r="AD221" s="2193"/>
      <c r="AE221" s="2193"/>
      <c r="AF221" s="2193"/>
      <c r="AG221" s="2193"/>
      <c r="AH221" s="2193"/>
      <c r="AI221" s="2193"/>
      <c r="AJ221" s="2193"/>
      <c r="AK221" s="2193"/>
      <c r="AL221" s="2193"/>
      <c r="AM221" s="2193"/>
      <c r="AN221" s="2193"/>
      <c r="AO221" s="2193"/>
      <c r="AP221" s="2193"/>
      <c r="AQ221" s="2193"/>
      <c r="AR221" s="2193"/>
      <c r="AS221" s="2193"/>
      <c r="AT221" s="2193"/>
      <c r="AU221" s="2193"/>
      <c r="AV221" s="2193"/>
      <c r="AW221" s="2193"/>
      <c r="AX221" s="2193"/>
      <c r="AY221" s="2193"/>
      <c r="AZ221" s="2193"/>
      <c r="BA221" s="2193"/>
      <c r="BB221" s="2193"/>
      <c r="BC221" s="2193"/>
      <c r="BD221" s="23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5" t="s">
        <v>2231</v>
      </c>
      <c r="I225" s="2305"/>
      <c r="J225" s="2305"/>
      <c r="K225" s="2305"/>
      <c r="L225" s="2305"/>
      <c r="M225" s="2305"/>
      <c r="N225" s="2305"/>
      <c r="O225" s="2305"/>
      <c r="P225" s="2305"/>
      <c r="Q225" s="2305"/>
      <c r="R225" s="2305"/>
      <c r="S225" s="2305"/>
      <c r="T225" s="2305"/>
      <c r="U225" s="2305"/>
      <c r="V225" s="2305"/>
      <c r="W225" s="2305"/>
      <c r="X225" s="2305"/>
      <c r="Y225" s="2305"/>
      <c r="Z225" s="2305"/>
      <c r="AA225" s="2305"/>
      <c r="AB225" s="2305"/>
      <c r="AC225" s="2305"/>
      <c r="AD225" s="2305"/>
      <c r="AE225" s="2305"/>
      <c r="AF225" s="2305"/>
      <c r="AG225" s="2305"/>
      <c r="AH225" s="2305"/>
      <c r="AI225" s="2305"/>
      <c r="AJ225" s="2305"/>
      <c r="AK225" s="2305"/>
      <c r="AL225" s="2305"/>
      <c r="AM225" s="2305"/>
      <c r="AN225" s="2305"/>
      <c r="AO225" s="2305"/>
      <c r="AP225" s="2305"/>
      <c r="AQ225" s="2305"/>
      <c r="AR225" s="2305"/>
      <c r="AS225" s="2305"/>
      <c r="AT225" s="2305"/>
      <c r="AU225" s="2305"/>
      <c r="AV225" s="2305"/>
      <c r="AW225" s="2305"/>
      <c r="AX225" s="2305"/>
      <c r="AY225" s="23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3" t="s">
        <v>2230</v>
      </c>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2323"/>
      <c r="AD227" s="2323"/>
      <c r="AE227" s="2323"/>
      <c r="AF227" s="2323"/>
      <c r="AG227" s="2323"/>
      <c r="AH227" s="2323"/>
      <c r="AI227" s="2323"/>
      <c r="AJ227" s="2323"/>
      <c r="AK227" s="2323"/>
      <c r="AL227" s="2323"/>
      <c r="AM227" s="2323"/>
      <c r="AN227" s="2323"/>
      <c r="AO227" s="2323"/>
      <c r="AP227" s="2323"/>
      <c r="AQ227" s="2323"/>
      <c r="AR227" s="2323"/>
      <c r="AS227" s="2323"/>
      <c r="AT227" s="2323"/>
      <c r="AU227" s="2323"/>
      <c r="AV227" s="2323"/>
      <c r="AW227" s="2323"/>
      <c r="AX227" s="2323"/>
      <c r="AY227" s="2323"/>
      <c r="AZ227" s="2323"/>
      <c r="BA227" s="1208"/>
      <c r="BB227" s="1208"/>
      <c r="BC227" s="1208"/>
      <c r="BD227" s="1215"/>
      <c r="BE227" s="1215"/>
    </row>
    <row r="228" spans="1:57" ht="15.75" customHeight="1">
      <c r="A228" s="1208"/>
      <c r="B228" s="1207"/>
      <c r="C228" s="1208"/>
      <c r="D228" s="1208"/>
      <c r="E228" s="1208"/>
      <c r="F228" s="1208"/>
      <c r="G228" s="1208"/>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323"/>
      <c r="AD228" s="2323"/>
      <c r="AE228" s="2323"/>
      <c r="AF228" s="2323"/>
      <c r="AG228" s="2323"/>
      <c r="AH228" s="2323"/>
      <c r="AI228" s="2323"/>
      <c r="AJ228" s="2323"/>
      <c r="AK228" s="2323"/>
      <c r="AL228" s="2323"/>
      <c r="AM228" s="2323"/>
      <c r="AN228" s="2323"/>
      <c r="AO228" s="2323"/>
      <c r="AP228" s="2323"/>
      <c r="AQ228" s="2323"/>
      <c r="AR228" s="2323"/>
      <c r="AS228" s="2323"/>
      <c r="AT228" s="2323"/>
      <c r="AU228" s="2323"/>
      <c r="AV228" s="2323"/>
      <c r="AW228" s="2323"/>
      <c r="AX228" s="2323"/>
      <c r="AY228" s="2323"/>
      <c r="AZ228" s="2323"/>
      <c r="BA228" s="1208"/>
      <c r="BB228" s="1208"/>
      <c r="BC228" s="1208"/>
      <c r="BD228" s="1215"/>
      <c r="BE228" s="1215"/>
    </row>
    <row r="229" spans="1:57" ht="15.75" customHeight="1">
      <c r="A229" s="1208"/>
      <c r="B229" s="1207"/>
      <c r="C229" s="1208"/>
      <c r="D229" s="1208"/>
      <c r="E229" s="1208"/>
      <c r="F229" s="1208"/>
      <c r="G229" s="1208"/>
      <c r="H229" s="2323"/>
      <c r="I229" s="2323"/>
      <c r="J229" s="2323"/>
      <c r="K229" s="2323"/>
      <c r="L229" s="2323"/>
      <c r="M229" s="2323"/>
      <c r="N229" s="2323"/>
      <c r="O229" s="2323"/>
      <c r="P229" s="2323"/>
      <c r="Q229" s="2323"/>
      <c r="R229" s="2323"/>
      <c r="S229" s="2323"/>
      <c r="T229" s="2323"/>
      <c r="U229" s="2323"/>
      <c r="V229" s="2323"/>
      <c r="W229" s="2323"/>
      <c r="X229" s="2323"/>
      <c r="Y229" s="2323"/>
      <c r="Z229" s="2323"/>
      <c r="AA229" s="2323"/>
      <c r="AB229" s="2323"/>
      <c r="AC229" s="2323"/>
      <c r="AD229" s="2323"/>
      <c r="AE229" s="2323"/>
      <c r="AF229" s="2323"/>
      <c r="AG229" s="2323"/>
      <c r="AH229" s="2323"/>
      <c r="AI229" s="2323"/>
      <c r="AJ229" s="2323"/>
      <c r="AK229" s="2323"/>
      <c r="AL229" s="2323"/>
      <c r="AM229" s="2323"/>
      <c r="AN229" s="2323"/>
      <c r="AO229" s="2323"/>
      <c r="AP229" s="2323"/>
      <c r="AQ229" s="2323"/>
      <c r="AR229" s="2323"/>
      <c r="AS229" s="2323"/>
      <c r="AT229" s="2323"/>
      <c r="AU229" s="2323"/>
      <c r="AV229" s="2323"/>
      <c r="AW229" s="2323"/>
      <c r="AX229" s="2323"/>
      <c r="AY229" s="2323"/>
      <c r="AZ229" s="2323"/>
      <c r="BA229" s="1208"/>
      <c r="BB229" s="1208"/>
      <c r="BC229" s="1208"/>
      <c r="BD229" s="1215"/>
      <c r="BE229" s="1215"/>
    </row>
    <row r="230" spans="1:57" ht="15.75" customHeight="1">
      <c r="A230" s="1208"/>
      <c r="B230" s="1207"/>
      <c r="C230" s="1208"/>
      <c r="D230" s="1208"/>
      <c r="E230" s="1208"/>
      <c r="F230" s="1208"/>
      <c r="G230" s="1208"/>
      <c r="H230" s="2323"/>
      <c r="I230" s="2323"/>
      <c r="J230" s="2323"/>
      <c r="K230" s="2323"/>
      <c r="L230" s="2323"/>
      <c r="M230" s="2323"/>
      <c r="N230" s="2323"/>
      <c r="O230" s="2323"/>
      <c r="P230" s="2323"/>
      <c r="Q230" s="2323"/>
      <c r="R230" s="2323"/>
      <c r="S230" s="2323"/>
      <c r="T230" s="2323"/>
      <c r="U230" s="2323"/>
      <c r="V230" s="2323"/>
      <c r="W230" s="2323"/>
      <c r="X230" s="2323"/>
      <c r="Y230" s="2323"/>
      <c r="Z230" s="2323"/>
      <c r="AA230" s="2323"/>
      <c r="AB230" s="2323"/>
      <c r="AC230" s="2323"/>
      <c r="AD230" s="2323"/>
      <c r="AE230" s="2323"/>
      <c r="AF230" s="2323"/>
      <c r="AG230" s="2323"/>
      <c r="AH230" s="2323"/>
      <c r="AI230" s="2323"/>
      <c r="AJ230" s="2323"/>
      <c r="AK230" s="2323"/>
      <c r="AL230" s="2323"/>
      <c r="AM230" s="2323"/>
      <c r="AN230" s="2323"/>
      <c r="AO230" s="2323"/>
      <c r="AP230" s="2323"/>
      <c r="AQ230" s="2323"/>
      <c r="AR230" s="2323"/>
      <c r="AS230" s="2323"/>
      <c r="AT230" s="2323"/>
      <c r="AU230" s="2323"/>
      <c r="AV230" s="2323"/>
      <c r="AW230" s="2323"/>
      <c r="AX230" s="2323"/>
      <c r="AY230" s="2323"/>
      <c r="AZ230" s="232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4" t="s">
        <v>2229</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4" t="s">
        <v>2228</v>
      </c>
      <c r="I234" s="2314"/>
      <c r="J234" s="2314"/>
      <c r="K234" s="2314"/>
      <c r="L234" s="1259"/>
      <c r="M234" s="1259"/>
      <c r="N234" s="1259"/>
      <c r="O234" s="1259"/>
      <c r="P234" s="1259"/>
      <c r="Q234" s="1259"/>
      <c r="R234" s="1259"/>
      <c r="S234" s="2325"/>
      <c r="T234" s="2326"/>
      <c r="U234" s="2326"/>
      <c r="V234" s="2326"/>
      <c r="W234" s="2326"/>
      <c r="X234" s="2326"/>
      <c r="Y234" s="2326"/>
      <c r="Z234" s="2326"/>
      <c r="AA234" s="2326"/>
      <c r="AB234" s="2326"/>
      <c r="AC234" s="2326"/>
      <c r="AD234" s="2326"/>
      <c r="AE234" s="2326"/>
      <c r="AF234" s="2326"/>
      <c r="AG234" s="2326"/>
      <c r="AH234" s="2326"/>
      <c r="AI234" s="2326"/>
      <c r="AJ234" s="232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4" t="s">
        <v>2227</v>
      </c>
      <c r="I236" s="2314"/>
      <c r="J236" s="2314"/>
      <c r="K236" s="1261"/>
      <c r="L236" s="1259"/>
      <c r="M236" s="1259"/>
      <c r="N236" s="1259"/>
      <c r="O236" s="1259"/>
      <c r="P236" s="1259"/>
      <c r="Q236" s="1259"/>
      <c r="R236" s="1259"/>
      <c r="S236" s="2315"/>
      <c r="T236" s="2316"/>
      <c r="U236" s="2316"/>
      <c r="V236" s="2316"/>
      <c r="W236" s="2316"/>
      <c r="X236" s="2316"/>
      <c r="Y236" s="2316"/>
      <c r="Z236" s="2316"/>
      <c r="AA236" s="2316"/>
      <c r="AB236" s="2316"/>
      <c r="AC236" s="2316"/>
      <c r="AD236" s="2316"/>
      <c r="AE236" s="2316"/>
      <c r="AF236" s="2316"/>
      <c r="AG236" s="2316"/>
      <c r="AH236" s="2316"/>
      <c r="AI236" s="2316"/>
      <c r="AJ236" s="231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4" t="s">
        <v>441</v>
      </c>
      <c r="I238" s="2314"/>
      <c r="J238" s="1261"/>
      <c r="K238" s="1261"/>
      <c r="L238" s="1259"/>
      <c r="M238" s="1259"/>
      <c r="N238" s="1259"/>
      <c r="O238" s="1259"/>
      <c r="P238" s="1259"/>
      <c r="Q238" s="1259"/>
      <c r="R238" s="1259"/>
      <c r="S238" s="2315"/>
      <c r="T238" s="2316"/>
      <c r="U238" s="2316"/>
      <c r="V238" s="2316"/>
      <c r="W238" s="2316"/>
      <c r="X238" s="2316"/>
      <c r="Y238" s="2316"/>
      <c r="Z238" s="2316"/>
      <c r="AA238" s="2316"/>
      <c r="AB238" s="2316"/>
      <c r="AC238" s="2316"/>
      <c r="AD238" s="2316"/>
      <c r="AE238" s="2316"/>
      <c r="AF238" s="2316"/>
      <c r="AG238" s="2316"/>
      <c r="AH238" s="2316"/>
      <c r="AI238" s="2316"/>
      <c r="AJ238" s="231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8" t="s">
        <v>2226</v>
      </c>
      <c r="I240" s="2318"/>
      <c r="J240" s="2318"/>
      <c r="K240" s="2318"/>
      <c r="L240" s="2318"/>
      <c r="M240" s="2318"/>
      <c r="N240" s="2318"/>
      <c r="O240" s="2318"/>
      <c r="P240" s="1259"/>
      <c r="Q240" s="1259"/>
      <c r="R240" s="1259"/>
      <c r="S240" s="2315"/>
      <c r="T240" s="2316"/>
      <c r="U240" s="2316"/>
      <c r="V240" s="2316"/>
      <c r="W240" s="2316"/>
      <c r="X240" s="2316"/>
      <c r="Y240" s="2316"/>
      <c r="Z240" s="2316"/>
      <c r="AA240" s="2316"/>
      <c r="AB240" s="2316"/>
      <c r="AC240" s="2316"/>
      <c r="AD240" s="2316"/>
      <c r="AE240" s="2316"/>
      <c r="AF240" s="2316"/>
      <c r="AG240" s="2316"/>
      <c r="AH240" s="2316"/>
      <c r="AI240" s="2316"/>
      <c r="AJ240" s="231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9" t="s">
        <v>2225</v>
      </c>
      <c r="I242" s="2319"/>
      <c r="J242" s="1259"/>
      <c r="K242" s="1259"/>
      <c r="L242" s="1259"/>
      <c r="M242" s="1259"/>
      <c r="N242" s="1259"/>
      <c r="O242" s="1259"/>
      <c r="P242" s="1259"/>
      <c r="Q242" s="1259"/>
      <c r="R242" s="1259"/>
      <c r="S242" s="2320"/>
      <c r="T242" s="2321"/>
      <c r="U242" s="2321"/>
      <c r="V242" s="2321"/>
      <c r="W242" s="2321"/>
      <c r="X242" s="2321"/>
      <c r="Y242" s="2321"/>
      <c r="Z242" s="2321"/>
      <c r="AA242" s="2321"/>
      <c r="AB242" s="2321"/>
      <c r="AC242" s="2321"/>
      <c r="AD242" s="2321"/>
      <c r="AE242" s="2321"/>
      <c r="AF242" s="2321"/>
      <c r="AG242" s="2321"/>
      <c r="AH242" s="2321"/>
      <c r="AI242" s="2321"/>
      <c r="AJ242" s="232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6" workbookViewId="0">
      <selection activeCell="E73" sqref="E73:AA75"/>
    </sheetView>
  </sheetViews>
  <sheetFormatPr defaultColWidth="0" defaultRowHeight="13" customHeight="1" zeroHeight="1"/>
  <cols>
    <col min="1" max="1" width="1.54296875" style="402" customWidth="1"/>
    <col min="2" max="2" width="0.81640625" style="402" customWidth="1"/>
    <col min="3" max="18" width="2.54296875" style="402" customWidth="1"/>
    <col min="19" max="19" width="6.453125" style="402" customWidth="1"/>
    <col min="20" max="39" width="2.5429687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80947680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497</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44"/>
      <c r="C18" s="1584" t="s">
        <v>960</v>
      </c>
      <c r="D18" s="1584"/>
      <c r="E18" s="1584"/>
      <c r="F18" s="1584"/>
      <c r="G18" s="1584"/>
      <c r="H18" s="1584"/>
      <c r="I18" s="1584"/>
      <c r="J18" s="1584"/>
      <c r="K18" s="1584"/>
      <c r="L18" s="1584"/>
      <c r="M18" s="1584"/>
      <c r="N18" s="1584"/>
      <c r="O18" s="1584"/>
      <c r="P18" s="1584"/>
      <c r="Q18" s="1584"/>
      <c r="R18" s="1584"/>
      <c r="S18" s="158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44"/>
      <c r="C19" s="1584" t="s">
        <v>960</v>
      </c>
      <c r="D19" s="1584"/>
      <c r="E19" s="1584"/>
      <c r="F19" s="1584"/>
      <c r="G19" s="1584"/>
      <c r="H19" s="1584"/>
      <c r="I19" s="1584"/>
      <c r="J19" s="1584"/>
      <c r="K19" s="1584"/>
      <c r="L19" s="1584"/>
      <c r="M19" s="1584"/>
      <c r="N19" s="1584"/>
      <c r="O19" s="1584"/>
      <c r="P19" s="1584"/>
      <c r="Q19" s="1584"/>
      <c r="R19" s="1584"/>
      <c r="S19" s="158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80947680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Application!AJ1062</f>
        <v>148607356.63</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105231984</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Application!$AG$454</f>
        <v>1</v>
      </c>
      <c r="U27" s="2366"/>
      <c r="V27" s="2366"/>
      <c r="W27" s="2366"/>
      <c r="X27" s="2366"/>
      <c r="Y27" s="2365">
        <f>Application!$AG$454</f>
        <v>1</v>
      </c>
      <c r="Z27" s="2366"/>
      <c r="AA27" s="2366"/>
      <c r="AB27" s="2366"/>
      <c r="AC27" s="2366"/>
      <c r="AD27" s="2365">
        <f>Application!$AG$454</f>
        <v>1</v>
      </c>
      <c r="AE27" s="2366"/>
      <c r="AF27" s="2366"/>
      <c r="AG27" s="2366"/>
      <c r="AH27" s="2366"/>
      <c r="AI27" s="2365">
        <f>Application!$AG$454</f>
        <v>1</v>
      </c>
      <c r="AJ27" s="2366"/>
      <c r="AK27" s="2366"/>
      <c r="AL27" s="2366"/>
      <c r="AM27" s="2366"/>
    </row>
    <row r="28" spans="1:40" ht="13"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105231984</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105231984</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369</v>
      </c>
      <c r="AE35" s="2356"/>
      <c r="AF35" s="2356"/>
      <c r="AG35" s="2356"/>
      <c r="AH35" s="2356"/>
    </row>
    <row r="36" spans="1:76" ht="13" customHeight="1">
      <c r="B36" s="407"/>
      <c r="X36" s="412"/>
      <c r="Y36" s="2355"/>
      <c r="Z36" s="2355"/>
      <c r="AA36" s="2355"/>
      <c r="AB36" s="2355"/>
      <c r="AC36" s="2355"/>
      <c r="AD36" s="2356"/>
      <c r="AE36" s="2356"/>
      <c r="AF36" s="2356"/>
      <c r="AG36" s="2356"/>
      <c r="AH36" s="235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3"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105231984</v>
      </c>
      <c r="Z38" s="2335"/>
      <c r="AA38" s="2335"/>
      <c r="AB38" s="2335"/>
      <c r="AC38" s="2335"/>
      <c r="AD38" s="2335">
        <f>IF(T24&gt;=(T23+Y23+AD23+AI23),AD28+AI28,0)</f>
        <v>0</v>
      </c>
      <c r="AE38" s="2335"/>
      <c r="AF38" s="2335"/>
      <c r="AG38" s="2335"/>
      <c r="AH38" s="2335"/>
    </row>
    <row r="39" spans="1:76" ht="13" customHeight="1">
      <c r="B39" s="2341" t="s">
        <v>1680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4209279</v>
      </c>
      <c r="Z40" s="2335"/>
      <c r="AA40" s="2335"/>
      <c r="AB40" s="2335"/>
      <c r="AC40" s="2335"/>
      <c r="AD40" s="2354">
        <f>ROUND(AD38*AD39,0)</f>
        <v>0</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4209279</v>
      </c>
      <c r="Z41" s="2353"/>
      <c r="AA41" s="2353"/>
      <c r="AB41" s="2353"/>
      <c r="AC41" s="2353"/>
      <c r="AD41" s="2353"/>
      <c r="AE41" s="2353"/>
      <c r="AF41" s="2353"/>
      <c r="AG41" s="2353"/>
      <c r="AH41" s="2354"/>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3" customHeight="1" thickTop="1"/>
    <row r="46" spans="1:76" ht="13" customHeight="1">
      <c r="A46" s="404" t="s">
        <v>586</v>
      </c>
      <c r="C46" s="404" t="s">
        <v>282</v>
      </c>
    </row>
    <row r="47" spans="1:76" ht="13" customHeight="1">
      <c r="D47" s="404" t="s">
        <v>283</v>
      </c>
      <c r="AB47" s="2349">
        <f>'Sources and Uses Budget'!B105-MAX(IF('Sources and Uses Budget'!B15="",0,'Sources and Uses Budget'!B15),IF(Application!AG403="",0,Application!AG403))</f>
        <v>86941310</v>
      </c>
      <c r="AC47" s="2350"/>
      <c r="AD47" s="2350"/>
      <c r="AE47" s="2350"/>
      <c r="AF47" s="2351"/>
    </row>
    <row r="48" spans="1:76" ht="13" customHeight="1">
      <c r="D48" s="404" t="s">
        <v>21</v>
      </c>
      <c r="AB48" s="2349">
        <f>Application!AO647-MAX(IF('Sources and Uses Budget'!B15="",0,'Sources and Uses Budget'!B15),IF(Application!AG403="",0,Application!AG403))</f>
        <v>45077799</v>
      </c>
      <c r="AC48" s="2350"/>
      <c r="AD48" s="2350"/>
      <c r="AE48" s="2350"/>
      <c r="AF48" s="2351"/>
    </row>
    <row r="49" spans="1:76" ht="13" customHeight="1">
      <c r="D49" s="404" t="s">
        <v>91</v>
      </c>
      <c r="AB49" s="2349">
        <f>AB47-AB48</f>
        <v>41863511</v>
      </c>
      <c r="AC49" s="2350"/>
      <c r="AD49" s="2350"/>
      <c r="AE49" s="2350"/>
      <c r="AF49" s="2351"/>
    </row>
    <row r="50" spans="1:76" ht="13" customHeight="1">
      <c r="D50" s="404" t="s">
        <v>681</v>
      </c>
      <c r="AA50" s="415"/>
      <c r="AB50" s="2337">
        <v>0.9</v>
      </c>
      <c r="AC50" s="2338"/>
      <c r="AD50" s="2338"/>
      <c r="AE50" s="2338"/>
      <c r="AF50" s="2339"/>
    </row>
    <row r="51" spans="1:76" s="417" customFormat="1" ht="13" customHeight="1">
      <c r="A51" s="402"/>
      <c r="B51" s="402"/>
      <c r="C51" s="402"/>
      <c r="D51" s="402"/>
      <c r="E51" s="2348" t="s">
        <v>2538</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9">
        <f>ROUND(IF(ISERROR((AB49/AB50)),0,(AB49/AB50)),0)</f>
        <v>46515012</v>
      </c>
      <c r="AC54" s="2350"/>
      <c r="AD54" s="2350"/>
      <c r="AE54" s="2350"/>
      <c r="AF54" s="2351"/>
    </row>
    <row r="55" spans="1:76" ht="13" customHeight="1">
      <c r="D55" s="404" t="s">
        <v>333</v>
      </c>
      <c r="AB55" s="2349">
        <f>(AB54/10)</f>
        <v>4651501.2</v>
      </c>
      <c r="AC55" s="2350"/>
      <c r="AD55" s="2350"/>
      <c r="AE55" s="2350"/>
      <c r="AF55" s="2351"/>
    </row>
    <row r="56" spans="1:76" ht="13" customHeight="1">
      <c r="D56" s="404" t="s">
        <v>756</v>
      </c>
      <c r="AB56" s="2349">
        <f>ROUND((IF((Y41&lt;AB55),Y41,AB55)),0)</f>
        <v>4209279</v>
      </c>
      <c r="AC56" s="2350"/>
      <c r="AD56" s="2350"/>
      <c r="AE56" s="2350"/>
      <c r="AF56" s="2351"/>
    </row>
    <row r="57" spans="1:76" ht="13" customHeight="1">
      <c r="D57" s="404" t="s">
        <v>755</v>
      </c>
      <c r="AB57" s="2349">
        <f>ROUND((10*AB56*AB50),0)</f>
        <v>37883511</v>
      </c>
      <c r="AC57" s="2350"/>
      <c r="AD57" s="2350"/>
      <c r="AE57" s="2350"/>
      <c r="AF57" s="2351"/>
    </row>
    <row r="58" spans="1:76" ht="13" customHeight="1">
      <c r="D58" s="404"/>
      <c r="AB58" s="423"/>
      <c r="AC58" s="423"/>
      <c r="AD58" s="423"/>
      <c r="AE58" s="423"/>
      <c r="AF58" s="423"/>
    </row>
    <row r="59" spans="1:76" ht="13" customHeight="1">
      <c r="D59" s="404" t="s">
        <v>754</v>
      </c>
      <c r="AB59" s="2333">
        <f>AB49-AB57</f>
        <v>3980000</v>
      </c>
      <c r="AC59" s="2333"/>
      <c r="AD59" s="2333"/>
      <c r="AE59" s="2333"/>
      <c r="AF59" s="2333"/>
    </row>
    <row r="60" spans="1:76" ht="13" customHeight="1">
      <c r="D60" s="404"/>
      <c r="AB60" s="423"/>
      <c r="AC60" s="423"/>
      <c r="AD60" s="423"/>
      <c r="AE60" s="423"/>
      <c r="AF60" s="423"/>
    </row>
    <row r="61" spans="1:76" s="204"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3" customHeight="1" thickTop="1"/>
    <row r="63" spans="1:76" ht="13" customHeight="1">
      <c r="A63" s="404" t="s">
        <v>589</v>
      </c>
      <c r="C63" s="205" t="s">
        <v>1248</v>
      </c>
      <c r="Y63" s="2344" t="s">
        <v>984</v>
      </c>
      <c r="Z63" s="2344"/>
      <c r="AA63" s="2344"/>
      <c r="AB63" s="2344"/>
      <c r="AC63" s="2344"/>
      <c r="AD63" s="2344" t="s">
        <v>369</v>
      </c>
      <c r="AE63" s="2344"/>
      <c r="AF63" s="2344"/>
      <c r="AG63" s="2344"/>
      <c r="AH63" s="234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80947680</v>
      </c>
      <c r="Z64" s="2346"/>
      <c r="AA64" s="2346"/>
      <c r="AB64" s="2346"/>
      <c r="AC64" s="2347"/>
      <c r="AD64" s="2345">
        <f>IF(AND(OR(Application!D211="At-Risk",Application!D211="At-Risk and Special Needs"),Application!M367="yes"),AD28+AI28,0)</f>
        <v>0</v>
      </c>
      <c r="AE64" s="2346"/>
      <c r="AF64" s="2346"/>
      <c r="AG64" s="2346"/>
      <c r="AH64" s="2347"/>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0.3</v>
      </c>
      <c r="Z67" s="2334"/>
      <c r="AA67" s="2334"/>
      <c r="AB67" s="2334"/>
      <c r="AC67" s="2334"/>
      <c r="AD67" s="2334">
        <f>IF(Application!Z205="15% set-aside with qualifying low value rehab", 0.95,IF(OR(Application!D211="At-Risk",'Points System'!B26="Yes"),0.13,0))</f>
        <v>0</v>
      </c>
      <c r="AE67" s="2334"/>
      <c r="AF67" s="2334"/>
      <c r="AG67" s="2334"/>
      <c r="AH67" s="2334"/>
    </row>
    <row r="68" spans="1:37" ht="13" customHeight="1">
      <c r="C68" s="404"/>
      <c r="D68" s="205" t="s">
        <v>2180</v>
      </c>
      <c r="Y68" s="2335">
        <f>IF(AND(T25=1.3,OR(Y67=0.13,Y67=0.95),NOT(Application!T212&gt;=50%)),0,ROUND(Y64*Y67,0))</f>
        <v>24284304</v>
      </c>
      <c r="Z68" s="2336"/>
      <c r="AA68" s="2336"/>
      <c r="AB68" s="2336"/>
      <c r="AC68" s="2336"/>
      <c r="AD68" s="2335">
        <f>IF(AND(T25=1.3,AD67&gt;0,NOT(Application!T212&gt;=50%)),0,ROUND(AD64*AD67,0))</f>
        <v>0</v>
      </c>
      <c r="AE68" s="2336"/>
      <c r="AF68" s="2336"/>
      <c r="AG68" s="2336"/>
      <c r="AH68" s="2336"/>
      <c r="AK68" s="1192"/>
    </row>
    <row r="69" spans="1:37" ht="13" customHeight="1">
      <c r="C69" s="404"/>
      <c r="D69" s="205" t="s">
        <v>2181</v>
      </c>
      <c r="Y69" s="2335">
        <f>IF(OR(Application!Z205="State Farmworker Credit",Application!Z205="$500M (Farmworker Housing)"),Y68+AD68,MIN(Y68+AD68,200000*(Application!G761+Application!O785)))</f>
        <v>19200000</v>
      </c>
      <c r="Z69" s="2335"/>
      <c r="AA69" s="2335"/>
      <c r="AB69" s="2335"/>
      <c r="AC69" s="2335"/>
      <c r="AD69" s="2335"/>
      <c r="AE69" s="2335"/>
      <c r="AF69" s="2335"/>
      <c r="AG69" s="2335"/>
      <c r="AH69" s="2335"/>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7">
        <v>0.9</v>
      </c>
      <c r="AC72" s="2338"/>
      <c r="AD72" s="2338"/>
      <c r="AE72" s="2338"/>
      <c r="AF72" s="2339"/>
    </row>
    <row r="73" spans="1:37" ht="13"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7" ht="13"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7" ht="13"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8">
        <f>ROUND(IF(ISERROR((AB59/AB72)),0,(AB59/AB72)),0)</f>
        <v>4422222</v>
      </c>
      <c r="AC77" s="2328"/>
      <c r="AD77" s="2328"/>
      <c r="AE77" s="2328"/>
      <c r="AF77" s="2328"/>
    </row>
    <row r="78" spans="1:37" ht="13" customHeight="1">
      <c r="C78" s="404"/>
      <c r="D78" s="205" t="s">
        <v>1253</v>
      </c>
      <c r="AB78" s="2329">
        <f>ROUNDUP(MIN(Y69,AB77),0)</f>
        <v>4422222</v>
      </c>
      <c r="AC78" s="2330"/>
      <c r="AD78" s="2330"/>
      <c r="AE78" s="2330"/>
      <c r="AF78" s="2331"/>
    </row>
    <row r="79" spans="1:37" ht="13" customHeight="1">
      <c r="C79" s="404"/>
      <c r="D79" s="205" t="s">
        <v>1254</v>
      </c>
      <c r="AB79" s="2332">
        <f>AB78*AB72</f>
        <v>3979999.8000000003</v>
      </c>
      <c r="AC79" s="2332"/>
      <c r="AD79" s="2332"/>
      <c r="AE79" s="2332"/>
      <c r="AF79" s="2332"/>
    </row>
    <row r="80" spans="1:37" ht="13" customHeight="1">
      <c r="C80" s="404"/>
      <c r="D80" s="404"/>
      <c r="AB80" s="425"/>
      <c r="AC80" s="425"/>
      <c r="AD80" s="425"/>
      <c r="AE80" s="425"/>
      <c r="AF80" s="425"/>
    </row>
    <row r="81" spans="1:78" ht="13" customHeight="1">
      <c r="D81" s="404" t="s">
        <v>754</v>
      </c>
      <c r="AB81" s="2333">
        <f>AB49-(AB57+AB79)</f>
        <v>0.20000000298023224</v>
      </c>
      <c r="AC81" s="2333"/>
      <c r="AD81" s="2333"/>
      <c r="AE81" s="2333"/>
      <c r="AF81" s="2333"/>
    </row>
    <row r="82" spans="1:78" ht="13" customHeight="1">
      <c r="F82" s="522"/>
      <c r="J82" s="522" t="str">
        <f>IF(AB81&gt;0,"FUNDING GAP MUST NOT EXCEED ZERO","")</f>
        <v>FUNDING GAP MUST NOT EXCEED ZERO</v>
      </c>
    </row>
    <row r="83" spans="1:78" ht="13" customHeight="1">
      <c r="D83" s="523"/>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hidden="1" customHeight="1">
      <c r="A86" s="404"/>
      <c r="C86" s="205"/>
    </row>
    <row r="87" spans="1:78" ht="13" hidden="1" customHeight="1">
      <c r="D87" s="205"/>
      <c r="AB87" s="2384"/>
      <c r="AC87" s="2384"/>
      <c r="AD87" s="2384"/>
      <c r="AE87" s="2384"/>
      <c r="AF87" s="2384"/>
    </row>
    <row r="88" spans="1:78" ht="13" hidden="1"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99" zoomScale="98" zoomScaleNormal="98" workbookViewId="0">
      <selection activeCell="F308" sqref="F308:AD309"/>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4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5429687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7" t="s">
        <v>1299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1"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0" t="s">
        <v>1303</v>
      </c>
      <c r="AF7" s="2420"/>
      <c r="AG7" s="2420"/>
      <c r="AH7" s="2420"/>
      <c r="AI7" s="2420"/>
      <c r="AJ7" s="2420"/>
      <c r="AK7" s="2420"/>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2" t="s">
        <v>591</v>
      </c>
      <c r="C12" s="2392"/>
      <c r="D12" s="540"/>
      <c r="E12" s="2408" t="s">
        <v>2552</v>
      </c>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10"/>
      <c r="AK12" s="540"/>
      <c r="AL12" s="540"/>
      <c r="AM12" s="540"/>
      <c r="AN12" s="535"/>
      <c r="AO12" s="557"/>
    </row>
    <row r="13" spans="1:41" s="536" customFormat="1" ht="12.75" customHeight="1">
      <c r="A13" s="540"/>
      <c r="D13" s="546"/>
      <c r="E13" s="2437"/>
      <c r="F13" s="2438"/>
      <c r="G13" s="2438"/>
      <c r="H13" s="2438"/>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G13" s="2438"/>
      <c r="AH13" s="2438"/>
      <c r="AI13" s="2438"/>
      <c r="AJ13" s="2439"/>
      <c r="AK13" s="540"/>
      <c r="AL13" s="540"/>
      <c r="AM13" s="540"/>
      <c r="AN13" s="535"/>
      <c r="AO13" s="557"/>
    </row>
    <row r="14" spans="1:41" s="536" customFormat="1" ht="12.75" customHeight="1">
      <c r="A14" s="540"/>
      <c r="D14" s="540"/>
      <c r="E14" s="2411"/>
      <c r="F14" s="2412"/>
      <c r="G14" s="2412"/>
      <c r="H14" s="2412"/>
      <c r="I14" s="2412"/>
      <c r="J14" s="2412"/>
      <c r="K14" s="2412"/>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c r="AH14" s="2412"/>
      <c r="AI14" s="2412"/>
      <c r="AJ14" s="24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2" t="s">
        <v>591</v>
      </c>
      <c r="C16" s="2392"/>
      <c r="D16" s="540"/>
      <c r="E16" s="2408" t="s">
        <v>2553</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row>
    <row r="17" spans="1:50" s="536" customFormat="1" ht="12.75" customHeight="1">
      <c r="A17" s="540"/>
      <c r="B17" s="540"/>
      <c r="C17" s="540"/>
      <c r="D17" s="540"/>
      <c r="E17" s="2437"/>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9"/>
      <c r="AK17" s="540"/>
      <c r="AL17" s="540"/>
      <c r="AM17" s="540"/>
      <c r="AN17" s="535"/>
    </row>
    <row r="18" spans="1:50" s="536" customFormat="1" ht="12.75" customHeight="1">
      <c r="A18" s="540"/>
      <c r="B18" s="540"/>
      <c r="C18" s="1135"/>
      <c r="D18" s="540"/>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2" t="s">
        <v>591</v>
      </c>
      <c r="C20" s="2392"/>
      <c r="D20" s="540"/>
      <c r="E20" s="2408" t="s">
        <v>1980</v>
      </c>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10"/>
      <c r="AK20" s="540"/>
      <c r="AL20" s="540"/>
      <c r="AM20" s="540"/>
      <c r="AN20" s="535"/>
    </row>
    <row r="21" spans="1:50" s="536" customFormat="1" ht="12.75" customHeight="1">
      <c r="A21" s="540"/>
      <c r="B21" s="546"/>
      <c r="C21" s="546"/>
      <c r="D21" s="546"/>
      <c r="E21" s="2411"/>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3"/>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2" t="s">
        <v>591</v>
      </c>
      <c r="C26" s="2392"/>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9"/>
      <c r="AH26" s="2429"/>
      <c r="AI26" s="2429"/>
      <c r="AJ26" s="2430"/>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2" t="s">
        <v>591</v>
      </c>
      <c r="C30" s="2392"/>
      <c r="D30" s="546"/>
      <c r="E30" s="2393" t="s">
        <v>2560</v>
      </c>
      <c r="F30" s="2394"/>
      <c r="G30" s="2394"/>
      <c r="H30" s="2394"/>
      <c r="I30" s="2394"/>
      <c r="J30" s="2394"/>
      <c r="K30" s="2394"/>
      <c r="L30" s="2394"/>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5"/>
      <c r="AK30" s="540"/>
      <c r="AL30" s="540"/>
      <c r="AM30" s="540"/>
      <c r="AN30" s="535"/>
      <c r="AO30" s="549">
        <f>IF($B30="yes",9,0)</f>
        <v>0</v>
      </c>
    </row>
    <row r="31" spans="1:50" s="536" customFormat="1" ht="12.75" customHeight="1">
      <c r="A31" s="540"/>
      <c r="B31" s="540"/>
      <c r="C31" s="540"/>
      <c r="E31" s="2396"/>
      <c r="F31" s="2397"/>
      <c r="G31" s="2397"/>
      <c r="H31" s="2397"/>
      <c r="I31" s="2397"/>
      <c r="J31" s="2397"/>
      <c r="K31" s="2397"/>
      <c r="L31" s="2397"/>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2" t="s">
        <v>591</v>
      </c>
      <c r="C33" s="2392"/>
      <c r="D33" s="546"/>
      <c r="E33" s="2393" t="s">
        <v>2561</v>
      </c>
      <c r="F33" s="2394"/>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5"/>
      <c r="AK33" s="540"/>
      <c r="AL33" s="540"/>
      <c r="AM33" s="540"/>
      <c r="AN33" s="535"/>
      <c r="AO33" s="549">
        <f>IF($B39="yes",9,0)</f>
        <v>0</v>
      </c>
    </row>
    <row r="34" spans="1:43" s="536" customFormat="1" ht="12.75" customHeight="1">
      <c r="A34" s="540"/>
      <c r="B34" s="540"/>
      <c r="C34" s="540"/>
      <c r="D34" s="546"/>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c r="AO34" s="536">
        <f>MAX(AO30,AO31,AO32,AO33)</f>
        <v>0</v>
      </c>
      <c r="AP34" s="536" t="s">
        <v>1305</v>
      </c>
    </row>
    <row r="35" spans="1:43" s="536" customFormat="1" ht="12.75" customHeight="1">
      <c r="A35" s="540"/>
      <c r="B35" s="540"/>
      <c r="C35" s="540"/>
      <c r="E35" s="2396"/>
      <c r="F35" s="2397"/>
      <c r="G35" s="2397"/>
      <c r="H35" s="2397"/>
      <c r="I35" s="2397"/>
      <c r="J35" s="2397"/>
      <c r="K35" s="2397"/>
      <c r="L35" s="2397"/>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2" t="s">
        <v>591</v>
      </c>
      <c r="C37" s="2392"/>
      <c r="D37" s="1136"/>
      <c r="E37" s="2399" t="s">
        <v>2565</v>
      </c>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2" t="s">
        <v>591</v>
      </c>
      <c r="C39" s="2392"/>
      <c r="D39" s="1136"/>
      <c r="E39" s="2399" t="s">
        <v>2562</v>
      </c>
      <c r="F39" s="2400"/>
      <c r="G39" s="2400"/>
      <c r="H39" s="2400"/>
      <c r="I39" s="2400"/>
      <c r="J39" s="2400"/>
      <c r="K39" s="2400"/>
      <c r="L39" s="240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2" t="s">
        <v>591</v>
      </c>
      <c r="C43" s="2392"/>
      <c r="D43" s="546"/>
      <c r="E43" s="2402" t="s">
        <v>2564</v>
      </c>
      <c r="F43" s="2403"/>
      <c r="G43" s="2403"/>
      <c r="H43" s="2403"/>
      <c r="I43" s="2403"/>
      <c r="J43" s="2403"/>
      <c r="K43" s="2403"/>
      <c r="L43" s="2403"/>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4"/>
      <c r="AK43" s="540"/>
      <c r="AL43" s="540"/>
      <c r="AM43" s="540"/>
      <c r="AN43" s="535"/>
      <c r="AO43" s="549">
        <f>IF($B43="yes",8,0)</f>
        <v>0</v>
      </c>
      <c r="AP43" s="14"/>
    </row>
    <row r="44" spans="1:43" s="536" customFormat="1" ht="12.75" customHeight="1">
      <c r="A44" s="540"/>
      <c r="B44" s="540"/>
      <c r="C44" s="540"/>
      <c r="D44" s="550"/>
      <c r="E44" s="2405"/>
      <c r="F44" s="2406"/>
      <c r="G44" s="2406"/>
      <c r="H44" s="2406"/>
      <c r="I44" s="2406"/>
      <c r="J44" s="2406"/>
      <c r="K44" s="2406"/>
      <c r="L44" s="240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2" t="s">
        <v>591</v>
      </c>
      <c r="C46" s="2392"/>
      <c r="D46" s="546"/>
      <c r="E46" s="2393" t="s">
        <v>2563</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5"/>
      <c r="AK46" s="540"/>
      <c r="AL46" s="540"/>
      <c r="AM46" s="540"/>
      <c r="AN46" s="535"/>
      <c r="AO46" s="549">
        <f>IF($B52="yes",8,0)</f>
        <v>0</v>
      </c>
    </row>
    <row r="47" spans="1:43" s="536" customFormat="1" ht="12.75" customHeight="1">
      <c r="A47" s="540"/>
      <c r="B47" s="540"/>
      <c r="C47" s="540"/>
      <c r="D47" s="549"/>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2" t="s">
        <v>591</v>
      </c>
      <c r="C49" s="2392"/>
      <c r="D49" s="546"/>
      <c r="E49" s="2408" t="s">
        <v>1994</v>
      </c>
      <c r="F49" s="2409"/>
      <c r="G49" s="2409"/>
      <c r="H49" s="2409"/>
      <c r="I49" s="2409"/>
      <c r="J49" s="2409"/>
      <c r="K49" s="2409"/>
      <c r="L49" s="2409"/>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10"/>
      <c r="AK49" s="540"/>
      <c r="AL49" s="540"/>
      <c r="AM49" s="540"/>
      <c r="AN49" s="535"/>
      <c r="AO49" s="549"/>
    </row>
    <row r="50" spans="1:42" s="536" customFormat="1" ht="12.75" customHeight="1">
      <c r="A50" s="540"/>
      <c r="B50" s="540"/>
      <c r="C50" s="540"/>
      <c r="D50" s="549"/>
      <c r="E50" s="2411"/>
      <c r="F50" s="2412"/>
      <c r="G50" s="2412"/>
      <c r="H50" s="2412"/>
      <c r="I50" s="2412"/>
      <c r="J50" s="2412"/>
      <c r="K50" s="2412"/>
      <c r="L50" s="241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2" t="s">
        <v>591</v>
      </c>
      <c r="C52" s="2392"/>
      <c r="D52" s="546"/>
      <c r="E52" s="2399" t="s">
        <v>2203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2" t="s">
        <v>591</v>
      </c>
      <c r="C56" s="2392"/>
      <c r="D56" s="546"/>
      <c r="E56" s="2408" t="s">
        <v>2566</v>
      </c>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10"/>
      <c r="AK56" s="540"/>
      <c r="AL56" s="540"/>
      <c r="AM56" s="540"/>
      <c r="AN56" s="535"/>
      <c r="AO56" s="549">
        <f>IF($B59="yes",7,0)</f>
        <v>0</v>
      </c>
    </row>
    <row r="57" spans="1:42" s="536" customFormat="1" ht="12.75" customHeight="1">
      <c r="A57" s="540"/>
      <c r="B57" s="540"/>
      <c r="C57" s="540"/>
      <c r="D57" s="549"/>
      <c r="E57" s="2411"/>
      <c r="F57" s="2412"/>
      <c r="G57" s="2412"/>
      <c r="H57" s="2412"/>
      <c r="I57" s="2412"/>
      <c r="J57" s="2412"/>
      <c r="K57" s="2412"/>
      <c r="L57" s="241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3"/>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2" t="s">
        <v>591</v>
      </c>
      <c r="C59" s="2392"/>
      <c r="D59" s="546"/>
      <c r="E59" s="2399" t="s">
        <v>2567</v>
      </c>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1">
        <f>AO60</f>
        <v>0</v>
      </c>
      <c r="AL61" s="2432"/>
      <c r="AM61" s="243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0" t="s">
        <v>1308</v>
      </c>
      <c r="AF64" s="2420"/>
      <c r="AG64" s="2420"/>
      <c r="AH64" s="2420"/>
      <c r="AI64" s="2420"/>
      <c r="AJ64" s="2420"/>
      <c r="AK64" s="2420"/>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2" t="s">
        <v>591</v>
      </c>
      <c r="C67" s="2392"/>
      <c r="D67" s="546" t="s">
        <v>1309</v>
      </c>
      <c r="E67" s="2402" t="s">
        <v>1981</v>
      </c>
      <c r="F67" s="2403"/>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4"/>
      <c r="AK67" s="543"/>
      <c r="AL67" s="540"/>
      <c r="AM67" s="540"/>
      <c r="AN67" s="535"/>
      <c r="AO67" s="549">
        <f>IF($B67="yes",10,0)</f>
        <v>0</v>
      </c>
    </row>
    <row r="68" spans="1:42" s="536" customFormat="1" ht="12.75" customHeight="1">
      <c r="A68" s="538"/>
      <c r="B68" s="540"/>
      <c r="C68" s="540"/>
      <c r="D68" s="550"/>
      <c r="E68" s="2421"/>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3"/>
      <c r="AK68" s="543"/>
      <c r="AL68" s="540"/>
      <c r="AM68" s="540"/>
      <c r="AN68" s="535"/>
      <c r="AO68" s="549">
        <f>IF(AND($B73="yes",OR(E74="Yes",E75="Yes",E76="Yes")),10,0)</f>
        <v>10</v>
      </c>
    </row>
    <row r="69" spans="1:42" s="536" customFormat="1" ht="12.75" customHeight="1">
      <c r="A69" s="538"/>
      <c r="B69" s="540"/>
      <c r="C69" s="540"/>
      <c r="D69" s="550"/>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3"/>
      <c r="AL69" s="540"/>
      <c r="AM69" s="540"/>
      <c r="AN69" s="535"/>
      <c r="AO69" s="549">
        <f>IF($B78="yes",10,0)</f>
        <v>0</v>
      </c>
    </row>
    <row r="70" spans="1:42" s="536" customFormat="1" ht="12.75" customHeight="1">
      <c r="A70" s="538"/>
      <c r="B70" s="540"/>
      <c r="C70" s="540"/>
      <c r="D70" s="550"/>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3"/>
      <c r="AL70" s="540"/>
      <c r="AM70" s="540"/>
      <c r="AN70" s="535"/>
      <c r="AO70" s="549">
        <f>IF($B81="yes",10,0)</f>
        <v>0</v>
      </c>
    </row>
    <row r="71" spans="1:42" s="536" customFormat="1" ht="12.75" customHeight="1">
      <c r="A71" s="538"/>
      <c r="B71" s="540"/>
      <c r="C71" s="540"/>
      <c r="D71" s="550"/>
      <c r="E71" s="2405"/>
      <c r="F71" s="2406"/>
      <c r="G71" s="2406"/>
      <c r="H71" s="2406"/>
      <c r="I71" s="2406"/>
      <c r="J71" s="2406"/>
      <c r="K71" s="2406"/>
      <c r="L71" s="2406"/>
      <c r="M71" s="2406"/>
      <c r="N71" s="2406"/>
      <c r="O71" s="2406"/>
      <c r="P71" s="2406"/>
      <c r="Q71" s="2406"/>
      <c r="R71" s="2406"/>
      <c r="S71" s="2406"/>
      <c r="T71" s="2406"/>
      <c r="U71" s="2406"/>
      <c r="V71" s="2406"/>
      <c r="W71" s="2406"/>
      <c r="X71" s="2406"/>
      <c r="Y71" s="2406"/>
      <c r="Z71" s="2406"/>
      <c r="AA71" s="2406"/>
      <c r="AB71" s="2406"/>
      <c r="AC71" s="2406"/>
      <c r="AD71" s="2406"/>
      <c r="AE71" s="2406"/>
      <c r="AF71" s="2406"/>
      <c r="AG71" s="2406"/>
      <c r="AH71" s="2406"/>
      <c r="AI71" s="2406"/>
      <c r="AJ71" s="240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2" t="s">
        <v>545</v>
      </c>
      <c r="C73" s="2392"/>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4" t="s">
        <v>545</v>
      </c>
      <c r="F74" s="2392"/>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8" t="s">
        <v>591</v>
      </c>
      <c r="F75" s="2419"/>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8" t="s">
        <v>591</v>
      </c>
      <c r="F76" s="2419"/>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2" t="s">
        <v>591</v>
      </c>
      <c r="C78" s="2392"/>
      <c r="D78" s="546" t="s">
        <v>1314</v>
      </c>
      <c r="E78" s="2408" t="s">
        <v>1729</v>
      </c>
      <c r="F78" s="2409"/>
      <c r="G78" s="2409"/>
      <c r="H78" s="2409"/>
      <c r="I78" s="2409"/>
      <c r="J78" s="2409"/>
      <c r="K78" s="2409"/>
      <c r="L78" s="2409"/>
      <c r="M78" s="2409"/>
      <c r="N78" s="2409"/>
      <c r="O78" s="2409"/>
      <c r="P78" s="2409"/>
      <c r="Q78" s="2409"/>
      <c r="R78" s="2409"/>
      <c r="S78" s="2409"/>
      <c r="T78" s="2409"/>
      <c r="U78" s="2409"/>
      <c r="V78" s="2409"/>
      <c r="W78" s="2409"/>
      <c r="X78" s="2409"/>
      <c r="Y78" s="2409"/>
      <c r="Z78" s="2409"/>
      <c r="AA78" s="2409"/>
      <c r="AB78" s="2409"/>
      <c r="AC78" s="2409"/>
      <c r="AD78" s="2409"/>
      <c r="AE78" s="2409"/>
      <c r="AF78" s="2409"/>
      <c r="AG78" s="2409"/>
      <c r="AH78" s="2409"/>
      <c r="AI78" s="2409"/>
      <c r="AJ78" s="2410"/>
      <c r="AK78" s="543"/>
      <c r="AL78" s="540"/>
      <c r="AM78" s="540"/>
      <c r="AN78" s="535"/>
    </row>
    <row r="79" spans="1:42" s="536" customFormat="1" ht="12.75" customHeight="1">
      <c r="A79" s="538"/>
      <c r="B79" s="540"/>
      <c r="C79" s="540"/>
      <c r="E79" s="2411"/>
      <c r="F79" s="2412"/>
      <c r="G79" s="2412"/>
      <c r="H79" s="2412"/>
      <c r="I79" s="2412"/>
      <c r="J79" s="2412"/>
      <c r="K79" s="2412"/>
      <c r="L79" s="2412"/>
      <c r="M79" s="2412"/>
      <c r="N79" s="2412"/>
      <c r="O79" s="2412"/>
      <c r="P79" s="2412"/>
      <c r="Q79" s="2412"/>
      <c r="R79" s="2412"/>
      <c r="S79" s="2412"/>
      <c r="T79" s="2412"/>
      <c r="U79" s="2412"/>
      <c r="V79" s="2412"/>
      <c r="W79" s="2412"/>
      <c r="X79" s="2412"/>
      <c r="Y79" s="2412"/>
      <c r="Z79" s="2412"/>
      <c r="AA79" s="2412"/>
      <c r="AB79" s="2412"/>
      <c r="AC79" s="2412"/>
      <c r="AD79" s="2412"/>
      <c r="AE79" s="2412"/>
      <c r="AF79" s="2412"/>
      <c r="AG79" s="2412"/>
      <c r="AH79" s="2412"/>
      <c r="AI79" s="2412"/>
      <c r="AJ79" s="24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2" t="s">
        <v>591</v>
      </c>
      <c r="C81" s="2392"/>
      <c r="D81" s="546" t="s">
        <v>1461</v>
      </c>
      <c r="E81" s="2399" t="s">
        <v>1727</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1">
        <f>IF(AK61&gt;0,0,AO71)</f>
        <v>10</v>
      </c>
      <c r="AL83" s="2432"/>
      <c r="AM83" s="243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0" t="s">
        <v>1303</v>
      </c>
      <c r="AF86" s="2420"/>
      <c r="AG86" s="2420"/>
      <c r="AH86" s="2420"/>
      <c r="AI86" s="2420"/>
      <c r="AJ86" s="2420"/>
      <c r="AK86" s="2420"/>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2" t="s">
        <v>591</v>
      </c>
      <c r="C89" s="2392"/>
      <c r="D89" s="546" t="s">
        <v>1309</v>
      </c>
      <c r="E89" s="2402" t="s">
        <v>1319</v>
      </c>
      <c r="F89" s="2403"/>
      <c r="G89" s="2403"/>
      <c r="H89" s="2403"/>
      <c r="I89" s="2403"/>
      <c r="J89" s="2403"/>
      <c r="K89" s="2403"/>
      <c r="L89" s="2403"/>
      <c r="M89" s="2403"/>
      <c r="N89" s="2403"/>
      <c r="O89" s="2403"/>
      <c r="P89" s="2403"/>
      <c r="Q89" s="2403"/>
      <c r="R89" s="2403"/>
      <c r="S89" s="2403"/>
      <c r="T89" s="2403"/>
      <c r="U89" s="2403"/>
      <c r="V89" s="2403"/>
      <c r="W89" s="2403"/>
      <c r="X89" s="2403"/>
      <c r="Y89" s="2403"/>
      <c r="Z89" s="2403"/>
      <c r="AA89" s="2403"/>
      <c r="AB89" s="2403"/>
      <c r="AC89" s="2403"/>
      <c r="AD89" s="2403"/>
      <c r="AE89" s="2403"/>
      <c r="AF89" s="2403"/>
      <c r="AG89" s="2403"/>
      <c r="AH89" s="2403"/>
      <c r="AI89" s="2403"/>
      <c r="AJ89" s="2404"/>
      <c r="AK89" s="543"/>
      <c r="AL89" s="540"/>
      <c r="AM89" s="540"/>
      <c r="AN89" s="535"/>
    </row>
    <row r="90" spans="1:43" s="536" customFormat="1" ht="12.75" customHeight="1">
      <c r="A90" s="538"/>
      <c r="B90" s="539"/>
      <c r="C90" s="539"/>
      <c r="D90" s="539"/>
      <c r="E90" s="2421"/>
      <c r="F90" s="2422"/>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22"/>
      <c r="AD90" s="2422"/>
      <c r="AE90" s="2422"/>
      <c r="AF90" s="2422"/>
      <c r="AG90" s="2422"/>
      <c r="AH90" s="2422"/>
      <c r="AI90" s="2422"/>
      <c r="AJ90" s="242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4">
        <f>Application!AC761</f>
        <v>0.49789473684210528</v>
      </c>
      <c r="F92" s="2415"/>
      <c r="G92" s="2415"/>
      <c r="H92" s="241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6">
        <f>0.6-ROUNDUP(E92,2)</f>
        <v>9.9999999999999978E-2</v>
      </c>
      <c r="F93" s="2417"/>
      <c r="G93" s="2417"/>
      <c r="H93" s="2417"/>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3">
        <f>IF(E93*200&gt;20,20,E93*200)</f>
        <v>19.999999999999996</v>
      </c>
      <c r="F94" s="2444"/>
      <c r="G94" s="2444"/>
      <c r="H94" s="244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2" t="s">
        <v>545</v>
      </c>
      <c r="C97" s="2392"/>
      <c r="D97" s="546" t="s">
        <v>1311</v>
      </c>
      <c r="E97" s="2402" t="s">
        <v>1714</v>
      </c>
      <c r="F97" s="2403"/>
      <c r="G97" s="2403"/>
      <c r="H97" s="2403"/>
      <c r="I97" s="2403"/>
      <c r="J97" s="2403"/>
      <c r="K97" s="2403"/>
      <c r="L97" s="2403"/>
      <c r="M97" s="2403"/>
      <c r="N97" s="2403"/>
      <c r="O97" s="2403"/>
      <c r="P97" s="2403"/>
      <c r="Q97" s="2403"/>
      <c r="R97" s="2403"/>
      <c r="S97" s="2403"/>
      <c r="T97" s="2403"/>
      <c r="U97" s="2403"/>
      <c r="V97" s="2403"/>
      <c r="W97" s="2403"/>
      <c r="X97" s="2403"/>
      <c r="Y97" s="2403"/>
      <c r="Z97" s="2403"/>
      <c r="AA97" s="2403"/>
      <c r="AB97" s="2403"/>
      <c r="AC97" s="2403"/>
      <c r="AD97" s="2403"/>
      <c r="AE97" s="2403"/>
      <c r="AF97" s="2403"/>
      <c r="AG97" s="2403"/>
      <c r="AH97" s="2403"/>
      <c r="AI97" s="2403"/>
      <c r="AJ97" s="2404"/>
      <c r="AK97" s="543"/>
      <c r="AL97" s="540"/>
      <c r="AM97" s="540"/>
      <c r="AN97" s="535"/>
    </row>
    <row r="98" spans="1:47" s="536" customFormat="1" ht="12.75" customHeight="1">
      <c r="A98" s="538"/>
      <c r="B98" s="539"/>
      <c r="C98" s="539"/>
      <c r="D98" s="539"/>
      <c r="E98" s="2421"/>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422"/>
      <c r="AC98" s="2422"/>
      <c r="AD98" s="2422"/>
      <c r="AE98" s="2422"/>
      <c r="AF98" s="2422"/>
      <c r="AG98" s="2422"/>
      <c r="AH98" s="2422"/>
      <c r="AI98" s="2422"/>
      <c r="AJ98" s="2423"/>
      <c r="AK98" s="543"/>
      <c r="AL98" s="540"/>
      <c r="AM98" s="540"/>
      <c r="AN98" s="535"/>
    </row>
    <row r="99" spans="1:47" s="536" customFormat="1" ht="12.75" customHeight="1">
      <c r="A99" s="538"/>
      <c r="B99" s="539"/>
      <c r="C99" s="539"/>
      <c r="D99" s="539"/>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3"/>
      <c r="AL99" s="540"/>
      <c r="AM99" s="540"/>
      <c r="AN99" s="535"/>
    </row>
    <row r="100" spans="1:47" s="536" customFormat="1" ht="12.75" customHeight="1">
      <c r="A100" s="538"/>
      <c r="B100" s="539"/>
      <c r="C100" s="539"/>
      <c r="D100" s="539"/>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4">
        <f>Application!AC761</f>
        <v>0.49789473684210528</v>
      </c>
      <c r="F102" s="2415"/>
      <c r="G102" s="2415"/>
      <c r="H102" s="241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4">
        <f ca="1">SUMIF(Application!AC726:AG760,0.2,Application!G726:J760)/Application!G761+SUMIF(Application!AC726:AG760,0.25,Application!G726:J760)/Application!G761+SUMIF(Application!AC726:AG760,0.3,Application!G726:J760)/Application!G761</f>
        <v>0.31578947368421051</v>
      </c>
      <c r="F103" s="2415"/>
      <c r="G103" s="2415"/>
      <c r="H103" s="241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4">
        <f ca="1">SUMIF(Application!AC726:AG760,0.35,Application!G726:J760)/Application!G761+SUMIF(Application!AC726:AG760,0.4,Application!G726:J760)/Application!G761+SUMIF(Application!AC726:AG760,0.45,Application!G726:J760)/Application!G761+SUMIF(Application!AC726:AG760,0.5,Application!G726:J760)/Application!G761</f>
        <v>0.31578947368421051</v>
      </c>
      <c r="F104" s="2415"/>
      <c r="G104" s="2415"/>
      <c r="H104" s="241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9">
        <f ca="1">IF(AND(E102&lt;=0.6,OR(AND(E103&gt;=0.1,E104&gt;=0.1),AND(E103&gt;0.1,(E103+E104)&gt;=0.2))),20,0)</f>
        <v>20</v>
      </c>
      <c r="F105" s="2450"/>
      <c r="G105" s="2450"/>
      <c r="H105" s="2450"/>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1">
        <f ca="1">MAX(AP94,AP105)</f>
        <v>20</v>
      </c>
      <c r="AL108" s="2432"/>
      <c r="AM108" s="243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0" t="s">
        <v>1308</v>
      </c>
      <c r="AF111" s="2420"/>
      <c r="AG111" s="2420"/>
      <c r="AH111" s="2420"/>
      <c r="AI111" s="2420"/>
      <c r="AJ111" s="2420"/>
      <c r="AK111" s="2420"/>
      <c r="AL111" s="540"/>
      <c r="AM111" s="540"/>
      <c r="AN111" s="535"/>
      <c r="AO111" s="536" t="str">
        <f>Application!B726</f>
        <v>SRO/Studio</v>
      </c>
      <c r="AQ111" s="536">
        <f>Application!O726</f>
        <v>744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1024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1303</v>
      </c>
    </row>
    <row r="114" spans="1:52" s="536" customFormat="1" ht="12.75" customHeight="1">
      <c r="A114" s="540"/>
      <c r="B114" s="2392" t="s">
        <v>545</v>
      </c>
      <c r="C114" s="2392"/>
      <c r="D114" s="546" t="s">
        <v>1309</v>
      </c>
      <c r="E114" s="2402" t="s">
        <v>2569</v>
      </c>
      <c r="F114" s="2403"/>
      <c r="G114" s="2403"/>
      <c r="H114" s="2403"/>
      <c r="I114" s="2403"/>
      <c r="J114" s="2403"/>
      <c r="K114" s="2403"/>
      <c r="L114" s="2403"/>
      <c r="M114" s="2403"/>
      <c r="N114" s="2403"/>
      <c r="O114" s="2403"/>
      <c r="P114" s="2403"/>
      <c r="Q114" s="2403"/>
      <c r="R114" s="2403"/>
      <c r="S114" s="2403"/>
      <c r="T114" s="2403"/>
      <c r="U114" s="2403"/>
      <c r="V114" s="2403"/>
      <c r="W114" s="2403"/>
      <c r="X114" s="2403"/>
      <c r="Y114" s="2403"/>
      <c r="Z114" s="2403"/>
      <c r="AA114" s="2403"/>
      <c r="AB114" s="2403"/>
      <c r="AC114" s="2403"/>
      <c r="AD114" s="2403"/>
      <c r="AE114" s="2403"/>
      <c r="AF114" s="2403"/>
      <c r="AG114" s="2403"/>
      <c r="AH114" s="2403"/>
      <c r="AI114" s="2403"/>
      <c r="AJ114" s="2404"/>
      <c r="AK114" s="540"/>
      <c r="AL114" s="540"/>
      <c r="AM114" s="540"/>
      <c r="AN114" s="535"/>
      <c r="AO114" s="536" t="str">
        <f>Application!B729</f>
        <v>SRO/Studio</v>
      </c>
      <c r="AQ114" s="536">
        <f>Application!O729</f>
        <v>1583</v>
      </c>
      <c r="AU114" s="536" t="s">
        <v>1817</v>
      </c>
      <c r="AV114" s="593" t="s">
        <v>1818</v>
      </c>
      <c r="AW114" s="536" t="s">
        <v>1819</v>
      </c>
    </row>
    <row r="115" spans="1:52" s="536" customFormat="1" ht="12.75" customHeight="1">
      <c r="A115" s="540"/>
      <c r="B115" s="539"/>
      <c r="C115" s="539"/>
      <c r="D115" s="539"/>
      <c r="E115" s="2421"/>
      <c r="F115" s="2422"/>
      <c r="G115" s="2422"/>
      <c r="H115" s="2422"/>
      <c r="I115" s="2422"/>
      <c r="J115" s="2422"/>
      <c r="K115" s="2422"/>
      <c r="L115" s="2422"/>
      <c r="M115" s="2422"/>
      <c r="N115" s="2422"/>
      <c r="O115" s="2422"/>
      <c r="P115" s="2422"/>
      <c r="Q115" s="2422"/>
      <c r="R115" s="2422"/>
      <c r="S115" s="2422"/>
      <c r="T115" s="2422"/>
      <c r="U115" s="2422"/>
      <c r="V115" s="2422"/>
      <c r="W115" s="2422"/>
      <c r="X115" s="2422"/>
      <c r="Y115" s="2422"/>
      <c r="Z115" s="2422"/>
      <c r="AA115" s="2422"/>
      <c r="AB115" s="2422"/>
      <c r="AC115" s="2422"/>
      <c r="AD115" s="2422"/>
      <c r="AE115" s="2422"/>
      <c r="AF115" s="2422"/>
      <c r="AG115" s="2422"/>
      <c r="AH115" s="2422"/>
      <c r="AI115" s="2422"/>
      <c r="AJ115" s="2423"/>
      <c r="AK115" s="540"/>
      <c r="AL115" s="540"/>
      <c r="AM115" s="540"/>
      <c r="AN115" s="535"/>
      <c r="AO115" s="536" t="str">
        <f>Application!B730</f>
        <v>2 Bedrooms</v>
      </c>
      <c r="AQ115" s="536">
        <f>Application!O730</f>
        <v>923</v>
      </c>
      <c r="AU115" s="852" t="str">
        <f>E123</f>
        <v>Studio/SRO</v>
      </c>
      <c r="AV115" s="536" cm="1">
        <f t="array" ref="AV115">SUM(IF(Application!B726:B760="SRO/Studio",Application!G726:G760))</f>
        <v>47</v>
      </c>
      <c r="AW115" s="1006">
        <f>AV115/AV121</f>
        <v>0.49473684210526314</v>
      </c>
    </row>
    <row r="116" spans="1:52" s="536" customFormat="1" ht="12.75" customHeight="1">
      <c r="A116" s="540"/>
      <c r="B116" s="539"/>
      <c r="C116" s="539"/>
      <c r="D116" s="539"/>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0"/>
      <c r="AL116" s="540"/>
      <c r="AM116" s="540"/>
      <c r="AN116" s="535"/>
      <c r="AO116" s="536" t="str">
        <f>Application!B731</f>
        <v>2 Bedrooms</v>
      </c>
      <c r="AQ116" s="536">
        <f>Application!O731</f>
        <v>1283</v>
      </c>
      <c r="AU116" s="852" t="str">
        <f>J123</f>
        <v>1-bedroom</v>
      </c>
      <c r="AV116" s="536" cm="1">
        <f t="array" ref="AV116">SUM(IF(Application!B726:B760="1 Bedroom",Application!G726:G760))</f>
        <v>0</v>
      </c>
      <c r="AW116" s="1006">
        <f>AV116/AV121</f>
        <v>0</v>
      </c>
    </row>
    <row r="117" spans="1:52" s="536" customFormat="1" ht="12.75" customHeight="1">
      <c r="A117" s="540"/>
      <c r="B117" s="539"/>
      <c r="C117" s="539"/>
      <c r="D117" s="539"/>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0"/>
      <c r="AL117" s="540"/>
      <c r="AM117" s="540"/>
      <c r="AN117" s="535"/>
      <c r="AO117" s="536" t="str">
        <f>Application!B732</f>
        <v>2 Bedrooms</v>
      </c>
      <c r="AQ117" s="536">
        <f>Application!O732</f>
        <v>1642</v>
      </c>
      <c r="AU117" s="852" t="str">
        <f>O123</f>
        <v>2-bedroom</v>
      </c>
      <c r="AV117" s="536">
        <f t="array" ref="AV117">SUM(IF(Application!B726:F760="2 Bedrooms",Application!G726:J760))</f>
        <v>24</v>
      </c>
      <c r="AW117" s="1006">
        <f>AV117/AV121</f>
        <v>0.25263157894736843</v>
      </c>
    </row>
    <row r="118" spans="1:52" s="536" customFormat="1" ht="12.75" customHeight="1">
      <c r="A118" s="540"/>
      <c r="B118" s="539"/>
      <c r="C118" s="539"/>
      <c r="D118" s="539"/>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0"/>
      <c r="AL118" s="540"/>
      <c r="AM118" s="540"/>
      <c r="AN118" s="535"/>
      <c r="AO118" s="536" t="str">
        <f>Application!B733</f>
        <v>2 Bedrooms</v>
      </c>
      <c r="AQ118" s="536">
        <f>Application!O733</f>
        <v>2002</v>
      </c>
      <c r="AU118" s="852" t="str">
        <f>T123</f>
        <v>3-bedroom</v>
      </c>
      <c r="AV118" s="536" cm="1">
        <f t="array" ref="AV118">SUM(IF(Application!B726:B760="3 Bedrooms",Application!G726:G760))</f>
        <v>24</v>
      </c>
      <c r="AW118" s="1006">
        <f>AV118/AV121</f>
        <v>0.25263157894736843</v>
      </c>
    </row>
    <row r="119" spans="1:52" s="536" customFormat="1" ht="12.75" customHeight="1">
      <c r="A119" s="540"/>
      <c r="B119" s="539"/>
      <c r="C119" s="539"/>
      <c r="D119" s="539"/>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0"/>
      <c r="AL119" s="540"/>
      <c r="AM119" s="540"/>
      <c r="AN119" s="535"/>
      <c r="AO119" s="536" t="str">
        <f>Application!B734</f>
        <v>2 Bedrooms</v>
      </c>
      <c r="AQ119" s="536">
        <f>Application!O734</f>
        <v>2362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0"/>
      <c r="AL120" s="540"/>
      <c r="AM120" s="540"/>
      <c r="AN120" s="535"/>
      <c r="AO120" s="536" t="str">
        <f>Application!B735</f>
        <v>2 Bedrooms</v>
      </c>
      <c r="AQ120" s="536">
        <f>Application!O735</f>
        <v>2722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0"/>
      <c r="AL121" s="540"/>
      <c r="AM121" s="540"/>
      <c r="AN121" s="535"/>
      <c r="AO121" s="536" t="str">
        <f>Application!B736</f>
        <v>3 Bedrooms</v>
      </c>
      <c r="AQ121" s="536">
        <f>Application!O736</f>
        <v>1043</v>
      </c>
      <c r="AV121" s="536">
        <f>SUM(AV115:AV120)</f>
        <v>95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1459</v>
      </c>
    </row>
    <row r="123" spans="1:52" s="536" customFormat="1" ht="12.75" customHeight="1">
      <c r="A123" s="540"/>
      <c r="B123" s="539"/>
      <c r="C123" s="540"/>
      <c r="D123" s="540"/>
      <c r="E123" s="2414" t="s">
        <v>1577</v>
      </c>
      <c r="F123" s="2415"/>
      <c r="G123" s="2415"/>
      <c r="H123" s="2415"/>
      <c r="I123" s="575"/>
      <c r="J123" s="2415" t="s">
        <v>1620</v>
      </c>
      <c r="K123" s="2415"/>
      <c r="L123" s="2415"/>
      <c r="M123" s="2415"/>
      <c r="N123" s="575"/>
      <c r="O123" s="2415" t="s">
        <v>1621</v>
      </c>
      <c r="P123" s="2415"/>
      <c r="Q123" s="2415"/>
      <c r="R123" s="2415"/>
      <c r="S123" s="575"/>
      <c r="T123" s="2415" t="s">
        <v>1328</v>
      </c>
      <c r="U123" s="2415"/>
      <c r="V123" s="2415"/>
      <c r="W123" s="2415"/>
      <c r="X123" s="575"/>
      <c r="Y123" s="2415" t="s">
        <v>1622</v>
      </c>
      <c r="Z123" s="2415"/>
      <c r="AA123" s="2415"/>
      <c r="AB123" s="2415"/>
      <c r="AC123" s="575"/>
      <c r="AD123" s="2415" t="s">
        <v>1623</v>
      </c>
      <c r="AE123" s="2415"/>
      <c r="AF123" s="2415"/>
      <c r="AG123" s="2415"/>
      <c r="AH123" s="575"/>
      <c r="AI123" s="575"/>
      <c r="AJ123" s="577"/>
      <c r="AK123" s="540"/>
      <c r="AL123" s="540"/>
      <c r="AM123" s="540"/>
      <c r="AN123" s="535"/>
      <c r="AO123" s="536" t="str">
        <f>Application!B738</f>
        <v>3 Bedrooms</v>
      </c>
      <c r="AQ123" s="536">
        <f>Application!O738</f>
        <v>1874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2290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2705</v>
      </c>
    </row>
    <row r="126" spans="1:52" s="536" customFormat="1" ht="12.75" customHeight="1">
      <c r="A126" s="540"/>
      <c r="B126" s="539"/>
      <c r="C126" s="540"/>
      <c r="D126" s="540"/>
      <c r="E126" s="2451">
        <v>2951</v>
      </c>
      <c r="F126" s="2452"/>
      <c r="G126" s="2452"/>
      <c r="H126" s="2452"/>
      <c r="I126" s="860"/>
      <c r="J126" s="2452"/>
      <c r="K126" s="2452"/>
      <c r="L126" s="2452"/>
      <c r="M126" s="2452"/>
      <c r="N126" s="860"/>
      <c r="O126" s="2452">
        <v>3321</v>
      </c>
      <c r="P126" s="2452"/>
      <c r="Q126" s="2452"/>
      <c r="R126" s="2452"/>
      <c r="S126" s="860"/>
      <c r="T126" s="2452">
        <v>6524</v>
      </c>
      <c r="U126" s="2452"/>
      <c r="V126" s="2452"/>
      <c r="W126" s="2452"/>
      <c r="X126" s="860"/>
      <c r="Y126" s="2452"/>
      <c r="Z126" s="2452"/>
      <c r="AA126" s="2452"/>
      <c r="AB126" s="2452"/>
      <c r="AC126" s="860"/>
      <c r="AD126" s="2452"/>
      <c r="AE126" s="2452"/>
      <c r="AF126" s="2452"/>
      <c r="AG126" s="2452"/>
      <c r="AH126" s="575"/>
      <c r="AI126" s="575"/>
      <c r="AJ126" s="577"/>
      <c r="AK126" s="540"/>
      <c r="AL126" s="540"/>
      <c r="AM126" s="540"/>
      <c r="AN126" s="535"/>
      <c r="AO126" s="536" t="str">
        <f>Application!B741</f>
        <v>3 Bedrooms</v>
      </c>
      <c r="AQ126" s="536">
        <f>Application!O741</f>
        <v>3121</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5">
        <f>Application!DX678</f>
        <v>958.21276595744678</v>
      </c>
      <c r="F129" s="2426"/>
      <c r="G129" s="2426"/>
      <c r="H129" s="2426"/>
      <c r="I129" s="860"/>
      <c r="J129" s="2426">
        <f>Application!EC678</f>
        <v>0</v>
      </c>
      <c r="K129" s="2426"/>
      <c r="L129" s="2426"/>
      <c r="M129" s="2426"/>
      <c r="N129" s="860"/>
      <c r="O129" s="2426">
        <f>Application!EH678</f>
        <v>2062.1666666666665</v>
      </c>
      <c r="P129" s="2426"/>
      <c r="Q129" s="2426"/>
      <c r="R129" s="2426"/>
      <c r="S129" s="864"/>
      <c r="T129" s="2426">
        <f>Application!EM678</f>
        <v>2359</v>
      </c>
      <c r="U129" s="2426"/>
      <c r="V129" s="2426"/>
      <c r="W129" s="2426"/>
      <c r="X129" s="864"/>
      <c r="Y129" s="2426">
        <f>Application!ER678</f>
        <v>0</v>
      </c>
      <c r="Z129" s="2426"/>
      <c r="AA129" s="2426"/>
      <c r="AB129" s="2426"/>
      <c r="AC129" s="864"/>
      <c r="AD129" s="2426">
        <f>Application!EW678</f>
        <v>0</v>
      </c>
      <c r="AE129" s="2426"/>
      <c r="AF129" s="2426"/>
      <c r="AG129" s="242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4">
        <f>(E126-E129)/E126</f>
        <v>0.67529218368097366</v>
      </c>
      <c r="F132" s="2417"/>
      <c r="G132" s="2417"/>
      <c r="H132" s="2625"/>
      <c r="I132" s="575"/>
      <c r="J132" s="2624" t="e">
        <f>(J126-J129)/J126</f>
        <v>#DIV/0!</v>
      </c>
      <c r="K132" s="2417"/>
      <c r="L132" s="2417"/>
      <c r="M132" s="2625"/>
      <c r="N132" s="575"/>
      <c r="O132" s="2624">
        <f>(O126-O129)/O126</f>
        <v>0.37905249422864601</v>
      </c>
      <c r="P132" s="2417"/>
      <c r="Q132" s="2417"/>
      <c r="R132" s="2625"/>
      <c r="S132" s="575"/>
      <c r="T132" s="2624">
        <f>(T126-T129)/T126</f>
        <v>0.63841201716738194</v>
      </c>
      <c r="U132" s="2417"/>
      <c r="V132" s="2417"/>
      <c r="W132" s="2625"/>
      <c r="X132" s="575"/>
      <c r="Y132" s="2624" t="e">
        <f>(Y126-Y129)/Y126</f>
        <v>#DIV/0!</v>
      </c>
      <c r="Z132" s="2417"/>
      <c r="AA132" s="2417"/>
      <c r="AB132" s="2625"/>
      <c r="AC132" s="575"/>
      <c r="AD132" s="2624" t="e">
        <f>(AD126-AD129)/AD126</f>
        <v>#DIV/0!</v>
      </c>
      <c r="AE132" s="2417"/>
      <c r="AF132" s="2417"/>
      <c r="AG132" s="26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0">
        <f>IF(((E132-0.1)*AW115)&gt;0,((E132-0.1)*AW115),0)</f>
        <v>0.28461823824216592</v>
      </c>
      <c r="F135" s="2441"/>
      <c r="G135" s="2441"/>
      <c r="H135" s="2442"/>
      <c r="I135" s="575"/>
      <c r="J135" s="2440" t="e">
        <f>IF(((J132-0.1)*AW116)&gt;0,((J132-0.1)*AW116),0)</f>
        <v>#DIV/0!</v>
      </c>
      <c r="K135" s="2441"/>
      <c r="L135" s="2441"/>
      <c r="M135" s="2442"/>
      <c r="N135" s="575"/>
      <c r="O135" s="2440">
        <f>IF(((O132-0.1)*AW117)&gt;0,((O132-0.1)*AW117),0)</f>
        <v>7.0497472226184243E-2</v>
      </c>
      <c r="P135" s="2441"/>
      <c r="Q135" s="2441"/>
      <c r="R135" s="2442"/>
      <c r="S135" s="575"/>
      <c r="T135" s="2440">
        <f>IF(((T132-0.1)*AW118)&gt;0,((T132-0.1)*AW118),0)</f>
        <v>0.13601987802123333</v>
      </c>
      <c r="U135" s="2441"/>
      <c r="V135" s="2441"/>
      <c r="W135" s="2442"/>
      <c r="X135" s="575"/>
      <c r="Y135" s="2440" t="e">
        <f>IF(((Y132-0.1)*AW119)&gt;0,((Y132-0.1)*AW119),0)</f>
        <v>#DIV/0!</v>
      </c>
      <c r="Z135" s="2441"/>
      <c r="AA135" s="2441"/>
      <c r="AB135" s="2442"/>
      <c r="AC135" s="575"/>
      <c r="AD135" s="2440" t="e">
        <f>IF(((AD132-0.1)*AW120)&gt;0,((AD132-0.1)*AW120),0)</f>
        <v>#DIV/0!</v>
      </c>
      <c r="AE135" s="2441"/>
      <c r="AF135" s="2441"/>
      <c r="AG135" s="244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4">
        <f>ROUNDDOWN(SUMIF(E135:AG135,"&gt;0"),2)</f>
        <v>0.49</v>
      </c>
      <c r="F137" s="2417"/>
      <c r="G137" s="2417"/>
      <c r="H137" s="2625"/>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1">
        <f>IF((E137*100)&gt;10,10,E137*100)</f>
        <v>10</v>
      </c>
      <c r="F138" s="2432"/>
      <c r="G138" s="2432"/>
      <c r="H138" s="243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1">
        <f>E138</f>
        <v>10</v>
      </c>
      <c r="AL142" s="2432"/>
      <c r="AM142" s="243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0" t="s">
        <v>1308</v>
      </c>
      <c r="AF145" s="2420"/>
      <c r="AG145" s="2420"/>
      <c r="AH145" s="2420"/>
      <c r="AI145" s="2420"/>
      <c r="AJ145" s="2420"/>
      <c r="AK145" s="2420"/>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3" t="s">
        <v>1332</v>
      </c>
      <c r="AG147" s="2453"/>
      <c r="AH147" s="2453"/>
      <c r="AI147" s="2453"/>
      <c r="AJ147" s="2453"/>
      <c r="AK147" s="2453"/>
      <c r="AL147" s="245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3" t="s">
        <v>2644</v>
      </c>
      <c r="C149" s="2463"/>
      <c r="D149" s="2463"/>
      <c r="E149" s="2463"/>
      <c r="F149" s="2463"/>
      <c r="G149" s="2463"/>
      <c r="H149" s="2463"/>
      <c r="I149" s="2463"/>
      <c r="J149" s="2463"/>
      <c r="K149" s="2463"/>
      <c r="L149" s="2463"/>
      <c r="M149" s="2463"/>
      <c r="N149" s="2463"/>
      <c r="O149" s="2463"/>
      <c r="P149" s="2463"/>
      <c r="Q149" s="2463"/>
      <c r="R149" s="2463"/>
      <c r="S149" s="2463"/>
      <c r="T149" s="2463"/>
      <c r="U149" s="2463"/>
      <c r="V149" s="2463"/>
      <c r="W149" s="2463"/>
      <c r="X149" s="2463"/>
      <c r="Y149" s="2463"/>
      <c r="Z149" s="2463"/>
      <c r="AA149" s="2463"/>
      <c r="AB149" s="2463"/>
      <c r="AC149" s="246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4" t="s">
        <v>2628</v>
      </c>
      <c r="C152" s="2464"/>
      <c r="D152" s="2464"/>
      <c r="E152" s="2464"/>
      <c r="F152" s="2464"/>
      <c r="G152" s="2464"/>
      <c r="H152" s="2464"/>
      <c r="I152" s="2464"/>
      <c r="J152" s="2464"/>
      <c r="K152" s="2464"/>
      <c r="L152" s="2464"/>
      <c r="M152" s="2464"/>
      <c r="N152" s="2464"/>
      <c r="O152" s="2464"/>
      <c r="P152" s="2464"/>
      <c r="Q152" s="2464"/>
      <c r="R152" s="2464"/>
      <c r="S152" s="2464"/>
      <c r="T152" s="2464"/>
      <c r="U152" s="2464"/>
      <c r="V152" s="2464"/>
      <c r="W152" s="2464"/>
      <c r="X152" s="2464"/>
      <c r="Y152" s="2464"/>
      <c r="Z152" s="2464"/>
      <c r="AA152" s="2464"/>
      <c r="AB152" s="2464"/>
      <c r="AC152" s="2464"/>
      <c r="AD152" s="2464"/>
      <c r="AE152" s="2464"/>
      <c r="AF152" s="2464"/>
      <c r="AG152" s="2464"/>
      <c r="AH152" s="2464"/>
      <c r="AI152" s="2464"/>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5" t="s">
        <v>591</v>
      </c>
      <c r="AC154" s="246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4" t="s">
        <v>1337</v>
      </c>
      <c r="C157" s="2464"/>
      <c r="D157" s="2464"/>
      <c r="E157" s="2464"/>
      <c r="F157" s="2464"/>
      <c r="G157" s="2464"/>
      <c r="H157" s="2464"/>
      <c r="I157" s="2464"/>
      <c r="J157" s="2464"/>
      <c r="K157" s="2464"/>
      <c r="L157" s="2464"/>
      <c r="M157" s="2464"/>
      <c r="N157" s="2464"/>
      <c r="O157" s="2464"/>
      <c r="P157" s="2464"/>
      <c r="Q157" s="2464"/>
      <c r="R157" s="2464"/>
      <c r="S157" s="2464"/>
      <c r="T157" s="2464"/>
      <c r="U157" s="2464"/>
      <c r="V157" s="2464"/>
      <c r="W157" s="2464"/>
      <c r="X157" s="2464"/>
      <c r="Y157" s="2464"/>
      <c r="Z157" s="2464"/>
      <c r="AA157" s="2464"/>
      <c r="AB157" s="2464"/>
      <c r="AC157" s="2464"/>
      <c r="AD157" s="2464"/>
      <c r="AE157" s="2464"/>
      <c r="AF157" s="2464"/>
      <c r="AG157" s="2464"/>
      <c r="AH157" s="2464"/>
      <c r="AI157" s="2464"/>
      <c r="AJ157" s="2464"/>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9" t="s">
        <v>2408</v>
      </c>
      <c r="C160" s="2629"/>
      <c r="D160" s="2629"/>
      <c r="E160" s="2629"/>
      <c r="F160" s="2629"/>
      <c r="G160" s="2629"/>
      <c r="H160" s="2629"/>
      <c r="I160" s="2629"/>
      <c r="J160" s="2629"/>
      <c r="K160" s="2629"/>
      <c r="L160" s="2629"/>
      <c r="M160" s="2629"/>
      <c r="N160" s="2629"/>
      <c r="O160" s="2629"/>
      <c r="P160" s="2629"/>
      <c r="Q160" s="2629"/>
      <c r="R160" s="2629"/>
      <c r="S160" s="2629"/>
      <c r="T160" s="2629"/>
      <c r="U160" s="2629"/>
      <c r="V160" s="2629"/>
      <c r="W160" s="2629"/>
      <c r="X160" s="2629"/>
      <c r="Y160" s="2629"/>
      <c r="Z160" s="2629"/>
      <c r="AA160" s="2629"/>
      <c r="AB160" s="2629"/>
      <c r="AC160" s="2629"/>
      <c r="AD160" s="2629"/>
      <c r="AE160" s="2629"/>
      <c r="AF160" s="2629"/>
      <c r="AG160" s="2629"/>
      <c r="AH160" s="2629"/>
      <c r="AI160" s="2629"/>
      <c r="AJ160" s="2629"/>
      <c r="AK160" s="1173"/>
      <c r="AM160" s="539"/>
      <c r="AN160" s="535"/>
      <c r="AO160" s="476"/>
      <c r="AP160" s="489"/>
    </row>
    <row r="161" spans="1:42" s="536" customFormat="1" ht="12.75" customHeight="1">
      <c r="B161" s="2629"/>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73"/>
      <c r="AM161" s="539"/>
      <c r="AN161" s="535"/>
      <c r="AO161" s="476"/>
      <c r="AP161" s="489"/>
    </row>
    <row r="162" spans="1:42" s="536" customFormat="1" ht="12.75" customHeight="1">
      <c r="C162" s="2540" t="s">
        <v>2409</v>
      </c>
      <c r="D162" s="2540"/>
      <c r="E162" s="2540"/>
      <c r="F162" s="2540"/>
      <c r="G162" s="2540"/>
      <c r="H162" s="2540"/>
      <c r="I162" s="2540"/>
      <c r="J162" s="2540"/>
      <c r="K162" s="2540"/>
      <c r="L162" s="2540"/>
      <c r="M162" s="2540"/>
      <c r="N162" s="2540"/>
      <c r="O162" s="2540"/>
      <c r="P162" s="2540"/>
      <c r="Q162" s="2540"/>
      <c r="R162" s="2540"/>
      <c r="S162" s="2540"/>
      <c r="T162" s="2540"/>
      <c r="U162" s="2540"/>
      <c r="V162" s="2540"/>
      <c r="W162" s="2540"/>
      <c r="X162" s="2540"/>
      <c r="Y162" s="2540"/>
      <c r="Z162" s="2540"/>
      <c r="AA162" s="2540"/>
      <c r="AB162" s="2540"/>
      <c r="AC162" s="2540"/>
      <c r="AD162" s="2540"/>
      <c r="AE162" s="2540"/>
      <c r="AF162" s="2540"/>
      <c r="AG162" s="2540"/>
      <c r="AH162" s="2540"/>
      <c r="AI162" s="2540"/>
      <c r="AJ162" s="2540"/>
      <c r="AK162" s="1173"/>
      <c r="AM162" s="539"/>
      <c r="AN162" s="535"/>
      <c r="AO162" s="476"/>
      <c r="AP162" s="489"/>
    </row>
    <row r="163" spans="1:42" s="536" customFormat="1" ht="12.75" customHeight="1">
      <c r="B163" s="1173"/>
      <c r="C163" s="2462" t="s">
        <v>2407</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1163"/>
      <c r="AB163" s="1163"/>
      <c r="AC163" s="1163"/>
      <c r="AD163" s="1163"/>
      <c r="AE163" s="1163"/>
      <c r="AF163" s="1163"/>
      <c r="AG163" s="1163"/>
      <c r="AH163" s="1163"/>
      <c r="AJ163" s="2465" t="s">
        <v>545</v>
      </c>
      <c r="AK163" s="246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8">
        <f>IF($AB$154="N/A",VLOOKUP($B$152,$AO$150:$AP$153,2,FALSE),VLOOKUP($B$157,$AO$155:$AP$157,2,FALSE))</f>
        <v>7</v>
      </c>
      <c r="AK165" s="246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3" t="s">
        <v>1346</v>
      </c>
      <c r="AG167" s="2453"/>
      <c r="AH167" s="2453"/>
      <c r="AI167" s="2453"/>
      <c r="AJ167" s="2453"/>
      <c r="AK167" s="2453"/>
      <c r="AL167" s="2453"/>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4" t="s">
        <v>1344</v>
      </c>
      <c r="D169" s="2464"/>
      <c r="E169" s="2464"/>
      <c r="F169" s="2464"/>
      <c r="G169" s="2464"/>
      <c r="H169" s="2464"/>
      <c r="I169" s="2464"/>
      <c r="J169" s="2464"/>
      <c r="K169" s="2464"/>
      <c r="L169" s="2464"/>
      <c r="M169" s="2464"/>
      <c r="N169" s="2464"/>
      <c r="O169" s="2464"/>
      <c r="P169" s="2464"/>
      <c r="Q169" s="2464"/>
      <c r="R169" s="2464"/>
      <c r="S169" s="2464"/>
      <c r="T169" s="2464"/>
      <c r="U169" s="2464"/>
      <c r="V169" s="2464"/>
      <c r="W169" s="2464"/>
      <c r="X169" s="2464"/>
      <c r="Y169" s="2464"/>
      <c r="Z169" s="2464"/>
      <c r="AA169" s="2464"/>
      <c r="AB169" s="2464"/>
      <c r="AC169" s="2464"/>
      <c r="AD169" s="2464"/>
      <c r="AE169" s="2464"/>
      <c r="AF169" s="2464"/>
      <c r="AG169" s="2464"/>
      <c r="AH169" s="2464"/>
      <c r="AI169" s="2464"/>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5" t="s">
        <v>591</v>
      </c>
      <c r="AG171" s="246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4" t="s">
        <v>1337</v>
      </c>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6" t="str">
        <f>Application!AA344</f>
        <v>FPI Management Corporation</v>
      </c>
      <c r="D177" s="2466"/>
      <c r="E177" s="2466"/>
      <c r="F177" s="2466"/>
      <c r="G177" s="2466"/>
      <c r="H177" s="2466"/>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7">
        <f>IF($AF$171="N/A",VLOOKUP($C$169,$AO$169:$AP$172,2,FALSE),VLOOKUP($C$173,$AO$176:$AP$178,2,FALSE))</f>
        <v>3</v>
      </c>
      <c r="AK179" s="246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1">
        <f>$AJ$165+$AJ$179</f>
        <v>10</v>
      </c>
      <c r="AL182" s="2432"/>
      <c r="AM182" s="243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0" t="s">
        <v>1308</v>
      </c>
      <c r="AF185" s="2420"/>
      <c r="AG185" s="2420"/>
      <c r="AH185" s="2420"/>
      <c r="AI185" s="2420"/>
      <c r="AJ185" s="2420"/>
      <c r="AK185" s="2420"/>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1" t="s">
        <v>1041</v>
      </c>
      <c r="C187" s="2461"/>
      <c r="D187" s="2461"/>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536"/>
      <c r="AE187" s="536"/>
      <c r="AF187" s="2453" t="s">
        <v>1357</v>
      </c>
      <c r="AG187" s="2453"/>
      <c r="AH187" s="2453"/>
      <c r="AI187" s="2453"/>
      <c r="AJ187" s="2453"/>
      <c r="AK187" s="2453"/>
      <c r="AL187" s="2453"/>
      <c r="AN187" s="595"/>
      <c r="AP187" s="549" t="s">
        <v>1043</v>
      </c>
      <c r="AQ187" s="549">
        <v>10</v>
      </c>
    </row>
    <row r="188" spans="1:73" s="549" customFormat="1" ht="12.75" customHeight="1">
      <c r="A188" s="536"/>
      <c r="B188" s="2462" t="s">
        <v>1715</v>
      </c>
      <c r="C188" s="2462"/>
      <c r="D188" s="2462"/>
      <c r="E188" s="2462"/>
      <c r="F188" s="2462"/>
      <c r="G188" s="2462"/>
      <c r="H188" s="2462"/>
      <c r="I188" s="2462"/>
      <c r="J188" s="2462"/>
      <c r="K188" s="2462"/>
      <c r="L188" s="2462"/>
      <c r="M188" s="2462"/>
      <c r="N188" s="2462"/>
      <c r="O188" s="2462"/>
      <c r="P188" s="2462"/>
      <c r="Q188" s="2462"/>
      <c r="R188" s="2462"/>
      <c r="S188" s="2462"/>
      <c r="T188" s="2463" t="s">
        <v>591</v>
      </c>
      <c r="U188" s="2463"/>
      <c r="V188" s="2463"/>
      <c r="W188" s="2463"/>
      <c r="X188" s="2463"/>
      <c r="Y188" s="2463"/>
      <c r="Z188" s="2463"/>
      <c r="AA188" s="2463"/>
      <c r="AB188" s="2463"/>
      <c r="AC188" s="2463"/>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8">
        <f>IF(AK83&gt;0,VLOOKUP($B$187,AP184:AQ190,2,FALSE),0)</f>
        <v>10</v>
      </c>
      <c r="AL190" s="2479"/>
      <c r="AM190" s="248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0" t="s">
        <v>1365</v>
      </c>
      <c r="AF193" s="2420"/>
      <c r="AG193" s="2420"/>
      <c r="AH193" s="2420"/>
      <c r="AI193" s="2420"/>
      <c r="AJ193" s="2420"/>
      <c r="AK193" s="2420"/>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842"/>
      <c r="AD198" s="2456"/>
      <c r="AE198" s="2456"/>
      <c r="AF198" s="2456"/>
      <c r="AG198" s="2456"/>
      <c r="AH198" s="2456"/>
      <c r="AI198" s="2456"/>
      <c r="AJ198" s="2456"/>
      <c r="AK198" s="608"/>
    </row>
    <row r="199" spans="1:37" hidden="1">
      <c r="A199" s="603"/>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2"/>
      <c r="AD199" s="2456"/>
      <c r="AE199" s="2456"/>
      <c r="AF199" s="2456"/>
      <c r="AG199" s="2456"/>
      <c r="AH199" s="2456"/>
      <c r="AI199" s="2456"/>
      <c r="AJ199" s="2456"/>
      <c r="AK199" s="608"/>
    </row>
    <row r="200" spans="1:37" hidden="1">
      <c r="A200" s="603"/>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2"/>
      <c r="AD200" s="2456"/>
      <c r="AE200" s="2456"/>
      <c r="AF200" s="2456"/>
      <c r="AG200" s="2456"/>
      <c r="AH200" s="2456"/>
      <c r="AI200" s="2456"/>
      <c r="AJ200" s="2456"/>
      <c r="AK200" s="608"/>
    </row>
    <row r="201" spans="1:37" hidden="1">
      <c r="A201" s="603"/>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2"/>
      <c r="AD201" s="2456"/>
      <c r="AE201" s="2456"/>
      <c r="AF201" s="2456"/>
      <c r="AG201" s="2456"/>
      <c r="AH201" s="2456"/>
      <c r="AI201" s="2456"/>
      <c r="AJ201" s="2456"/>
      <c r="AK201" s="608"/>
    </row>
    <row r="202" spans="1:37" hidden="1">
      <c r="A202" s="603"/>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2"/>
      <c r="AD202" s="2456"/>
      <c r="AE202" s="2456"/>
      <c r="AF202" s="2456"/>
      <c r="AG202" s="2456"/>
      <c r="AH202" s="2456"/>
      <c r="AI202" s="2456"/>
      <c r="AJ202" s="2456"/>
      <c r="AK202" s="608"/>
    </row>
    <row r="203" spans="1:37" hidden="1">
      <c r="A203" s="603"/>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2"/>
      <c r="AD203" s="2456"/>
      <c r="AE203" s="2456"/>
      <c r="AF203" s="2456"/>
      <c r="AG203" s="2456"/>
      <c r="AH203" s="2456"/>
      <c r="AI203" s="2456"/>
      <c r="AJ203" s="2456"/>
      <c r="AK203" s="608"/>
    </row>
    <row r="204" spans="1:37" hidden="1">
      <c r="A204" s="603"/>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2"/>
      <c r="AD204" s="2456"/>
      <c r="AE204" s="2456"/>
      <c r="AF204" s="2456"/>
      <c r="AG204" s="2456"/>
      <c r="AH204" s="2456"/>
      <c r="AI204" s="2456"/>
      <c r="AJ204" s="2456"/>
      <c r="AK204" s="608"/>
    </row>
    <row r="205" spans="1:37" hidden="1">
      <c r="A205" s="603"/>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2"/>
      <c r="AD205" s="2456"/>
      <c r="AE205" s="2456"/>
      <c r="AF205" s="2456"/>
      <c r="AG205" s="2456"/>
      <c r="AH205" s="2456"/>
      <c r="AI205" s="2456"/>
      <c r="AJ205" s="2456"/>
      <c r="AK205" s="608"/>
    </row>
    <row r="206" spans="1:37" hidden="1">
      <c r="A206" s="603"/>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2"/>
      <c r="AD206" s="2456"/>
      <c r="AE206" s="2456"/>
      <c r="AF206" s="2456"/>
      <c r="AG206" s="2456"/>
      <c r="AH206" s="2456"/>
      <c r="AI206" s="2456"/>
      <c r="AJ206" s="2456"/>
      <c r="AK206" s="608"/>
    </row>
    <row r="207" spans="1:37" hidden="1">
      <c r="A207" s="603"/>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2"/>
      <c r="AD207" s="2456"/>
      <c r="AE207" s="2456"/>
      <c r="AF207" s="2456"/>
      <c r="AG207" s="2456"/>
      <c r="AH207" s="2456"/>
      <c r="AI207" s="2456"/>
      <c r="AJ207" s="2456"/>
      <c r="AK207" s="608"/>
    </row>
    <row r="208" spans="1:37" hidden="1">
      <c r="A208" s="603"/>
      <c r="B208" s="2502" t="s">
        <v>1616</v>
      </c>
      <c r="C208" s="2502"/>
      <c r="D208" s="2502"/>
      <c r="E208" s="2502"/>
      <c r="F208" s="2502"/>
      <c r="G208" s="2502"/>
      <c r="H208" s="2502"/>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536"/>
      <c r="AD208" s="2485">
        <f>AB259</f>
        <v>0</v>
      </c>
      <c r="AE208" s="2485"/>
      <c r="AF208" s="2485"/>
      <c r="AG208" s="2485"/>
      <c r="AH208" s="2485"/>
      <c r="AI208" s="2485"/>
      <c r="AJ208" s="2485"/>
      <c r="AK208" s="608"/>
    </row>
    <row r="209" spans="1:37" hidden="1">
      <c r="A209" s="603"/>
      <c r="B209" s="2640" t="s">
        <v>1579</v>
      </c>
      <c r="C209" s="2640"/>
      <c r="D209" s="2640"/>
      <c r="E209" s="2640"/>
      <c r="F209" s="2640"/>
      <c r="G209" s="2640"/>
      <c r="H209" s="2640"/>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842"/>
      <c r="AD209" s="2486">
        <f>'Sources and Uses Budget'!B15</f>
        <v>0</v>
      </c>
      <c r="AE209" s="2486"/>
      <c r="AF209" s="2486"/>
      <c r="AG209" s="2486"/>
      <c r="AH209" s="2486"/>
      <c r="AI209" s="2486"/>
      <c r="AJ209" s="2486"/>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0">
        <f>SUM(AD198:AJ208)-AD209</f>
        <v>0</v>
      </c>
      <c r="AE210" s="2490"/>
      <c r="AF210" s="2490"/>
      <c r="AG210" s="2490"/>
      <c r="AH210" s="2490"/>
      <c r="AI210" s="2490"/>
      <c r="AJ210" s="249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9" t="s">
        <v>1596</v>
      </c>
      <c r="J221" s="2459"/>
      <c r="K221" s="2459"/>
      <c r="L221" s="536"/>
      <c r="M221" s="536"/>
      <c r="N221" s="536"/>
      <c r="O221" s="536"/>
      <c r="P221" s="536"/>
      <c r="Q221" s="536"/>
      <c r="R221" s="536"/>
      <c r="S221" s="536"/>
      <c r="T221" s="2627" t="s">
        <v>1590</v>
      </c>
      <c r="U221" s="2627"/>
      <c r="V221" s="2627"/>
      <c r="W221" s="2627"/>
      <c r="X221" s="2627"/>
      <c r="Y221" s="2627"/>
      <c r="Z221" s="845"/>
      <c r="AA221" s="489"/>
      <c r="AB221" s="2454" t="s">
        <v>1591</v>
      </c>
      <c r="AC221" s="2454"/>
      <c r="AD221" s="2454"/>
      <c r="AE221" s="2454"/>
      <c r="AF221" s="2454"/>
      <c r="AG221" s="2454"/>
      <c r="AH221" s="823"/>
      <c r="AI221" s="823"/>
      <c r="AJ221" s="823"/>
      <c r="AK221" s="608"/>
    </row>
    <row r="222" spans="1:37" hidden="1">
      <c r="A222" s="603"/>
      <c r="B222" s="2457" t="s">
        <v>1576</v>
      </c>
      <c r="C222" s="2457"/>
      <c r="D222" s="2457"/>
      <c r="E222" s="2457"/>
      <c r="F222" s="2457"/>
      <c r="G222" s="2457"/>
      <c r="I222" s="2458" t="s">
        <v>1597</v>
      </c>
      <c r="J222" s="2458"/>
      <c r="K222" s="2458"/>
      <c r="L222" s="1003"/>
      <c r="N222" s="2448" t="s">
        <v>1592</v>
      </c>
      <c r="O222" s="2448"/>
      <c r="P222" s="2448"/>
      <c r="Q222" s="2448"/>
      <c r="R222" s="2448"/>
      <c r="T222" s="2448" t="s">
        <v>1593</v>
      </c>
      <c r="U222" s="2448"/>
      <c r="V222" s="2448"/>
      <c r="W222" s="2448"/>
      <c r="X222" s="2448"/>
      <c r="Y222" s="2448"/>
      <c r="Z222" s="846"/>
      <c r="AA222" s="489"/>
      <c r="AB222" s="2606" t="s">
        <v>1594</v>
      </c>
      <c r="AC222" s="2606"/>
      <c r="AD222" s="2606"/>
      <c r="AE222" s="2606"/>
      <c r="AF222" s="2606"/>
      <c r="AG222" s="2606"/>
      <c r="AH222" s="823"/>
      <c r="AI222" s="823"/>
      <c r="AJ222" s="823"/>
      <c r="AK222" s="608"/>
    </row>
    <row r="223" spans="1:37" hidden="1">
      <c r="A223" s="603"/>
      <c r="B223" s="2460" t="s">
        <v>1184</v>
      </c>
      <c r="C223" s="2460"/>
      <c r="D223" s="2460"/>
      <c r="E223" s="2460"/>
      <c r="F223" s="2460"/>
      <c r="G223" s="2460"/>
      <c r="H223" s="848"/>
      <c r="I223" s="2446"/>
      <c r="J223" s="2446"/>
      <c r="K223" s="2446"/>
      <c r="L223" s="1003"/>
      <c r="N223" s="2501"/>
      <c r="O223" s="2501"/>
      <c r="P223" s="2501"/>
      <c r="Q223" s="2501"/>
      <c r="R223" s="2501"/>
      <c r="T223" s="2605"/>
      <c r="U223" s="2605"/>
      <c r="V223" s="2605"/>
      <c r="W223" s="2605"/>
      <c r="X223" s="2605"/>
      <c r="Y223" s="2605"/>
      <c r="Z223" s="847"/>
      <c r="AA223" s="847"/>
      <c r="AB223" s="2445">
        <f t="shared" ref="AB223:AB232" si="0">MAX(($T223-$N223)*$I223*12,0)</f>
        <v>0</v>
      </c>
      <c r="AC223" s="2445"/>
      <c r="AD223" s="2445"/>
      <c r="AE223" s="2445"/>
      <c r="AF223" s="2445"/>
      <c r="AG223" s="2445"/>
      <c r="AH223" s="823"/>
      <c r="AI223" s="823"/>
      <c r="AJ223" s="823"/>
      <c r="AK223" s="608"/>
    </row>
    <row r="224" spans="1:37" hidden="1">
      <c r="A224" s="603"/>
      <c r="B224" s="2460" t="s">
        <v>1184</v>
      </c>
      <c r="C224" s="2460"/>
      <c r="D224" s="2460"/>
      <c r="E224" s="2460"/>
      <c r="F224" s="2460"/>
      <c r="G224" s="2460"/>
      <c r="I224" s="2446"/>
      <c r="J224" s="2446"/>
      <c r="K224" s="2446"/>
      <c r="L224" s="1003"/>
      <c r="N224" s="2501"/>
      <c r="O224" s="2501"/>
      <c r="P224" s="2501"/>
      <c r="Q224" s="2501"/>
      <c r="R224" s="2501"/>
      <c r="T224" s="2605"/>
      <c r="U224" s="2605"/>
      <c r="V224" s="2605"/>
      <c r="W224" s="2605"/>
      <c r="X224" s="2605"/>
      <c r="Y224" s="2605"/>
      <c r="Z224" s="847"/>
      <c r="AA224" s="847"/>
      <c r="AB224" s="2445">
        <f t="shared" si="0"/>
        <v>0</v>
      </c>
      <c r="AC224" s="2445"/>
      <c r="AD224" s="2445"/>
      <c r="AE224" s="2445"/>
      <c r="AF224" s="2445"/>
      <c r="AG224" s="2445"/>
      <c r="AH224" s="823"/>
      <c r="AI224" s="823"/>
      <c r="AJ224" s="823"/>
      <c r="AK224" s="608"/>
    </row>
    <row r="225" spans="1:37" hidden="1">
      <c r="A225" s="603"/>
      <c r="B225" s="2460" t="s">
        <v>1184</v>
      </c>
      <c r="C225" s="2460"/>
      <c r="D225" s="2460"/>
      <c r="E225" s="2460"/>
      <c r="F225" s="2460"/>
      <c r="G225" s="2460"/>
      <c r="I225" s="2446"/>
      <c r="J225" s="2446"/>
      <c r="K225" s="2446"/>
      <c r="L225" s="1003"/>
      <c r="N225" s="2501"/>
      <c r="O225" s="2501"/>
      <c r="P225" s="2501"/>
      <c r="Q225" s="2501"/>
      <c r="R225" s="2501"/>
      <c r="T225" s="2605"/>
      <c r="U225" s="2605"/>
      <c r="V225" s="2605"/>
      <c r="W225" s="2605"/>
      <c r="X225" s="2605"/>
      <c r="Y225" s="2605"/>
      <c r="Z225" s="847"/>
      <c r="AA225" s="847"/>
      <c r="AB225" s="2445">
        <f t="shared" si="0"/>
        <v>0</v>
      </c>
      <c r="AC225" s="2445"/>
      <c r="AD225" s="2445"/>
      <c r="AE225" s="2445"/>
      <c r="AF225" s="2445"/>
      <c r="AG225" s="2445"/>
      <c r="AH225" s="823"/>
      <c r="AI225" s="823"/>
      <c r="AJ225" s="823"/>
      <c r="AK225" s="608"/>
    </row>
    <row r="226" spans="1:37" hidden="1">
      <c r="A226" s="603"/>
      <c r="B226" s="2460" t="s">
        <v>1184</v>
      </c>
      <c r="C226" s="2460"/>
      <c r="D226" s="2460"/>
      <c r="E226" s="2460"/>
      <c r="F226" s="2460"/>
      <c r="G226" s="2460"/>
      <c r="I226" s="2446"/>
      <c r="J226" s="2446"/>
      <c r="K226" s="2446"/>
      <c r="L226" s="1003"/>
      <c r="N226" s="2501"/>
      <c r="O226" s="2501"/>
      <c r="P226" s="2501"/>
      <c r="Q226" s="2501"/>
      <c r="R226" s="2501"/>
      <c r="T226" s="2605"/>
      <c r="U226" s="2605"/>
      <c r="V226" s="2605"/>
      <c r="W226" s="2605"/>
      <c r="X226" s="2605"/>
      <c r="Y226" s="2605"/>
      <c r="Z226" s="847"/>
      <c r="AA226" s="847"/>
      <c r="AB226" s="2445">
        <f t="shared" si="0"/>
        <v>0</v>
      </c>
      <c r="AC226" s="2445"/>
      <c r="AD226" s="2445"/>
      <c r="AE226" s="2445"/>
      <c r="AF226" s="2445"/>
      <c r="AG226" s="2445"/>
      <c r="AH226" s="823"/>
      <c r="AI226" s="823"/>
      <c r="AJ226" s="823"/>
      <c r="AK226" s="608"/>
    </row>
    <row r="227" spans="1:37" hidden="1">
      <c r="A227" s="603"/>
      <c r="B227" s="2460" t="s">
        <v>1184</v>
      </c>
      <c r="C227" s="2460"/>
      <c r="D227" s="2460"/>
      <c r="E227" s="2460"/>
      <c r="F227" s="2460"/>
      <c r="G227" s="2460"/>
      <c r="I227" s="2446"/>
      <c r="J227" s="2446"/>
      <c r="K227" s="2446"/>
      <c r="L227" s="1010"/>
      <c r="N227" s="2501"/>
      <c r="O227" s="2501"/>
      <c r="P227" s="2501"/>
      <c r="Q227" s="2501"/>
      <c r="R227" s="2501"/>
      <c r="T227" s="2605"/>
      <c r="U227" s="2605"/>
      <c r="V227" s="2605"/>
      <c r="W227" s="2605"/>
      <c r="X227" s="2605"/>
      <c r="Y227" s="2605"/>
      <c r="Z227" s="847"/>
      <c r="AA227" s="847"/>
      <c r="AB227" s="2445">
        <f t="shared" si="0"/>
        <v>0</v>
      </c>
      <c r="AC227" s="2445"/>
      <c r="AD227" s="2445"/>
      <c r="AE227" s="2445"/>
      <c r="AF227" s="2445"/>
      <c r="AG227" s="2445"/>
      <c r="AH227" s="823"/>
      <c r="AI227" s="823"/>
      <c r="AJ227" s="823"/>
      <c r="AK227" s="608"/>
    </row>
    <row r="228" spans="1:37" hidden="1">
      <c r="A228" s="603"/>
      <c r="B228" s="2460" t="s">
        <v>1184</v>
      </c>
      <c r="C228" s="2460"/>
      <c r="D228" s="2460"/>
      <c r="E228" s="2460"/>
      <c r="F228" s="2460"/>
      <c r="G228" s="2460"/>
      <c r="I228" s="2446"/>
      <c r="J228" s="2446"/>
      <c r="K228" s="2446"/>
      <c r="L228" s="1010"/>
      <c r="N228" s="2501"/>
      <c r="O228" s="2501"/>
      <c r="P228" s="2501"/>
      <c r="Q228" s="2501"/>
      <c r="R228" s="2501"/>
      <c r="T228" s="2605"/>
      <c r="U228" s="2605"/>
      <c r="V228" s="2605"/>
      <c r="W228" s="2605"/>
      <c r="X228" s="2605"/>
      <c r="Y228" s="2605"/>
      <c r="Z228" s="847"/>
      <c r="AA228" s="847"/>
      <c r="AB228" s="2445">
        <f t="shared" si="0"/>
        <v>0</v>
      </c>
      <c r="AC228" s="2445"/>
      <c r="AD228" s="2445"/>
      <c r="AE228" s="2445"/>
      <c r="AF228" s="2445"/>
      <c r="AG228" s="2445"/>
      <c r="AH228" s="823"/>
      <c r="AI228" s="823"/>
      <c r="AJ228" s="823"/>
      <c r="AK228" s="608"/>
    </row>
    <row r="229" spans="1:37" hidden="1">
      <c r="A229" s="603"/>
      <c r="B229" s="2460" t="s">
        <v>1184</v>
      </c>
      <c r="C229" s="2460"/>
      <c r="D229" s="2460"/>
      <c r="E229" s="2460"/>
      <c r="F229" s="2460"/>
      <c r="G229" s="2460"/>
      <c r="I229" s="2446"/>
      <c r="J229" s="2446"/>
      <c r="K229" s="2446"/>
      <c r="L229" s="1010"/>
      <c r="N229" s="2501"/>
      <c r="O229" s="2501"/>
      <c r="P229" s="2501"/>
      <c r="Q229" s="2501"/>
      <c r="R229" s="2501"/>
      <c r="T229" s="2605"/>
      <c r="U229" s="2605"/>
      <c r="V229" s="2605"/>
      <c r="W229" s="2605"/>
      <c r="X229" s="2605"/>
      <c r="Y229" s="2605"/>
      <c r="Z229" s="847"/>
      <c r="AA229" s="847"/>
      <c r="AB229" s="2445">
        <f t="shared" si="0"/>
        <v>0</v>
      </c>
      <c r="AC229" s="2445"/>
      <c r="AD229" s="2445"/>
      <c r="AE229" s="2445"/>
      <c r="AF229" s="2445"/>
      <c r="AG229" s="2445"/>
      <c r="AH229" s="823"/>
      <c r="AI229" s="823"/>
      <c r="AJ229" s="823"/>
      <c r="AK229" s="608"/>
    </row>
    <row r="230" spans="1:37" hidden="1">
      <c r="A230" s="603"/>
      <c r="B230" s="2460" t="s">
        <v>1184</v>
      </c>
      <c r="C230" s="2460"/>
      <c r="D230" s="2460"/>
      <c r="E230" s="2460"/>
      <c r="F230" s="2460"/>
      <c r="G230" s="2460"/>
      <c r="I230" s="2446"/>
      <c r="J230" s="2446"/>
      <c r="K230" s="2446"/>
      <c r="L230" s="1010"/>
      <c r="N230" s="2501"/>
      <c r="O230" s="2501"/>
      <c r="P230" s="2501"/>
      <c r="Q230" s="2501"/>
      <c r="R230" s="2501"/>
      <c r="T230" s="2605"/>
      <c r="U230" s="2605"/>
      <c r="V230" s="2605"/>
      <c r="W230" s="2605"/>
      <c r="X230" s="2605"/>
      <c r="Y230" s="2605"/>
      <c r="Z230" s="847"/>
      <c r="AA230" s="847"/>
      <c r="AB230" s="2445">
        <f t="shared" si="0"/>
        <v>0</v>
      </c>
      <c r="AC230" s="2445"/>
      <c r="AD230" s="2445"/>
      <c r="AE230" s="2445"/>
      <c r="AF230" s="2445"/>
      <c r="AG230" s="2445"/>
      <c r="AH230" s="823"/>
      <c r="AI230" s="823"/>
      <c r="AJ230" s="823"/>
      <c r="AK230" s="608"/>
    </row>
    <row r="231" spans="1:37" hidden="1">
      <c r="A231" s="603"/>
      <c r="B231" s="2460" t="s">
        <v>1184</v>
      </c>
      <c r="C231" s="2460"/>
      <c r="D231" s="2460"/>
      <c r="E231" s="2460"/>
      <c r="F231" s="2460"/>
      <c r="G231" s="2460"/>
      <c r="I231" s="2446"/>
      <c r="J231" s="2446"/>
      <c r="K231" s="2446"/>
      <c r="L231" s="1010"/>
      <c r="N231" s="2501"/>
      <c r="O231" s="2501"/>
      <c r="P231" s="2501"/>
      <c r="Q231" s="2501"/>
      <c r="R231" s="2501"/>
      <c r="T231" s="2605"/>
      <c r="U231" s="2605"/>
      <c r="V231" s="2605"/>
      <c r="W231" s="2605"/>
      <c r="X231" s="2605"/>
      <c r="Y231" s="2605"/>
      <c r="Z231" s="847"/>
      <c r="AA231" s="847"/>
      <c r="AB231" s="2445">
        <f t="shared" si="0"/>
        <v>0</v>
      </c>
      <c r="AC231" s="2445"/>
      <c r="AD231" s="2445"/>
      <c r="AE231" s="2445"/>
      <c r="AF231" s="2445"/>
      <c r="AG231" s="2445"/>
      <c r="AH231" s="823"/>
      <c r="AI231" s="823"/>
      <c r="AJ231" s="823"/>
      <c r="AK231" s="608"/>
    </row>
    <row r="232" spans="1:37" hidden="1">
      <c r="A232" s="603"/>
      <c r="B232" s="2460" t="s">
        <v>1184</v>
      </c>
      <c r="C232" s="2460"/>
      <c r="D232" s="2460"/>
      <c r="E232" s="2460"/>
      <c r="F232" s="2460"/>
      <c r="G232" s="2460"/>
      <c r="I232" s="2447"/>
      <c r="J232" s="2447"/>
      <c r="K232" s="2447"/>
      <c r="L232" s="1010"/>
      <c r="N232" s="2501"/>
      <c r="O232" s="2501"/>
      <c r="P232" s="2501"/>
      <c r="Q232" s="2501"/>
      <c r="R232" s="2501"/>
      <c r="T232" s="2605"/>
      <c r="U232" s="2605"/>
      <c r="V232" s="2605"/>
      <c r="W232" s="2605"/>
      <c r="X232" s="2605"/>
      <c r="Y232" s="2605"/>
      <c r="Z232" s="847"/>
      <c r="AA232" s="847"/>
      <c r="AB232" s="2614">
        <f t="shared" si="0"/>
        <v>0</v>
      </c>
      <c r="AC232" s="2614"/>
      <c r="AD232" s="2614"/>
      <c r="AE232" s="2614"/>
      <c r="AF232" s="2614"/>
      <c r="AG232" s="26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5">
        <f>SUM(AB223:AB232)</f>
        <v>0</v>
      </c>
      <c r="AC233" s="2445"/>
      <c r="AD233" s="2445"/>
      <c r="AE233" s="2445"/>
      <c r="AF233" s="2445"/>
      <c r="AG233" s="244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5"/>
      <c r="AC239" s="2615"/>
      <c r="AD239" s="2615"/>
      <c r="AE239" s="2615"/>
      <c r="AF239" s="2615"/>
      <c r="AG239" s="2615"/>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5"/>
      <c r="AC242" s="2615"/>
      <c r="AD242" s="2615"/>
      <c r="AE242" s="2615"/>
      <c r="AF242" s="2615"/>
      <c r="AG242" s="2615"/>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6"/>
      <c r="AC243" s="2626"/>
      <c r="AD243" s="2626"/>
      <c r="AE243" s="2626"/>
      <c r="AF243" s="2626"/>
      <c r="AG243" s="2626"/>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9">
        <f>IFERROR(AB242/AB243,0)</f>
        <v>0</v>
      </c>
      <c r="AC244" s="2639"/>
      <c r="AD244" s="2639"/>
      <c r="AE244" s="2639"/>
      <c r="AF244" s="2639"/>
      <c r="AG244" s="263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4">
        <f>MAX(AB239,AB244)</f>
        <v>0</v>
      </c>
      <c r="AC246" s="2614"/>
      <c r="AD246" s="2614"/>
      <c r="AE246" s="2614"/>
      <c r="AF246" s="2614"/>
      <c r="AG246" s="26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5">
        <f>AB233+AB246</f>
        <v>0</v>
      </c>
      <c r="AC249" s="2445"/>
      <c r="AD249" s="2445"/>
      <c r="AE249" s="2445"/>
      <c r="AF249" s="2445"/>
      <c r="AG249" s="244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4">
        <v>0.05</v>
      </c>
      <c r="AC250" s="2494"/>
      <c r="AD250" s="2494"/>
      <c r="AE250" s="2494"/>
      <c r="AF250" s="2494"/>
      <c r="AG250" s="2494"/>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5">
        <f>AB249-(AB249*AB250)</f>
        <v>0</v>
      </c>
      <c r="AC251" s="2495"/>
      <c r="AD251" s="2495"/>
      <c r="AE251" s="2495"/>
      <c r="AF251" s="2495"/>
      <c r="AG251" s="2495"/>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5">
        <f>AB251/AB257</f>
        <v>0</v>
      </c>
      <c r="AC253" s="2445"/>
      <c r="AD253" s="2445"/>
      <c r="AE253" s="2445"/>
      <c r="AF253" s="2445"/>
      <c r="AG253" s="244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4">
        <v>15</v>
      </c>
      <c r="AC255" s="2454"/>
      <c r="AD255" s="2454"/>
      <c r="AE255" s="2454"/>
      <c r="AF255" s="2454"/>
      <c r="AG255" s="2454"/>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6">
        <v>0.04</v>
      </c>
      <c r="AC256" s="2496"/>
      <c r="AD256" s="2496"/>
      <c r="AE256" s="2496"/>
      <c r="AF256" s="2496"/>
      <c r="AG256" s="249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3">
        <v>1.1499999999999999</v>
      </c>
      <c r="AC257" s="2503"/>
      <c r="AD257" s="2503"/>
      <c r="AE257" s="2503"/>
      <c r="AF257" s="2503"/>
      <c r="AG257" s="250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7">
        <f>PV(AB256/12,AB255*12,-AB253/12, ,0)</f>
        <v>0</v>
      </c>
      <c r="AC259" s="2488"/>
      <c r="AD259" s="2488"/>
      <c r="AE259" s="2488"/>
      <c r="AF259" s="2488"/>
      <c r="AG259" s="2489"/>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1">
        <f>IFERROR(('Sources and Uses Budget'!D105/'Sources and Uses Budget'!B105),0)</f>
        <v>0</v>
      </c>
      <c r="AC265" s="2492"/>
      <c r="AD265" s="2492"/>
      <c r="AE265" s="2492"/>
      <c r="AF265" s="2492"/>
      <c r="AG265" s="249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1">
        <f>AD210*(1-AB265)</f>
        <v>0</v>
      </c>
      <c r="AH267" s="2481"/>
      <c r="AI267" s="2481"/>
      <c r="AJ267" s="2481"/>
      <c r="AK267" s="2481"/>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1">
        <f>'Sources and Uses Budget'!C105</f>
        <v>86941310</v>
      </c>
      <c r="AH268" s="2481"/>
      <c r="AI268" s="2481"/>
      <c r="AJ268" s="2481"/>
      <c r="AK268" s="248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2">
        <f>ROUNDDOWN(IF(AND(C305="Yes",AK83=10),((AG267*2)/AG268),AG267/AG268),2)</f>
        <v>0</v>
      </c>
      <c r="AH269" s="2482"/>
      <c r="AI269" s="2482"/>
      <c r="AJ269" s="2482"/>
      <c r="AK269" s="2482"/>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3">
        <f>IFERROR(IF(AG269=0,0,IF((AG269*100)&gt;8,8,(AG269*100))),0)</f>
        <v>0</v>
      </c>
      <c r="AL272" s="2483"/>
      <c r="AM272" s="2484"/>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5" t="s">
        <v>545</v>
      </c>
      <c r="D279" s="2475"/>
      <c r="E279" s="546"/>
      <c r="F279" s="2630" t="s">
        <v>2570</v>
      </c>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49"/>
      <c r="AF279" s="633"/>
      <c r="AG279" s="2476" t="s">
        <v>1357</v>
      </c>
      <c r="AH279" s="2476"/>
      <c r="AI279" s="2476"/>
      <c r="AJ279" s="2476"/>
      <c r="AK279" s="549"/>
      <c r="AL279" s="549"/>
      <c r="AM279" s="549"/>
      <c r="AO279" s="549"/>
    </row>
    <row r="280" spans="1:52" ht="13.75" customHeight="1">
      <c r="A280" s="549"/>
      <c r="B280" s="594"/>
      <c r="C280" s="634"/>
      <c r="D280" s="549"/>
      <c r="E280" s="546"/>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49"/>
      <c r="AF280" s="633"/>
      <c r="AG280" s="633"/>
      <c r="AH280" s="633"/>
      <c r="AI280" s="633"/>
      <c r="AJ280" s="549"/>
      <c r="AK280" s="549"/>
      <c r="AL280" s="549"/>
      <c r="AM280" s="549"/>
      <c r="AO280" s="549"/>
    </row>
    <row r="281" spans="1:52" ht="13.75" customHeight="1">
      <c r="A281" s="549"/>
      <c r="B281" s="594"/>
      <c r="C281" s="634"/>
      <c r="D281" s="549"/>
      <c r="E281" s="546"/>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49"/>
      <c r="AF281" s="633"/>
      <c r="AG281" s="633"/>
      <c r="AH281" s="633"/>
      <c r="AI281" s="633"/>
      <c r="AJ281" s="549"/>
      <c r="AK281" s="549"/>
      <c r="AL281" s="549"/>
      <c r="AM281" s="549"/>
      <c r="AO281" s="549"/>
    </row>
    <row r="282" spans="1:52" ht="13.75" customHeight="1">
      <c r="A282" s="549"/>
      <c r="B282" s="594"/>
      <c r="C282" s="634"/>
      <c r="D282" s="549"/>
      <c r="E282" s="546"/>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49"/>
      <c r="AF282" s="633"/>
      <c r="AG282" s="633"/>
      <c r="AH282" s="633"/>
      <c r="AI282" s="633"/>
      <c r="AJ282" s="549"/>
      <c r="AK282" s="549"/>
      <c r="AL282" s="549"/>
      <c r="AM282" s="549"/>
      <c r="AO282" s="549"/>
    </row>
    <row r="283" spans="1:52" ht="13.75" customHeight="1">
      <c r="A283" s="549"/>
      <c r="B283" s="594"/>
      <c r="C283" s="634"/>
      <c r="D283" s="549"/>
      <c r="E283" s="546"/>
      <c r="F283" s="2633"/>
      <c r="G283" s="2634"/>
      <c r="H283" s="2634"/>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34"/>
      <c r="AD283" s="2635"/>
      <c r="AE283" s="549"/>
      <c r="AF283" s="633"/>
      <c r="AG283" s="633"/>
      <c r="AH283" s="633"/>
      <c r="AI283" s="633"/>
      <c r="AJ283" s="549"/>
      <c r="AK283" s="549"/>
      <c r="AL283" s="549"/>
      <c r="AM283" s="549"/>
      <c r="AO283" s="549"/>
    </row>
    <row r="284" spans="1:52">
      <c r="A284" s="549"/>
      <c r="B284" s="594"/>
      <c r="C284" s="634"/>
      <c r="D284" s="549"/>
      <c r="E284" s="546"/>
      <c r="F284" s="2633"/>
      <c r="G284" s="2634"/>
      <c r="H284" s="2634"/>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34"/>
      <c r="AD284" s="2635"/>
      <c r="AE284" s="549"/>
      <c r="AF284" s="633"/>
      <c r="AG284" s="633"/>
      <c r="AH284" s="633"/>
      <c r="AI284" s="633"/>
      <c r="AJ284" s="549"/>
      <c r="AK284" s="549"/>
      <c r="AL284" s="549"/>
      <c r="AM284" s="549"/>
      <c r="AO284" s="549"/>
      <c r="AP284" s="635"/>
    </row>
    <row r="285" spans="1:52">
      <c r="A285" s="549"/>
      <c r="B285" s="594"/>
      <c r="C285" s="634"/>
      <c r="D285" s="549"/>
      <c r="E285" s="546"/>
      <c r="F285" s="2633"/>
      <c r="G285" s="2634"/>
      <c r="H285" s="2634"/>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34"/>
      <c r="AD285" s="2635"/>
      <c r="AE285" s="549"/>
      <c r="AF285" s="633"/>
      <c r="AG285" s="633"/>
      <c r="AH285" s="633"/>
      <c r="AI285" s="633"/>
      <c r="AJ285" s="549"/>
      <c r="AK285" s="549"/>
      <c r="AL285" s="549"/>
      <c r="AM285" s="549"/>
      <c r="AO285" s="549"/>
      <c r="AP285" s="635"/>
    </row>
    <row r="286" spans="1:52" ht="13.75" customHeight="1">
      <c r="A286" s="549"/>
      <c r="B286" s="594"/>
      <c r="C286" s="2477"/>
      <c r="D286" s="2477"/>
      <c r="E286" s="546"/>
      <c r="F286" s="2636"/>
      <c r="G286" s="2637"/>
      <c r="H286" s="2637"/>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37"/>
      <c r="AD286" s="2638"/>
      <c r="AE286" s="549"/>
      <c r="AF286" s="633"/>
      <c r="AG286" s="2476"/>
      <c r="AH286" s="2476"/>
      <c r="AI286" s="2476"/>
      <c r="AJ286" s="247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1" t="s">
        <v>2577</v>
      </c>
      <c r="C289" s="2391"/>
      <c r="D289" s="2391"/>
      <c r="E289" s="2391"/>
      <c r="F289" s="2391"/>
      <c r="G289" s="2391"/>
      <c r="H289" s="2391"/>
      <c r="I289" s="2391"/>
      <c r="J289" s="2391"/>
      <c r="K289" s="2391"/>
      <c r="L289" s="2391"/>
      <c r="M289" s="2391"/>
      <c r="N289" s="2391"/>
      <c r="O289" s="2391"/>
      <c r="P289" s="2391"/>
      <c r="Q289" s="2391"/>
      <c r="R289" s="2391"/>
      <c r="S289" s="2391"/>
      <c r="T289" s="2391"/>
      <c r="U289" s="2391"/>
      <c r="V289" s="2391"/>
      <c r="W289" s="2391"/>
      <c r="X289" s="2391"/>
      <c r="Y289" s="2391"/>
      <c r="Z289" s="2391"/>
      <c r="AA289" s="2391"/>
      <c r="AB289" s="2391"/>
      <c r="AC289" s="2391"/>
      <c r="AD289" s="2391"/>
      <c r="AE289" s="2391"/>
      <c r="AF289" s="2391"/>
      <c r="AG289" s="2391"/>
      <c r="AH289" s="2391"/>
      <c r="AI289" s="2391"/>
      <c r="AJ289" s="2391"/>
      <c r="AK289" s="2391"/>
      <c r="AL289" s="2391"/>
      <c r="AM289" s="549"/>
      <c r="AN289" s="73"/>
    </row>
    <row r="290" spans="1:49">
      <c r="A290" s="549"/>
      <c r="B290" s="2391"/>
      <c r="C290" s="2391"/>
      <c r="D290" s="2391"/>
      <c r="E290" s="2391"/>
      <c r="F290" s="2391"/>
      <c r="G290" s="2391"/>
      <c r="H290" s="2391"/>
      <c r="I290" s="2391"/>
      <c r="J290" s="2391"/>
      <c r="K290" s="2391"/>
      <c r="L290" s="2391"/>
      <c r="M290" s="2391"/>
      <c r="N290" s="2391"/>
      <c r="O290" s="2391"/>
      <c r="P290" s="2391"/>
      <c r="Q290" s="2391"/>
      <c r="R290" s="2391"/>
      <c r="S290" s="2391"/>
      <c r="T290" s="2391"/>
      <c r="U290" s="2391"/>
      <c r="V290" s="2391"/>
      <c r="W290" s="2391"/>
      <c r="X290" s="2391"/>
      <c r="Y290" s="2391"/>
      <c r="Z290" s="2391"/>
      <c r="AA290" s="2391"/>
      <c r="AB290" s="2391"/>
      <c r="AC290" s="2391"/>
      <c r="AD290" s="2391"/>
      <c r="AE290" s="2391"/>
      <c r="AF290" s="2391"/>
      <c r="AG290" s="2391"/>
      <c r="AH290" s="2391"/>
      <c r="AI290" s="2391"/>
      <c r="AJ290" s="2391"/>
      <c r="AK290" s="2391"/>
      <c r="AL290" s="2391"/>
      <c r="AM290" s="549"/>
      <c r="AN290" s="73"/>
    </row>
    <row r="291" spans="1:49">
      <c r="A291" s="549"/>
      <c r="B291" s="2391"/>
      <c r="C291" s="2391"/>
      <c r="D291" s="2391"/>
      <c r="E291" s="2391"/>
      <c r="F291" s="2391"/>
      <c r="G291" s="2391"/>
      <c r="H291" s="2391"/>
      <c r="I291" s="2391"/>
      <c r="J291" s="2391"/>
      <c r="K291" s="2391"/>
      <c r="L291" s="2391"/>
      <c r="M291" s="2391"/>
      <c r="N291" s="2391"/>
      <c r="O291" s="2391"/>
      <c r="P291" s="2391"/>
      <c r="Q291" s="2391"/>
      <c r="R291" s="2391"/>
      <c r="S291" s="2391"/>
      <c r="T291" s="2391"/>
      <c r="U291" s="2391"/>
      <c r="V291" s="2391"/>
      <c r="W291" s="2391"/>
      <c r="X291" s="2391"/>
      <c r="Y291" s="2391"/>
      <c r="Z291" s="2391"/>
      <c r="AA291" s="2391"/>
      <c r="AB291" s="2391"/>
      <c r="AC291" s="2391"/>
      <c r="AD291" s="2391"/>
      <c r="AE291" s="2391"/>
      <c r="AF291" s="2391"/>
      <c r="AG291" s="2391"/>
      <c r="AH291" s="2391"/>
      <c r="AI291" s="2391"/>
      <c r="AJ291" s="2391"/>
      <c r="AK291" s="2391"/>
      <c r="AL291" s="2391"/>
      <c r="AM291" s="549"/>
      <c r="AN291" s="73"/>
    </row>
    <row r="292" spans="1:49">
      <c r="A292" s="549"/>
      <c r="B292" s="2391"/>
      <c r="C292" s="2391"/>
      <c r="D292" s="2391"/>
      <c r="E292" s="2391"/>
      <c r="F292" s="2391"/>
      <c r="G292" s="2391"/>
      <c r="H292" s="2391"/>
      <c r="I292" s="2391"/>
      <c r="J292" s="2391"/>
      <c r="K292" s="2391"/>
      <c r="L292" s="2391"/>
      <c r="M292" s="2391"/>
      <c r="N292" s="2391"/>
      <c r="O292" s="2391"/>
      <c r="P292" s="2391"/>
      <c r="Q292" s="2391"/>
      <c r="R292" s="2391"/>
      <c r="S292" s="2391"/>
      <c r="T292" s="2391"/>
      <c r="U292" s="2391"/>
      <c r="V292" s="2391"/>
      <c r="W292" s="2391"/>
      <c r="X292" s="2391"/>
      <c r="Y292" s="2391"/>
      <c r="Z292" s="2391"/>
      <c r="AA292" s="2391"/>
      <c r="AB292" s="2391"/>
      <c r="AC292" s="2391"/>
      <c r="AD292" s="2391"/>
      <c r="AE292" s="2391"/>
      <c r="AF292" s="2391"/>
      <c r="AG292" s="2391"/>
      <c r="AH292" s="2391"/>
      <c r="AI292" s="2391"/>
      <c r="AJ292" s="2391"/>
      <c r="AK292" s="2391"/>
      <c r="AL292" s="2391"/>
      <c r="AM292" s="549"/>
      <c r="AN292" s="73"/>
    </row>
    <row r="293" spans="1:49">
      <c r="A293" s="549"/>
      <c r="B293" s="2391"/>
      <c r="C293" s="2391"/>
      <c r="D293" s="2391"/>
      <c r="E293" s="2391"/>
      <c r="F293" s="2391"/>
      <c r="G293" s="2391"/>
      <c r="H293" s="2391"/>
      <c r="I293" s="2391"/>
      <c r="J293" s="2391"/>
      <c r="K293" s="2391"/>
      <c r="L293" s="2391"/>
      <c r="M293" s="2391"/>
      <c r="N293" s="2391"/>
      <c r="O293" s="2391"/>
      <c r="P293" s="2391"/>
      <c r="Q293" s="2391"/>
      <c r="R293" s="2391"/>
      <c r="S293" s="2391"/>
      <c r="T293" s="2391"/>
      <c r="U293" s="2391"/>
      <c r="V293" s="2391"/>
      <c r="W293" s="2391"/>
      <c r="X293" s="2391"/>
      <c r="Y293" s="2391"/>
      <c r="Z293" s="2391"/>
      <c r="AA293" s="2391"/>
      <c r="AB293" s="2391"/>
      <c r="AC293" s="2391"/>
      <c r="AD293" s="2391"/>
      <c r="AE293" s="2391"/>
      <c r="AF293" s="2391"/>
      <c r="AG293" s="2391"/>
      <c r="AH293" s="2391"/>
      <c r="AI293" s="2391"/>
      <c r="AJ293" s="2391"/>
      <c r="AK293" s="2391"/>
      <c r="AL293" s="2391"/>
      <c r="AM293" s="549"/>
      <c r="AN293" s="73"/>
    </row>
    <row r="294" spans="1:49">
      <c r="A294" s="549"/>
      <c r="B294" s="2391"/>
      <c r="C294" s="2391"/>
      <c r="D294" s="2391"/>
      <c r="E294" s="2391"/>
      <c r="F294" s="2391"/>
      <c r="G294" s="2391"/>
      <c r="H294" s="2391"/>
      <c r="I294" s="2391"/>
      <c r="J294" s="2391"/>
      <c r="K294" s="2391"/>
      <c r="L294" s="2391"/>
      <c r="M294" s="2391"/>
      <c r="N294" s="2391"/>
      <c r="O294" s="2391"/>
      <c r="P294" s="2391"/>
      <c r="Q294" s="2391"/>
      <c r="R294" s="2391"/>
      <c r="S294" s="2391"/>
      <c r="T294" s="2391"/>
      <c r="U294" s="2391"/>
      <c r="V294" s="2391"/>
      <c r="W294" s="2391"/>
      <c r="X294" s="2391"/>
      <c r="Y294" s="2391"/>
      <c r="Z294" s="2391"/>
      <c r="AA294" s="2391"/>
      <c r="AB294" s="2391"/>
      <c r="AC294" s="2391"/>
      <c r="AD294" s="2391"/>
      <c r="AE294" s="2391"/>
      <c r="AF294" s="2391"/>
      <c r="AG294" s="2391"/>
      <c r="AH294" s="2391"/>
      <c r="AI294" s="2391"/>
      <c r="AJ294" s="2391"/>
      <c r="AK294" s="2391"/>
      <c r="AL294" s="2391"/>
      <c r="AM294" s="549"/>
      <c r="AN294" s="73"/>
    </row>
    <row r="295" spans="1:49">
      <c r="A295" s="549"/>
      <c r="B295" s="2391"/>
      <c r="C295" s="2391"/>
      <c r="D295" s="2391"/>
      <c r="E295" s="2391"/>
      <c r="F295" s="2391"/>
      <c r="G295" s="2391"/>
      <c r="H295" s="2391"/>
      <c r="I295" s="2391"/>
      <c r="J295" s="2391"/>
      <c r="K295" s="2391"/>
      <c r="L295" s="2391"/>
      <c r="M295" s="2391"/>
      <c r="N295" s="2391"/>
      <c r="O295" s="2391"/>
      <c r="P295" s="2391"/>
      <c r="Q295" s="2391"/>
      <c r="R295" s="2391"/>
      <c r="S295" s="2391"/>
      <c r="T295" s="2391"/>
      <c r="U295" s="2391"/>
      <c r="V295" s="2391"/>
      <c r="W295" s="2391"/>
      <c r="X295" s="2391"/>
      <c r="Y295" s="2391"/>
      <c r="Z295" s="2391"/>
      <c r="AA295" s="2391"/>
      <c r="AB295" s="2391"/>
      <c r="AC295" s="2391"/>
      <c r="AD295" s="2391"/>
      <c r="AE295" s="2391"/>
      <c r="AF295" s="2391"/>
      <c r="AG295" s="2391"/>
      <c r="AH295" s="2391"/>
      <c r="AI295" s="2391"/>
      <c r="AJ295" s="2391"/>
      <c r="AK295" s="2391"/>
      <c r="AL295" s="2391"/>
      <c r="AM295" s="549"/>
      <c r="AN295" s="73"/>
    </row>
    <row r="296" spans="1:49">
      <c r="A296" s="549"/>
      <c r="B296" s="2391"/>
      <c r="C296" s="2391"/>
      <c r="D296" s="2391"/>
      <c r="E296" s="2391"/>
      <c r="F296" s="2391"/>
      <c r="G296" s="2391"/>
      <c r="H296" s="2391"/>
      <c r="I296" s="2391"/>
      <c r="J296" s="2391"/>
      <c r="K296" s="2391"/>
      <c r="L296" s="2391"/>
      <c r="M296" s="2391"/>
      <c r="N296" s="2391"/>
      <c r="O296" s="2391"/>
      <c r="P296" s="2391"/>
      <c r="Q296" s="2391"/>
      <c r="R296" s="2391"/>
      <c r="S296" s="2391"/>
      <c r="T296" s="2391"/>
      <c r="U296" s="2391"/>
      <c r="V296" s="2391"/>
      <c r="W296" s="2391"/>
      <c r="X296" s="2391"/>
      <c r="Y296" s="2391"/>
      <c r="Z296" s="2391"/>
      <c r="AA296" s="2391"/>
      <c r="AB296" s="2391"/>
      <c r="AC296" s="2391"/>
      <c r="AD296" s="2391"/>
      <c r="AE296" s="2391"/>
      <c r="AF296" s="2391"/>
      <c r="AG296" s="2391"/>
      <c r="AH296" s="2391"/>
      <c r="AI296" s="2391"/>
      <c r="AJ296" s="2391"/>
      <c r="AK296" s="2391"/>
      <c r="AL296" s="239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3">
        <f>IF($C$279="yes",10,0)</f>
        <v>10</v>
      </c>
      <c r="AL298" s="2483"/>
      <c r="AM298" s="2484"/>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2571</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2" t="s">
        <v>1374</v>
      </c>
      <c r="B305" s="1672"/>
      <c r="C305" s="2465" t="s">
        <v>545</v>
      </c>
      <c r="D305" s="2475"/>
      <c r="E305" s="546"/>
      <c r="F305" s="2497" t="s">
        <v>1375</v>
      </c>
      <c r="G305" s="2498"/>
      <c r="H305" s="2498"/>
      <c r="I305" s="2498"/>
      <c r="J305" s="2498"/>
      <c r="K305" s="2498"/>
      <c r="L305" s="2498"/>
      <c r="M305" s="2498"/>
      <c r="N305" s="2498"/>
      <c r="O305" s="2498"/>
      <c r="P305" s="2498"/>
      <c r="Q305" s="2498"/>
      <c r="R305" s="2498"/>
      <c r="S305" s="2498"/>
      <c r="T305" s="2498"/>
      <c r="U305" s="2498"/>
      <c r="V305" s="2498"/>
      <c r="W305" s="2498"/>
      <c r="X305" s="2498"/>
      <c r="Y305" s="2498"/>
      <c r="Z305" s="2498"/>
      <c r="AA305" s="2498"/>
      <c r="AB305" s="2498"/>
      <c r="AC305" s="2498"/>
      <c r="AD305" s="2499"/>
      <c r="AE305" s="640"/>
      <c r="AF305" s="549"/>
      <c r="AG305" s="2500" t="s">
        <v>1982</v>
      </c>
      <c r="AH305" s="2500"/>
      <c r="AI305" s="2500"/>
      <c r="AJ305" s="2500"/>
      <c r="AK305" s="2500"/>
      <c r="AL305" s="549"/>
      <c r="AM305" s="549"/>
      <c r="AN305" s="73"/>
      <c r="AO305" s="14"/>
      <c r="AP305" s="30"/>
      <c r="AS305" s="568"/>
      <c r="AT305" s="568"/>
      <c r="AU305" s="568"/>
      <c r="AV305" s="32"/>
      <c r="AW305" s="32"/>
    </row>
    <row r="306" spans="1:49" ht="13">
      <c r="A306" s="638"/>
      <c r="B306" s="594"/>
      <c r="F306" s="2469"/>
      <c r="G306" s="2470"/>
      <c r="H306" s="2470"/>
      <c r="I306" s="2470"/>
      <c r="J306" s="2470"/>
      <c r="K306" s="2470"/>
      <c r="L306" s="2470"/>
      <c r="M306" s="2470"/>
      <c r="N306" s="2470"/>
      <c r="O306" s="2470"/>
      <c r="P306" s="2470"/>
      <c r="Q306" s="2470"/>
      <c r="R306" s="2470"/>
      <c r="S306" s="2470"/>
      <c r="T306" s="2470"/>
      <c r="U306" s="2470"/>
      <c r="V306" s="2470"/>
      <c r="W306" s="2470"/>
      <c r="X306" s="2470"/>
      <c r="Y306" s="2470"/>
      <c r="Z306" s="2470"/>
      <c r="AA306" s="2470"/>
      <c r="AB306" s="2470"/>
      <c r="AC306" s="2470"/>
      <c r="AD306" s="247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9"/>
      <c r="G307" s="2470"/>
      <c r="H307" s="2470"/>
      <c r="I307" s="2470"/>
      <c r="J307" s="2470"/>
      <c r="K307" s="2470"/>
      <c r="L307" s="2470"/>
      <c r="M307" s="2470"/>
      <c r="N307" s="2470"/>
      <c r="O307" s="2470"/>
      <c r="P307" s="2470"/>
      <c r="Q307" s="2470"/>
      <c r="R307" s="2470"/>
      <c r="S307" s="2470"/>
      <c r="T307" s="2470"/>
      <c r="U307" s="2470"/>
      <c r="V307" s="2470"/>
      <c r="W307" s="2470"/>
      <c r="X307" s="2470"/>
      <c r="Y307" s="2470"/>
      <c r="Z307" s="2470"/>
      <c r="AA307" s="2470"/>
      <c r="AB307" s="2470"/>
      <c r="AC307" s="2470"/>
      <c r="AD307" s="247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9" t="s">
        <v>1987</v>
      </c>
      <c r="G308" s="2470"/>
      <c r="H308" s="2470"/>
      <c r="I308" s="2470"/>
      <c r="J308" s="2470"/>
      <c r="K308" s="2470"/>
      <c r="L308" s="2470"/>
      <c r="M308" s="2470"/>
      <c r="N308" s="2470"/>
      <c r="O308" s="2470"/>
      <c r="P308" s="2470"/>
      <c r="Q308" s="2470"/>
      <c r="R308" s="2470"/>
      <c r="S308" s="2470"/>
      <c r="T308" s="2470"/>
      <c r="U308" s="2470"/>
      <c r="V308" s="2470"/>
      <c r="W308" s="2470"/>
      <c r="X308" s="2470"/>
      <c r="Y308" s="2470"/>
      <c r="Z308" s="2470"/>
      <c r="AA308" s="2470"/>
      <c r="AB308" s="2470"/>
      <c r="AC308" s="2470"/>
      <c r="AD308" s="247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2469"/>
      <c r="G309" s="2470"/>
      <c r="H309" s="2470"/>
      <c r="I309" s="2470"/>
      <c r="J309" s="2470"/>
      <c r="K309" s="2470"/>
      <c r="L309" s="2470"/>
      <c r="M309" s="2470"/>
      <c r="N309" s="2470"/>
      <c r="O309" s="2470"/>
      <c r="P309" s="2470"/>
      <c r="Q309" s="2470"/>
      <c r="R309" s="2470"/>
      <c r="S309" s="2470"/>
      <c r="T309" s="2470"/>
      <c r="U309" s="2470"/>
      <c r="V309" s="2470"/>
      <c r="W309" s="2470"/>
      <c r="X309" s="2470"/>
      <c r="Y309" s="2470"/>
      <c r="Z309" s="2470"/>
      <c r="AA309" s="2470"/>
      <c r="AB309" s="2470"/>
      <c r="AC309" s="2470"/>
      <c r="AD309" s="247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9" t="s">
        <v>1376</v>
      </c>
      <c r="G310" s="2470"/>
      <c r="H310" s="2470"/>
      <c r="I310" s="2470"/>
      <c r="J310" s="2470"/>
      <c r="K310" s="2470"/>
      <c r="L310" s="2470"/>
      <c r="M310" s="2470"/>
      <c r="N310" s="2470"/>
      <c r="O310" s="2470"/>
      <c r="P310" s="2470"/>
      <c r="Q310" s="2470"/>
      <c r="R310" s="2470"/>
      <c r="S310" s="2470"/>
      <c r="T310" s="2470"/>
      <c r="U310" s="2470"/>
      <c r="V310" s="2470"/>
      <c r="W310" s="2470"/>
      <c r="X310" s="2470"/>
      <c r="Y310" s="2470"/>
      <c r="Z310" s="2470"/>
      <c r="AA310" s="2470"/>
      <c r="AB310" s="2470"/>
      <c r="AC310" s="2470"/>
      <c r="AD310" s="247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9"/>
      <c r="G311" s="2470"/>
      <c r="H311" s="2470"/>
      <c r="I311" s="2470"/>
      <c r="J311" s="2470"/>
      <c r="K311" s="2470"/>
      <c r="L311" s="2470"/>
      <c r="M311" s="2470"/>
      <c r="N311" s="2470"/>
      <c r="O311" s="2470"/>
      <c r="P311" s="2470"/>
      <c r="Q311" s="2470"/>
      <c r="R311" s="2470"/>
      <c r="S311" s="2470"/>
      <c r="T311" s="2470"/>
      <c r="U311" s="2470"/>
      <c r="V311" s="2470"/>
      <c r="W311" s="2470"/>
      <c r="X311" s="2470"/>
      <c r="Y311" s="2470"/>
      <c r="Z311" s="2470"/>
      <c r="AA311" s="2470"/>
      <c r="AB311" s="2470"/>
      <c r="AC311" s="2470"/>
      <c r="AD311" s="247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9" t="s">
        <v>1377</v>
      </c>
      <c r="G312" s="2470"/>
      <c r="H312" s="2470"/>
      <c r="I312" s="2470"/>
      <c r="J312" s="2470"/>
      <c r="K312" s="2470"/>
      <c r="L312" s="2470"/>
      <c r="M312" s="2470"/>
      <c r="N312" s="2470"/>
      <c r="O312" s="2470"/>
      <c r="P312" s="2470"/>
      <c r="Q312" s="2470"/>
      <c r="R312" s="2470"/>
      <c r="S312" s="2470"/>
      <c r="T312" s="2470"/>
      <c r="U312" s="2470"/>
      <c r="V312" s="2470"/>
      <c r="W312" s="2470"/>
      <c r="X312" s="2470"/>
      <c r="Y312" s="2470"/>
      <c r="Z312" s="2470"/>
      <c r="AA312" s="2470"/>
      <c r="AB312" s="2470"/>
      <c r="AC312" s="2470"/>
      <c r="AD312" s="247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2"/>
      <c r="G313" s="2473"/>
      <c r="H313" s="2473"/>
      <c r="I313" s="2473"/>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47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2" t="s">
        <v>1378</v>
      </c>
      <c r="B315" s="1672"/>
      <c r="C315" s="2475" t="s">
        <v>591</v>
      </c>
      <c r="D315" s="2475"/>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9" t="s">
        <v>1983</v>
      </c>
      <c r="G316" s="2470"/>
      <c r="H316" s="2470"/>
      <c r="I316" s="2470"/>
      <c r="J316" s="2470"/>
      <c r="K316" s="2470"/>
      <c r="L316" s="2470"/>
      <c r="M316" s="2470"/>
      <c r="N316" s="2470"/>
      <c r="O316" s="2470"/>
      <c r="P316" s="2470"/>
      <c r="Q316" s="2470"/>
      <c r="R316" s="2470"/>
      <c r="S316" s="2470"/>
      <c r="T316" s="2470"/>
      <c r="U316" s="2470"/>
      <c r="V316" s="2470"/>
      <c r="W316" s="2470"/>
      <c r="X316" s="2470"/>
      <c r="Y316" s="2470"/>
      <c r="Z316" s="2470"/>
      <c r="AA316" s="2470"/>
      <c r="AB316" s="2470"/>
      <c r="AC316" s="2470"/>
      <c r="AD316" s="2471"/>
      <c r="AE316" s="550"/>
      <c r="AF316" s="550"/>
      <c r="AG316" s="550"/>
      <c r="AH316" s="550"/>
      <c r="AI316" s="550"/>
      <c r="AJ316" s="549"/>
      <c r="AK316" s="549"/>
      <c r="AL316" s="549"/>
      <c r="AM316" s="549"/>
      <c r="AR316" s="644"/>
    </row>
    <row r="317" spans="1:49" ht="15" customHeight="1">
      <c r="A317" s="549"/>
      <c r="B317" s="550"/>
      <c r="C317" s="549"/>
      <c r="D317" s="550"/>
      <c r="E317" s="549"/>
      <c r="F317" s="2469"/>
      <c r="G317" s="2470"/>
      <c r="H317" s="2470"/>
      <c r="I317" s="2470"/>
      <c r="J317" s="2470"/>
      <c r="K317" s="2470"/>
      <c r="L317" s="2470"/>
      <c r="M317" s="2470"/>
      <c r="N317" s="2470"/>
      <c r="O317" s="2470"/>
      <c r="P317" s="2470"/>
      <c r="Q317" s="2470"/>
      <c r="R317" s="2470"/>
      <c r="S317" s="2470"/>
      <c r="T317" s="2470"/>
      <c r="U317" s="2470"/>
      <c r="V317" s="2470"/>
      <c r="W317" s="2470"/>
      <c r="X317" s="2470"/>
      <c r="Y317" s="2470"/>
      <c r="Z317" s="2470"/>
      <c r="AA317" s="2470"/>
      <c r="AB317" s="2470"/>
      <c r="AC317" s="2470"/>
      <c r="AD317" s="2471"/>
      <c r="AE317" s="550"/>
      <c r="AF317" s="550"/>
      <c r="AG317" s="550"/>
      <c r="AH317" s="550"/>
      <c r="AI317" s="550"/>
      <c r="AJ317" s="549"/>
      <c r="AK317" s="549"/>
      <c r="AL317" s="549"/>
      <c r="AM317" s="549"/>
      <c r="AR317" s="644"/>
    </row>
    <row r="318" spans="1:49">
      <c r="A318" s="549"/>
      <c r="B318" s="550"/>
      <c r="C318" s="549"/>
      <c r="D318" s="550"/>
      <c r="E318" s="549"/>
      <c r="F318" s="2469"/>
      <c r="G318" s="2470"/>
      <c r="H318" s="2470"/>
      <c r="I318" s="2470"/>
      <c r="J318" s="2470"/>
      <c r="K318" s="2470"/>
      <c r="L318" s="2470"/>
      <c r="M318" s="2470"/>
      <c r="N318" s="2470"/>
      <c r="O318" s="2470"/>
      <c r="P318" s="2470"/>
      <c r="Q318" s="2470"/>
      <c r="R318" s="2470"/>
      <c r="S318" s="2470"/>
      <c r="T318" s="2470"/>
      <c r="U318" s="2470"/>
      <c r="V318" s="2470"/>
      <c r="W318" s="2470"/>
      <c r="X318" s="2470"/>
      <c r="Y318" s="2470"/>
      <c r="Z318" s="2470"/>
      <c r="AA318" s="2470"/>
      <c r="AB318" s="2470"/>
      <c r="AC318" s="2470"/>
      <c r="AD318" s="247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2"/>
      <c r="G319" s="2473"/>
      <c r="H319" s="2473"/>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47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2" t="s">
        <v>1381</v>
      </c>
      <c r="B323" s="1672"/>
      <c r="C323" s="2475" t="s">
        <v>591</v>
      </c>
      <c r="D323" s="2475"/>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69" t="s">
        <v>1988</v>
      </c>
      <c r="G324" s="2470"/>
      <c r="H324" s="2470"/>
      <c r="I324" s="2470"/>
      <c r="J324" s="2470"/>
      <c r="K324" s="2470"/>
      <c r="L324" s="2470"/>
      <c r="M324" s="2470"/>
      <c r="N324" s="2470"/>
      <c r="O324" s="2470"/>
      <c r="P324" s="2470"/>
      <c r="Q324" s="2470"/>
      <c r="R324" s="2470"/>
      <c r="S324" s="2470"/>
      <c r="T324" s="2470"/>
      <c r="U324" s="2470"/>
      <c r="V324" s="2470"/>
      <c r="W324" s="2470"/>
      <c r="X324" s="2470"/>
      <c r="Y324" s="2470"/>
      <c r="Z324" s="2470"/>
      <c r="AA324" s="2470"/>
      <c r="AB324" s="2470"/>
      <c r="AC324" s="2470"/>
      <c r="AD324" s="2471"/>
      <c r="AE324" s="550"/>
      <c r="AF324" s="550"/>
      <c r="AG324" s="539"/>
      <c r="AH324" s="550"/>
      <c r="AI324" s="550"/>
      <c r="AJ324" s="549"/>
      <c r="AK324" s="549"/>
      <c r="AL324" s="549"/>
      <c r="AM324" s="549"/>
      <c r="AN324" s="73"/>
      <c r="AO324" s="14"/>
      <c r="AP324" s="555" t="s">
        <v>1184</v>
      </c>
    </row>
    <row r="325" spans="1:44" hidden="1">
      <c r="F325" s="2469"/>
      <c r="G325" s="2470"/>
      <c r="H325" s="2470"/>
      <c r="I325" s="2470"/>
      <c r="J325" s="2470"/>
      <c r="K325" s="2470"/>
      <c r="L325" s="2470"/>
      <c r="M325" s="2470"/>
      <c r="N325" s="2470"/>
      <c r="O325" s="2470"/>
      <c r="P325" s="2470"/>
      <c r="Q325" s="2470"/>
      <c r="R325" s="2470"/>
      <c r="S325" s="2470"/>
      <c r="T325" s="2470"/>
      <c r="U325" s="2470"/>
      <c r="V325" s="2470"/>
      <c r="W325" s="2470"/>
      <c r="X325" s="2470"/>
      <c r="Y325" s="2470"/>
      <c r="Z325" s="2470"/>
      <c r="AA325" s="2470"/>
      <c r="AB325" s="2470"/>
      <c r="AC325" s="2470"/>
      <c r="AD325" s="2471"/>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4" t="s">
        <v>1184</v>
      </c>
      <c r="G329" s="2505"/>
      <c r="H329" s="2505"/>
      <c r="I329" s="2505"/>
      <c r="J329" s="2505"/>
      <c r="K329" s="2505"/>
      <c r="L329" s="2505"/>
      <c r="M329" s="2505"/>
      <c r="N329" s="2505"/>
      <c r="O329" s="2505"/>
      <c r="P329" s="2505"/>
      <c r="Q329" s="2505"/>
      <c r="R329" s="2505"/>
      <c r="S329" s="2505"/>
      <c r="T329" s="2505"/>
      <c r="U329" s="2505"/>
      <c r="V329" s="2505"/>
      <c r="W329" s="2505"/>
      <c r="X329" s="2505"/>
      <c r="Y329" s="2505"/>
      <c r="Z329" s="2505"/>
      <c r="AA329" s="2505"/>
      <c r="AB329" s="2505"/>
      <c r="AC329" s="2505"/>
      <c r="AD329" s="2506"/>
      <c r="AE329" s="640"/>
      <c r="AF329" s="640"/>
      <c r="AG329" s="640"/>
      <c r="AH329" s="640"/>
      <c r="AI329" s="640"/>
      <c r="AJ329" s="640"/>
      <c r="AK329" s="640"/>
      <c r="AL329" s="549"/>
      <c r="AM329" s="549"/>
      <c r="AN329" s="73"/>
      <c r="AO329" s="14"/>
      <c r="AP329" s="30"/>
    </row>
    <row r="330" spans="1:44" ht="13" hidden="1">
      <c r="A330" s="549"/>
      <c r="B330" s="550"/>
      <c r="C330" s="726"/>
      <c r="D330" s="726"/>
      <c r="E330" s="546"/>
      <c r="F330" s="2504"/>
      <c r="G330" s="2505"/>
      <c r="H330" s="2505"/>
      <c r="I330" s="2505"/>
      <c r="J330" s="2505"/>
      <c r="K330" s="2505"/>
      <c r="L330" s="2505"/>
      <c r="M330" s="2505"/>
      <c r="N330" s="2505"/>
      <c r="O330" s="2505"/>
      <c r="P330" s="2505"/>
      <c r="Q330" s="2505"/>
      <c r="R330" s="2505"/>
      <c r="S330" s="2505"/>
      <c r="T330" s="2505"/>
      <c r="U330" s="2505"/>
      <c r="V330" s="2505"/>
      <c r="W330" s="2505"/>
      <c r="X330" s="2505"/>
      <c r="Y330" s="2505"/>
      <c r="Z330" s="2505"/>
      <c r="AA330" s="2505"/>
      <c r="AB330" s="2505"/>
      <c r="AC330" s="2505"/>
      <c r="AD330" s="2506"/>
      <c r="AE330" s="550"/>
      <c r="AF330" s="550"/>
      <c r="AG330" s="539"/>
      <c r="AH330" s="550"/>
      <c r="AI330" s="550"/>
      <c r="AJ330" s="549"/>
      <c r="AK330" s="549"/>
      <c r="AL330" s="549"/>
      <c r="AM330" s="549"/>
      <c r="AN330" s="73"/>
      <c r="AO330" s="14"/>
      <c r="AP330" s="30"/>
    </row>
    <row r="331" spans="1:44" ht="13" hidden="1">
      <c r="A331" s="549"/>
      <c r="B331" s="550"/>
      <c r="C331" s="726"/>
      <c r="D331" s="726"/>
      <c r="E331" s="546"/>
      <c r="F331" s="2504"/>
      <c r="G331" s="2505"/>
      <c r="H331" s="2505"/>
      <c r="I331" s="2505"/>
      <c r="J331" s="2505"/>
      <c r="K331" s="2505"/>
      <c r="L331" s="2505"/>
      <c r="M331" s="2505"/>
      <c r="N331" s="2505"/>
      <c r="O331" s="2505"/>
      <c r="P331" s="2505"/>
      <c r="Q331" s="2505"/>
      <c r="R331" s="2505"/>
      <c r="S331" s="2505"/>
      <c r="T331" s="2505"/>
      <c r="U331" s="2505"/>
      <c r="V331" s="2505"/>
      <c r="W331" s="2505"/>
      <c r="X331" s="2505"/>
      <c r="Y331" s="2505"/>
      <c r="Z331" s="2505"/>
      <c r="AA331" s="2505"/>
      <c r="AB331" s="2505"/>
      <c r="AC331" s="2505"/>
      <c r="AD331" s="2506"/>
      <c r="AE331" s="550"/>
      <c r="AF331" s="550"/>
      <c r="AG331" s="539"/>
      <c r="AH331" s="550"/>
      <c r="AI331" s="550"/>
      <c r="AJ331" s="549"/>
      <c r="AK331" s="549"/>
      <c r="AL331" s="549"/>
      <c r="AM331" s="549"/>
      <c r="AN331" s="73"/>
      <c r="AO331" s="14"/>
      <c r="AP331" s="30"/>
    </row>
    <row r="332" spans="1:44" ht="13" hidden="1">
      <c r="A332" s="549"/>
      <c r="B332" s="550"/>
      <c r="C332" s="726"/>
      <c r="D332" s="726"/>
      <c r="E332" s="546"/>
      <c r="F332" s="2504"/>
      <c r="G332" s="2505"/>
      <c r="H332" s="2505"/>
      <c r="I332" s="2505"/>
      <c r="J332" s="2505"/>
      <c r="K332" s="2505"/>
      <c r="L332" s="2505"/>
      <c r="M332" s="2505"/>
      <c r="N332" s="2505"/>
      <c r="O332" s="2505"/>
      <c r="P332" s="2505"/>
      <c r="Q332" s="2505"/>
      <c r="R332" s="2505"/>
      <c r="S332" s="2505"/>
      <c r="T332" s="2505"/>
      <c r="U332" s="2505"/>
      <c r="V332" s="2505"/>
      <c r="W332" s="2505"/>
      <c r="X332" s="2505"/>
      <c r="Y332" s="2505"/>
      <c r="Z332" s="2505"/>
      <c r="AA332" s="2505"/>
      <c r="AB332" s="2505"/>
      <c r="AC332" s="2505"/>
      <c r="AD332" s="2506"/>
      <c r="AE332" s="550"/>
      <c r="AF332" s="550"/>
      <c r="AG332" s="539"/>
      <c r="AH332" s="550"/>
      <c r="AI332" s="550"/>
      <c r="AJ332" s="549"/>
      <c r="AK332" s="549"/>
      <c r="AL332" s="549"/>
      <c r="AM332" s="549"/>
      <c r="AN332" s="73"/>
      <c r="AO332" s="14"/>
      <c r="AP332" s="30"/>
    </row>
    <row r="333" spans="1:44" ht="13" hidden="1">
      <c r="A333" s="549"/>
      <c r="B333" s="550"/>
      <c r="C333" s="726"/>
      <c r="D333" s="726"/>
      <c r="E333" s="546"/>
      <c r="F333" s="2507"/>
      <c r="G333" s="2508"/>
      <c r="H333" s="2508"/>
      <c r="I333" s="2508"/>
      <c r="J333" s="2508"/>
      <c r="K333" s="2508"/>
      <c r="L333" s="2508"/>
      <c r="M333" s="2508"/>
      <c r="N333" s="2508"/>
      <c r="O333" s="2508"/>
      <c r="P333" s="2508"/>
      <c r="Q333" s="2508"/>
      <c r="R333" s="2508"/>
      <c r="S333" s="2508"/>
      <c r="T333" s="2508"/>
      <c r="U333" s="2508"/>
      <c r="V333" s="2508"/>
      <c r="W333" s="2508"/>
      <c r="X333" s="2508"/>
      <c r="Y333" s="2508"/>
      <c r="Z333" s="2508"/>
      <c r="AA333" s="2508"/>
      <c r="AB333" s="2508"/>
      <c r="AC333" s="2508"/>
      <c r="AD333" s="2509"/>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0" t="s">
        <v>1184</v>
      </c>
      <c r="J337" s="2510"/>
      <c r="K337" s="2510"/>
      <c r="L337" s="2510"/>
      <c r="M337" s="2510"/>
      <c r="N337" s="2510"/>
      <c r="O337" s="2510"/>
      <c r="P337" s="2510"/>
      <c r="Q337" s="2510"/>
      <c r="R337" s="2510"/>
      <c r="S337" s="2510"/>
      <c r="T337" s="2510"/>
      <c r="U337" s="2510"/>
      <c r="V337" s="2510"/>
      <c r="W337" s="2510"/>
      <c r="X337" s="2510"/>
      <c r="Y337" s="2510"/>
      <c r="Z337" s="2510"/>
      <c r="AA337" s="2510"/>
      <c r="AB337" s="2510"/>
      <c r="AC337" s="2510"/>
      <c r="AD337" s="2511"/>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10"/>
      <c r="J338" s="2510"/>
      <c r="K338" s="2510"/>
      <c r="L338" s="2510"/>
      <c r="M338" s="2510"/>
      <c r="N338" s="2510"/>
      <c r="O338" s="2510"/>
      <c r="P338" s="2510"/>
      <c r="Q338" s="2510"/>
      <c r="R338" s="2510"/>
      <c r="S338" s="2510"/>
      <c r="T338" s="2510"/>
      <c r="U338" s="2510"/>
      <c r="V338" s="2510"/>
      <c r="W338" s="2510"/>
      <c r="X338" s="2510"/>
      <c r="Y338" s="2510"/>
      <c r="Z338" s="2510"/>
      <c r="AA338" s="2510"/>
      <c r="AB338" s="2510"/>
      <c r="AC338" s="2510"/>
      <c r="AD338" s="2511"/>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10"/>
      <c r="J339" s="2510"/>
      <c r="K339" s="2510"/>
      <c r="L339" s="2510"/>
      <c r="M339" s="2510"/>
      <c r="N339" s="2510"/>
      <c r="O339" s="2510"/>
      <c r="P339" s="2510"/>
      <c r="Q339" s="2510"/>
      <c r="R339" s="2510"/>
      <c r="S339" s="2510"/>
      <c r="T339" s="2510"/>
      <c r="U339" s="2510"/>
      <c r="V339" s="2510"/>
      <c r="W339" s="2510"/>
      <c r="X339" s="2510"/>
      <c r="Y339" s="2510"/>
      <c r="Z339" s="2510"/>
      <c r="AA339" s="2510"/>
      <c r="AB339" s="2510"/>
      <c r="AC339" s="2510"/>
      <c r="AD339" s="2511"/>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12"/>
      <c r="J340" s="2512"/>
      <c r="K340" s="2512"/>
      <c r="L340" s="2512"/>
      <c r="M340" s="2512"/>
      <c r="N340" s="2512"/>
      <c r="O340" s="2512"/>
      <c r="P340" s="2512"/>
      <c r="Q340" s="2512"/>
      <c r="R340" s="2512"/>
      <c r="S340" s="2512"/>
      <c r="T340" s="2512"/>
      <c r="U340" s="2512"/>
      <c r="V340" s="2512"/>
      <c r="W340" s="2512"/>
      <c r="X340" s="2512"/>
      <c r="Y340" s="2512"/>
      <c r="Z340" s="2512"/>
      <c r="AA340" s="2512"/>
      <c r="AB340" s="2512"/>
      <c r="AC340" s="2512"/>
      <c r="AD340" s="2513"/>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10" t="s">
        <v>1184</v>
      </c>
      <c r="J342" s="2510"/>
      <c r="K342" s="2510"/>
      <c r="L342" s="2510"/>
      <c r="M342" s="2510"/>
      <c r="N342" s="2510"/>
      <c r="O342" s="2510"/>
      <c r="P342" s="2510"/>
      <c r="Q342" s="2510"/>
      <c r="R342" s="2510"/>
      <c r="S342" s="2510"/>
      <c r="T342" s="2510"/>
      <c r="U342" s="2510"/>
      <c r="V342" s="2510"/>
      <c r="W342" s="2510"/>
      <c r="X342" s="2510"/>
      <c r="Y342" s="2510"/>
      <c r="Z342" s="2510"/>
      <c r="AA342" s="2510"/>
      <c r="AB342" s="2510"/>
      <c r="AC342" s="2510"/>
      <c r="AD342" s="2511"/>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10"/>
      <c r="J343" s="2510"/>
      <c r="K343" s="2510"/>
      <c r="L343" s="2510"/>
      <c r="M343" s="2510"/>
      <c r="N343" s="2510"/>
      <c r="O343" s="2510"/>
      <c r="P343" s="2510"/>
      <c r="Q343" s="2510"/>
      <c r="R343" s="2510"/>
      <c r="S343" s="2510"/>
      <c r="T343" s="2510"/>
      <c r="U343" s="2510"/>
      <c r="V343" s="2510"/>
      <c r="W343" s="2510"/>
      <c r="X343" s="2510"/>
      <c r="Y343" s="2510"/>
      <c r="Z343" s="2510"/>
      <c r="AA343" s="2510"/>
      <c r="AB343" s="2510"/>
      <c r="AC343" s="2510"/>
      <c r="AD343" s="2511"/>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3"/>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2" t="s">
        <v>1384</v>
      </c>
      <c r="B346" s="1672"/>
      <c r="C346" s="2475" t="s">
        <v>591</v>
      </c>
      <c r="D346" s="2475"/>
      <c r="E346" s="546"/>
      <c r="F346" s="2408" t="s">
        <v>1989</v>
      </c>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10"/>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7"/>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9"/>
      <c r="AE347" s="550"/>
      <c r="AF347" s="550"/>
      <c r="AG347" s="550"/>
      <c r="AH347" s="550"/>
      <c r="AI347" s="550"/>
      <c r="AJ347" s="549"/>
      <c r="AK347" s="549"/>
      <c r="AL347" s="549"/>
      <c r="AM347" s="549"/>
      <c r="AN347" s="73"/>
      <c r="AO347" s="14"/>
    </row>
    <row r="348" spans="1:42" ht="15" hidden="1" customHeight="1">
      <c r="A348" s="549"/>
      <c r="B348" s="550"/>
      <c r="C348" s="550"/>
      <c r="D348" s="550"/>
      <c r="E348" s="550"/>
      <c r="F348" s="2437"/>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8">
        <f>IF(NOT(OR(Application!M364="Yes",Application!M365="Yes")),0,AP308)</f>
        <v>10</v>
      </c>
      <c r="AL351" s="2479"/>
      <c r="AM351" s="248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0" t="s">
        <v>1308</v>
      </c>
      <c r="AF354" s="2420"/>
      <c r="AG354" s="2420"/>
      <c r="AH354" s="2420"/>
      <c r="AI354" s="2420"/>
      <c r="AJ354" s="2420"/>
      <c r="AK354" s="242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4" t="s">
        <v>1445</v>
      </c>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1"/>
      <c r="AL356" s="601"/>
      <c r="AM356" s="601"/>
      <c r="AN356" s="595"/>
    </row>
    <row r="357" spans="1:44" s="549" customFormat="1" ht="12.75" customHeight="1">
      <c r="A357" s="601"/>
      <c r="B357" s="609"/>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1"/>
      <c r="AL357" s="601"/>
      <c r="AM357" s="601"/>
      <c r="AN357" s="595"/>
    </row>
    <row r="358" spans="1:44" s="549" customFormat="1" ht="12.75" customHeight="1">
      <c r="A358" s="601"/>
      <c r="B358" s="609"/>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1"/>
      <c r="AL358" s="601"/>
      <c r="AM358" s="601"/>
      <c r="AN358" s="595"/>
      <c r="AQ358" s="568"/>
    </row>
    <row r="359" spans="1:44" s="549" customFormat="1" ht="12.75" customHeight="1">
      <c r="A359" s="601"/>
      <c r="B359" s="609"/>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1"/>
      <c r="AL359" s="601"/>
      <c r="AM359" s="601"/>
      <c r="AN359" s="595"/>
      <c r="AQ359" s="568"/>
    </row>
    <row r="360" spans="1:44" s="549" customFormat="1" ht="12.65" customHeight="1">
      <c r="A360" s="601"/>
      <c r="B360" s="609"/>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1"/>
      <c r="AL360" s="601"/>
      <c r="AM360" s="601"/>
      <c r="AN360" s="595"/>
      <c r="AQ360" s="568"/>
      <c r="AR360" s="568"/>
    </row>
    <row r="361" spans="1:44" s="549" customFormat="1" ht="45.75" customHeight="1">
      <c r="A361" s="601"/>
      <c r="B361" s="609"/>
      <c r="C361" s="2514" t="s">
        <v>2049</v>
      </c>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1"/>
      <c r="AL361" s="601"/>
      <c r="AM361" s="601"/>
      <c r="AN361" s="595"/>
      <c r="AQ361" s="568"/>
      <c r="AR361" s="568"/>
    </row>
    <row r="362" spans="1:44" s="549" customFormat="1" ht="12.6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4" t="s">
        <v>2163</v>
      </c>
      <c r="D363" s="2514"/>
      <c r="E363" s="2514"/>
      <c r="F363" s="2514"/>
      <c r="G363" s="2514"/>
      <c r="H363" s="2514"/>
      <c r="I363" s="2514"/>
      <c r="J363" s="2514"/>
      <c r="K363" s="2514"/>
      <c r="L363" s="2514"/>
      <c r="M363" s="2514"/>
      <c r="N363" s="2514"/>
      <c r="O363" s="2514"/>
      <c r="P363" s="2514"/>
      <c r="Q363" s="2514"/>
      <c r="R363" s="2514"/>
      <c r="S363" s="2514"/>
      <c r="T363" s="2514"/>
      <c r="U363" s="2514"/>
      <c r="V363" s="2514"/>
      <c r="W363" s="2514"/>
      <c r="X363" s="2514"/>
      <c r="Y363" s="2514"/>
      <c r="Z363" s="2514"/>
      <c r="AA363" s="2514"/>
      <c r="AB363" s="2514"/>
      <c r="AC363" s="2514"/>
      <c r="AD363" s="2514"/>
      <c r="AE363" s="2514"/>
      <c r="AF363" s="2514"/>
      <c r="AG363" s="2514"/>
      <c r="AH363" s="2514"/>
      <c r="AI363" s="2514"/>
      <c r="AJ363" s="2514"/>
      <c r="AK363" s="601"/>
      <c r="AL363" s="601"/>
      <c r="AM363" s="601"/>
      <c r="AN363" s="595"/>
      <c r="AQ363" s="568"/>
      <c r="AR363" s="568"/>
    </row>
    <row r="364" spans="1:44" s="549" customFormat="1" ht="30" customHeight="1">
      <c r="A364" s="601"/>
      <c r="B364" s="609"/>
      <c r="C364" s="2514"/>
      <c r="D364" s="2514"/>
      <c r="E364" s="2514"/>
      <c r="F364" s="2514"/>
      <c r="G364" s="2514"/>
      <c r="H364" s="2514"/>
      <c r="I364" s="2514"/>
      <c r="J364" s="2514"/>
      <c r="K364" s="2514"/>
      <c r="L364" s="2514"/>
      <c r="M364" s="2514"/>
      <c r="N364" s="2514"/>
      <c r="O364" s="2514"/>
      <c r="P364" s="2514"/>
      <c r="Q364" s="2514"/>
      <c r="R364" s="2514"/>
      <c r="S364" s="2514"/>
      <c r="T364" s="2514"/>
      <c r="U364" s="2514"/>
      <c r="V364" s="2514"/>
      <c r="W364" s="2514"/>
      <c r="X364" s="2514"/>
      <c r="Y364" s="2514"/>
      <c r="Z364" s="2514"/>
      <c r="AA364" s="2514"/>
      <c r="AB364" s="2514"/>
      <c r="AC364" s="2514"/>
      <c r="AD364" s="2514"/>
      <c r="AE364" s="2514"/>
      <c r="AF364" s="2514"/>
      <c r="AG364" s="2514"/>
      <c r="AH364" s="2514"/>
      <c r="AI364" s="2514"/>
      <c r="AJ364" s="2514"/>
      <c r="AK364" s="601"/>
      <c r="AL364" s="601"/>
      <c r="AM364" s="601"/>
      <c r="AN364" s="595"/>
      <c r="AR364" s="568"/>
    </row>
    <row r="365" spans="1:44" s="549" customFormat="1" ht="12.75" customHeight="1">
      <c r="A365" s="601"/>
      <c r="B365" s="609"/>
      <c r="C365" s="2514"/>
      <c r="D365" s="2514"/>
      <c r="E365" s="2514"/>
      <c r="F365" s="2514"/>
      <c r="G365" s="2514"/>
      <c r="H365" s="2514"/>
      <c r="I365" s="2514"/>
      <c r="J365" s="2514"/>
      <c r="K365" s="2514"/>
      <c r="L365" s="2514"/>
      <c r="M365" s="2514"/>
      <c r="N365" s="2514"/>
      <c r="O365" s="2514"/>
      <c r="P365" s="2514"/>
      <c r="Q365" s="2514"/>
      <c r="R365" s="2514"/>
      <c r="S365" s="2514"/>
      <c r="T365" s="2514"/>
      <c r="U365" s="2514"/>
      <c r="V365" s="2514"/>
      <c r="W365" s="2514"/>
      <c r="X365" s="2514"/>
      <c r="Y365" s="2514"/>
      <c r="Z365" s="2514"/>
      <c r="AA365" s="2514"/>
      <c r="AB365" s="2514"/>
      <c r="AC365" s="2514"/>
      <c r="AD365" s="2514"/>
      <c r="AE365" s="2514"/>
      <c r="AF365" s="2514"/>
      <c r="AG365" s="2514"/>
      <c r="AH365" s="2514"/>
      <c r="AI365" s="2514"/>
      <c r="AJ365" s="2514"/>
      <c r="AK365" s="601"/>
      <c r="AL365" s="601"/>
      <c r="AM365" s="601"/>
      <c r="AN365" s="595"/>
      <c r="AR365" s="568"/>
    </row>
    <row r="366" spans="1:44" s="549" customFormat="1" ht="12.75" customHeight="1">
      <c r="A366" s="601"/>
      <c r="B366" s="609"/>
      <c r="C366" s="2514" t="s">
        <v>1446</v>
      </c>
      <c r="D366" s="2514"/>
      <c r="E366" s="2514"/>
      <c r="F366" s="2514"/>
      <c r="G366" s="2514"/>
      <c r="H366" s="2514"/>
      <c r="I366" s="2514"/>
      <c r="J366" s="2514"/>
      <c r="K366" s="2514"/>
      <c r="L366" s="2514"/>
      <c r="M366" s="2514"/>
      <c r="N366" s="2514"/>
      <c r="O366" s="2514"/>
      <c r="P366" s="2514"/>
      <c r="Q366" s="2514"/>
      <c r="R366" s="2514"/>
      <c r="S366" s="2514"/>
      <c r="T366" s="2514"/>
      <c r="U366" s="2514"/>
      <c r="V366" s="2514"/>
      <c r="W366" s="2514"/>
      <c r="X366" s="2514"/>
      <c r="Y366" s="2514"/>
      <c r="Z366" s="2514"/>
      <c r="AA366" s="2514"/>
      <c r="AB366" s="2514"/>
      <c r="AC366" s="2514"/>
      <c r="AD366" s="2514"/>
      <c r="AE366" s="2514"/>
      <c r="AF366" s="2514"/>
      <c r="AG366" s="2514"/>
      <c r="AH366" s="2514"/>
      <c r="AI366" s="2514"/>
      <c r="AJ366" s="2514"/>
      <c r="AK366" s="601"/>
      <c r="AL366" s="601"/>
      <c r="AM366" s="601"/>
      <c r="AN366" s="595"/>
      <c r="AQ366" s="568"/>
      <c r="AR366" s="568"/>
    </row>
    <row r="367" spans="1:44" s="549" customFormat="1" ht="12.75" customHeight="1">
      <c r="A367" s="601"/>
      <c r="B367" s="609"/>
      <c r="C367" s="2514"/>
      <c r="D367" s="2514"/>
      <c r="E367" s="2514"/>
      <c r="F367" s="2514"/>
      <c r="G367" s="2514"/>
      <c r="H367" s="2514"/>
      <c r="I367" s="2514"/>
      <c r="J367" s="2514"/>
      <c r="K367" s="2514"/>
      <c r="L367" s="2514"/>
      <c r="M367" s="2514"/>
      <c r="N367" s="2514"/>
      <c r="O367" s="2514"/>
      <c r="P367" s="2514"/>
      <c r="Q367" s="2514"/>
      <c r="R367" s="2514"/>
      <c r="S367" s="2514"/>
      <c r="T367" s="2514"/>
      <c r="U367" s="2514"/>
      <c r="V367" s="2514"/>
      <c r="W367" s="2514"/>
      <c r="X367" s="2514"/>
      <c r="Y367" s="2514"/>
      <c r="Z367" s="2514"/>
      <c r="AA367" s="2514"/>
      <c r="AB367" s="2514"/>
      <c r="AC367" s="2514"/>
      <c r="AD367" s="2514"/>
      <c r="AE367" s="2514"/>
      <c r="AF367" s="2514"/>
      <c r="AG367" s="2514"/>
      <c r="AH367" s="2514"/>
      <c r="AI367" s="2514"/>
      <c r="AJ367" s="2514"/>
      <c r="AK367" s="601"/>
      <c r="AL367" s="601"/>
      <c r="AM367" s="601"/>
      <c r="AN367" s="595"/>
      <c r="AQ367" s="568"/>
      <c r="AR367" s="568"/>
    </row>
    <row r="368" spans="1:44" s="549" customFormat="1" ht="13.4" customHeight="1">
      <c r="A368" s="601"/>
      <c r="B368" s="609"/>
      <c r="C368" s="2514"/>
      <c r="D368" s="2514"/>
      <c r="E368" s="2514"/>
      <c r="F368" s="2514"/>
      <c r="G368" s="2514"/>
      <c r="H368" s="2514"/>
      <c r="I368" s="2514"/>
      <c r="J368" s="2514"/>
      <c r="K368" s="2514"/>
      <c r="L368" s="2514"/>
      <c r="M368" s="2514"/>
      <c r="N368" s="2514"/>
      <c r="O368" s="2514"/>
      <c r="P368" s="2514"/>
      <c r="Q368" s="2514"/>
      <c r="R368" s="2514"/>
      <c r="S368" s="2514"/>
      <c r="T368" s="2514"/>
      <c r="U368" s="2514"/>
      <c r="V368" s="2514"/>
      <c r="W368" s="2514"/>
      <c r="X368" s="2514"/>
      <c r="Y368" s="2514"/>
      <c r="Z368" s="2514"/>
      <c r="AA368" s="2514"/>
      <c r="AB368" s="2514"/>
      <c r="AC368" s="2514"/>
      <c r="AD368" s="2514"/>
      <c r="AE368" s="2514"/>
      <c r="AF368" s="2514"/>
      <c r="AG368" s="2514"/>
      <c r="AH368" s="2514"/>
      <c r="AI368" s="2514"/>
      <c r="AJ368" s="2514"/>
      <c r="AK368" s="601"/>
      <c r="AL368" s="601"/>
      <c r="AM368" s="601"/>
      <c r="AN368" s="595"/>
      <c r="AQ368" s="568"/>
      <c r="AR368" s="568"/>
    </row>
    <row r="369" spans="1:46" s="549" customFormat="1" ht="12.75" customHeight="1">
      <c r="A369" s="601"/>
      <c r="B369" s="609"/>
      <c r="C369" s="2514"/>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1"/>
      <c r="AL369" s="601"/>
      <c r="AM369" s="601"/>
      <c r="AN369" s="595"/>
      <c r="AO369" s="690"/>
      <c r="AP369" s="690"/>
      <c r="AQ369" s="568"/>
    </row>
    <row r="370" spans="1:46" s="549" customFormat="1" ht="11.9" customHeight="1">
      <c r="A370" s="601"/>
      <c r="B370" s="609"/>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1"/>
      <c r="AL370" s="601"/>
      <c r="AM370" s="601"/>
      <c r="AN370" s="595"/>
      <c r="AO370" s="691" t="s">
        <v>112</v>
      </c>
      <c r="AP370" s="692">
        <f>IF(C394="Yes",5,0)</f>
        <v>0</v>
      </c>
      <c r="AS370" s="539" t="s">
        <v>1447</v>
      </c>
    </row>
    <row r="371" spans="1:46" s="549" customFormat="1" ht="12.75" customHeight="1">
      <c r="A371" s="601"/>
      <c r="B371" s="609"/>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1"/>
      <c r="AL371" s="601"/>
      <c r="AM371" s="601"/>
      <c r="AN371" s="595"/>
      <c r="AO371" s="691" t="s">
        <v>113</v>
      </c>
      <c r="AP371" s="692">
        <f>IF(C402="Yes",5,0)</f>
        <v>0</v>
      </c>
      <c r="AS371" s="2544">
        <f>IF(Application!D211="Non-Targeted",(SUM(AQ379+AQ388)),AS375)</f>
        <v>10</v>
      </c>
      <c r="AT371" s="2544"/>
    </row>
    <row r="372" spans="1:46" s="549" customFormat="1" ht="12.75" customHeight="1">
      <c r="A372" s="601"/>
      <c r="B372" s="609"/>
      <c r="C372" s="2514"/>
      <c r="D372" s="2514"/>
      <c r="E372" s="2514"/>
      <c r="F372" s="2514"/>
      <c r="G372" s="2514"/>
      <c r="H372" s="2514"/>
      <c r="I372" s="2514"/>
      <c r="J372" s="2514"/>
      <c r="K372" s="2514"/>
      <c r="L372" s="2514"/>
      <c r="M372" s="2514"/>
      <c r="N372" s="2514"/>
      <c r="O372" s="2514"/>
      <c r="P372" s="2514"/>
      <c r="Q372" s="2514"/>
      <c r="R372" s="2514"/>
      <c r="S372" s="2514"/>
      <c r="T372" s="2514"/>
      <c r="U372" s="2514"/>
      <c r="V372" s="2514"/>
      <c r="W372" s="2514"/>
      <c r="X372" s="2514"/>
      <c r="Y372" s="2514"/>
      <c r="Z372" s="2514"/>
      <c r="AA372" s="2514"/>
      <c r="AB372" s="2514"/>
      <c r="AC372" s="2514"/>
      <c r="AD372" s="2514"/>
      <c r="AE372" s="2514"/>
      <c r="AF372" s="2514"/>
      <c r="AG372" s="2514"/>
      <c r="AH372" s="2514"/>
      <c r="AI372" s="2514"/>
      <c r="AJ372" s="2514"/>
      <c r="AK372" s="601"/>
      <c r="AL372" s="601"/>
      <c r="AM372" s="601"/>
      <c r="AN372" s="595"/>
      <c r="AO372" s="691" t="s">
        <v>119</v>
      </c>
      <c r="AP372" s="692">
        <f>IF(C410="Yes",7,0)</f>
        <v>7</v>
      </c>
      <c r="AS372" s="539" t="s">
        <v>1448</v>
      </c>
    </row>
    <row r="373" spans="1:46" s="549" customFormat="1" ht="12.75" customHeight="1">
      <c r="B373" s="609"/>
      <c r="C373" s="2514"/>
      <c r="D373" s="2514"/>
      <c r="E373" s="2514"/>
      <c r="F373" s="2514"/>
      <c r="G373" s="2514"/>
      <c r="H373" s="2514"/>
      <c r="I373" s="2514"/>
      <c r="J373" s="2514"/>
      <c r="K373" s="2514"/>
      <c r="L373" s="2514"/>
      <c r="M373" s="2514"/>
      <c r="N373" s="2514"/>
      <c r="O373" s="2514"/>
      <c r="P373" s="2514"/>
      <c r="Q373" s="2514"/>
      <c r="R373" s="2514"/>
      <c r="S373" s="2514"/>
      <c r="T373" s="2514"/>
      <c r="U373" s="2514"/>
      <c r="V373" s="2514"/>
      <c r="W373" s="2514"/>
      <c r="X373" s="2514"/>
      <c r="Y373" s="2514"/>
      <c r="Z373" s="2514"/>
      <c r="AA373" s="2514"/>
      <c r="AB373" s="2514"/>
      <c r="AC373" s="2514"/>
      <c r="AD373" s="2514"/>
      <c r="AE373" s="2514"/>
      <c r="AF373" s="2514"/>
      <c r="AG373" s="2514"/>
      <c r="AH373" s="2514"/>
      <c r="AI373" s="2514"/>
      <c r="AJ373" s="2514"/>
      <c r="AK373" s="601"/>
      <c r="AL373" s="601"/>
      <c r="AM373" s="601"/>
      <c r="AN373" s="595"/>
      <c r="AO373" s="595"/>
      <c r="AP373" s="692">
        <f>IF(C412="Yes",5,0)</f>
        <v>0</v>
      </c>
      <c r="AS373" s="2544">
        <f>IF(AND(AQ379&gt;0,AQ388&gt;0),(AQ379+AQ388)/2,0)</f>
        <v>0</v>
      </c>
      <c r="AT373" s="2544"/>
    </row>
    <row r="374" spans="1:46" s="549" customFormat="1" ht="12.75" customHeight="1">
      <c r="A374" s="601"/>
      <c r="B374" s="609"/>
      <c r="C374" s="2514"/>
      <c r="D374" s="2514"/>
      <c r="E374" s="2514"/>
      <c r="F374" s="2514"/>
      <c r="G374" s="2514"/>
      <c r="H374" s="2514"/>
      <c r="I374" s="2514"/>
      <c r="J374" s="2514"/>
      <c r="K374" s="2514"/>
      <c r="L374" s="2514"/>
      <c r="M374" s="2514"/>
      <c r="N374" s="2514"/>
      <c r="O374" s="2514"/>
      <c r="P374" s="2514"/>
      <c r="Q374" s="2514"/>
      <c r="R374" s="2514"/>
      <c r="S374" s="2514"/>
      <c r="T374" s="2514"/>
      <c r="U374" s="2514"/>
      <c r="V374" s="2514"/>
      <c r="W374" s="2514"/>
      <c r="X374" s="2514"/>
      <c r="Y374" s="2514"/>
      <c r="Z374" s="2514"/>
      <c r="AA374" s="2514"/>
      <c r="AB374" s="2514"/>
      <c r="AC374" s="2514"/>
      <c r="AD374" s="2514"/>
      <c r="AE374" s="2514"/>
      <c r="AF374" s="2514"/>
      <c r="AG374" s="2514"/>
      <c r="AH374" s="2514"/>
      <c r="AI374" s="2514"/>
      <c r="AJ374" s="2514"/>
      <c r="AK374" s="601"/>
      <c r="AL374" s="601"/>
      <c r="AM374" s="601"/>
      <c r="AN374" s="595"/>
      <c r="AO374" s="691" t="s">
        <v>581</v>
      </c>
      <c r="AP374" s="692">
        <f>IF(C420="Yes",5,0)</f>
        <v>0</v>
      </c>
      <c r="AS374" s="539" t="s">
        <v>1853</v>
      </c>
    </row>
    <row r="375" spans="1:46" s="549" customFormat="1" ht="12.75" customHeight="1">
      <c r="A375" s="601"/>
      <c r="B375" s="609"/>
      <c r="C375" s="2545" t="s">
        <v>2187</v>
      </c>
      <c r="D375" s="2545"/>
      <c r="E375" s="2545"/>
      <c r="F375" s="2545"/>
      <c r="G375" s="2545"/>
      <c r="H375" s="2545"/>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45"/>
      <c r="AD375" s="2545"/>
      <c r="AE375" s="2545"/>
      <c r="AF375" s="2545"/>
      <c r="AG375" s="2545"/>
      <c r="AH375" s="2545"/>
      <c r="AI375" s="2545"/>
      <c r="AJ375" s="2545"/>
      <c r="AK375" s="601"/>
      <c r="AL375" s="601"/>
      <c r="AM375" s="601"/>
      <c r="AN375" s="595"/>
      <c r="AO375" s="595"/>
      <c r="AP375" s="692">
        <f>IF(C422="Yes",3,0)</f>
        <v>3</v>
      </c>
      <c r="AS375" s="2544">
        <f>IF(AQ379=0,AQ388,AQ379)</f>
        <v>10</v>
      </c>
      <c r="AT375" s="2544"/>
    </row>
    <row r="376" spans="1:46" s="549" customFormat="1" ht="12.75" customHeight="1">
      <c r="A376" s="601"/>
      <c r="B376" s="609"/>
      <c r="C376" s="2545"/>
      <c r="D376" s="2545"/>
      <c r="E376" s="2545"/>
      <c r="F376" s="2545"/>
      <c r="G376" s="2545"/>
      <c r="H376" s="2545"/>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45"/>
      <c r="AD376" s="2545"/>
      <c r="AE376" s="2545"/>
      <c r="AF376" s="2545"/>
      <c r="AG376" s="2545"/>
      <c r="AH376" s="2545"/>
      <c r="AI376" s="2545"/>
      <c r="AJ376" s="2545"/>
      <c r="AK376" s="601"/>
      <c r="AL376" s="601"/>
      <c r="AM376" s="601"/>
      <c r="AN376" s="595"/>
      <c r="AO376" s="691" t="s">
        <v>763</v>
      </c>
      <c r="AP376" s="692">
        <f>IF(C425="Yes",5,0)</f>
        <v>0</v>
      </c>
    </row>
    <row r="377" spans="1:46" s="549" customFormat="1" ht="12.75" customHeight="1">
      <c r="A377" s="601"/>
      <c r="B377" s="609"/>
      <c r="C377" s="2545"/>
      <c r="D377" s="2545"/>
      <c r="E377" s="2545"/>
      <c r="F377" s="2545"/>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2545"/>
      <c r="AH377" s="2545"/>
      <c r="AI377" s="2545"/>
      <c r="AJ377" s="2545"/>
      <c r="AK377" s="601"/>
      <c r="AL377" s="601"/>
      <c r="AM377" s="601"/>
      <c r="AN377" s="595"/>
      <c r="AO377" s="691" t="s">
        <v>584</v>
      </c>
      <c r="AP377" s="692">
        <f>IF(C434="Yes",5,0)</f>
        <v>0</v>
      </c>
    </row>
    <row r="378" spans="1:46" s="549" customFormat="1" ht="11.9" customHeight="1">
      <c r="A378" s="601"/>
      <c r="B378" s="609"/>
      <c r="C378" s="2545"/>
      <c r="D378" s="2545"/>
      <c r="E378" s="2545"/>
      <c r="F378" s="2545"/>
      <c r="G378" s="2545"/>
      <c r="H378" s="2545"/>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45"/>
      <c r="AD378" s="2545"/>
      <c r="AE378" s="2545"/>
      <c r="AF378" s="2545"/>
      <c r="AG378" s="2545"/>
      <c r="AH378" s="2545"/>
      <c r="AI378" s="2545"/>
      <c r="AJ378" s="2545"/>
      <c r="AK378" s="601"/>
      <c r="AL378" s="601"/>
      <c r="AM378" s="601"/>
      <c r="AN378" s="595"/>
      <c r="AO378" s="693"/>
      <c r="AP378" s="694">
        <f>IF(C436="Yes",3,0)</f>
        <v>0</v>
      </c>
    </row>
    <row r="379" spans="1:46" s="549" customFormat="1" ht="12.65" customHeight="1">
      <c r="A379" s="601"/>
      <c r="B379" s="609"/>
      <c r="C379" s="2545"/>
      <c r="D379" s="2545"/>
      <c r="E379" s="2545"/>
      <c r="F379" s="2545"/>
      <c r="G379" s="2545"/>
      <c r="H379" s="2545"/>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45"/>
      <c r="AD379" s="2545"/>
      <c r="AE379" s="2545"/>
      <c r="AF379" s="2545"/>
      <c r="AG379" s="2545"/>
      <c r="AH379" s="2545"/>
      <c r="AI379" s="2545"/>
      <c r="AJ379" s="2545"/>
      <c r="AK379" s="601"/>
      <c r="AL379" s="601"/>
      <c r="AM379" s="601"/>
      <c r="AN379" s="595"/>
      <c r="AO379" s="695" t="s">
        <v>227</v>
      </c>
      <c r="AP379" s="696">
        <f>SUM(AP370:AP378)</f>
        <v>10</v>
      </c>
      <c r="AQ379" s="2546">
        <f>IF(AP379&gt;0,AP379,0)</f>
        <v>10</v>
      </c>
      <c r="AR379" s="2546"/>
    </row>
    <row r="380" spans="1:46" s="549" customFormat="1" ht="12.75" customHeight="1">
      <c r="A380" s="601"/>
      <c r="B380" s="609"/>
      <c r="C380" s="2545"/>
      <c r="D380" s="2545"/>
      <c r="E380" s="2545"/>
      <c r="F380" s="2545"/>
      <c r="G380" s="2545"/>
      <c r="H380" s="2545"/>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45"/>
      <c r="AD380" s="2545"/>
      <c r="AE380" s="2545"/>
      <c r="AF380" s="2545"/>
      <c r="AG380" s="2545"/>
      <c r="AH380" s="2545"/>
      <c r="AI380" s="2545"/>
      <c r="AJ380" s="254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4" t="s">
        <v>1449</v>
      </c>
      <c r="D382" s="2514"/>
      <c r="E382" s="2514"/>
      <c r="F382" s="2514"/>
      <c r="G382" s="2514"/>
      <c r="H382" s="2514"/>
      <c r="I382" s="2514"/>
      <c r="J382" s="2514"/>
      <c r="K382" s="2514"/>
      <c r="L382" s="2514"/>
      <c r="M382" s="2514"/>
      <c r="N382" s="2514"/>
      <c r="O382" s="2514"/>
      <c r="P382" s="2514"/>
      <c r="Q382" s="2514"/>
      <c r="R382" s="2514"/>
      <c r="S382" s="2514"/>
      <c r="T382" s="2514"/>
      <c r="U382" s="2514"/>
      <c r="V382" s="2514"/>
      <c r="W382" s="2514"/>
      <c r="X382" s="2514"/>
      <c r="Y382" s="2514"/>
      <c r="Z382" s="2514"/>
      <c r="AA382" s="2514"/>
      <c r="AB382" s="2514"/>
      <c r="AC382" s="2514"/>
      <c r="AD382" s="2514"/>
      <c r="AE382" s="2514"/>
      <c r="AF382" s="2514"/>
      <c r="AG382" s="2514"/>
      <c r="AH382" s="2514"/>
      <c r="AI382" s="2514"/>
      <c r="AJ382" s="2514"/>
      <c r="AK382" s="601"/>
      <c r="AL382" s="601"/>
      <c r="AM382" s="601"/>
      <c r="AN382" s="595"/>
      <c r="AO382" s="691" t="s">
        <v>456</v>
      </c>
      <c r="AP382" s="692">
        <f>IF(C455="Yes",5,0)</f>
        <v>0</v>
      </c>
    </row>
    <row r="383" spans="1:46" s="549" customFormat="1" ht="12.75" customHeight="1">
      <c r="A383" s="601"/>
      <c r="B383" s="609"/>
      <c r="C383" s="2514"/>
      <c r="D383" s="2514"/>
      <c r="E383" s="2514"/>
      <c r="F383" s="2514"/>
      <c r="G383" s="2514"/>
      <c r="H383" s="2514"/>
      <c r="I383" s="2514"/>
      <c r="J383" s="2514"/>
      <c r="K383" s="2514"/>
      <c r="L383" s="2514"/>
      <c r="M383" s="2514"/>
      <c r="N383" s="2514"/>
      <c r="O383" s="2514"/>
      <c r="P383" s="2514"/>
      <c r="Q383" s="2514"/>
      <c r="R383" s="2514"/>
      <c r="S383" s="2514"/>
      <c r="T383" s="2514"/>
      <c r="U383" s="2514"/>
      <c r="V383" s="2514"/>
      <c r="W383" s="2514"/>
      <c r="X383" s="2514"/>
      <c r="Y383" s="2514"/>
      <c r="Z383" s="2514"/>
      <c r="AA383" s="2514"/>
      <c r="AB383" s="2514"/>
      <c r="AC383" s="2514"/>
      <c r="AD383" s="2514"/>
      <c r="AE383" s="2514"/>
      <c r="AF383" s="2514"/>
      <c r="AG383" s="2514"/>
      <c r="AH383" s="2514"/>
      <c r="AI383" s="2514"/>
      <c r="AJ383" s="2514"/>
      <c r="AK383" s="601"/>
      <c r="AL383" s="601"/>
      <c r="AM383" s="601"/>
      <c r="AN383" s="595"/>
      <c r="AO383" s="691" t="s">
        <v>461</v>
      </c>
      <c r="AP383" s="692">
        <f>IF(C462="Yes",5,0)</f>
        <v>0</v>
      </c>
    </row>
    <row r="384" spans="1:46" s="549" customFormat="1" ht="68.150000000000006" customHeight="1">
      <c r="A384" s="601"/>
      <c r="B384" s="609"/>
      <c r="C384" s="2514"/>
      <c r="D384" s="2514"/>
      <c r="E384" s="2514"/>
      <c r="F384" s="2514"/>
      <c r="G384" s="2514"/>
      <c r="H384" s="2514"/>
      <c r="I384" s="2514"/>
      <c r="J384" s="2514"/>
      <c r="K384" s="2514"/>
      <c r="L384" s="2514"/>
      <c r="M384" s="2514"/>
      <c r="N384" s="2514"/>
      <c r="O384" s="2514"/>
      <c r="P384" s="2514"/>
      <c r="Q384" s="2514"/>
      <c r="R384" s="2514"/>
      <c r="S384" s="2514"/>
      <c r="T384" s="2514"/>
      <c r="U384" s="2514"/>
      <c r="V384" s="2514"/>
      <c r="W384" s="2514"/>
      <c r="X384" s="2514"/>
      <c r="Y384" s="2514"/>
      <c r="Z384" s="2514"/>
      <c r="AA384" s="2514"/>
      <c r="AB384" s="2514"/>
      <c r="AC384" s="2514"/>
      <c r="AD384" s="2514"/>
      <c r="AE384" s="2514"/>
      <c r="AF384" s="2514"/>
      <c r="AG384" s="2514"/>
      <c r="AH384" s="2514"/>
      <c r="AI384" s="2514"/>
      <c r="AJ384" s="2514"/>
      <c r="AK384" s="601"/>
      <c r="AL384" s="601"/>
      <c r="AM384" s="601"/>
      <c r="AN384" s="595"/>
      <c r="AO384" s="691" t="s">
        <v>646</v>
      </c>
      <c r="AP384" s="697">
        <f>IF(C466="Yes",5,0)</f>
        <v>0</v>
      </c>
    </row>
    <row r="385" spans="1:81" s="549" customFormat="1" ht="12.6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10">
        <f>Application!DU810-U387</f>
        <v>167</v>
      </c>
      <c r="V386" s="2610"/>
      <c r="W386" s="261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1">
        <f>IF(Application!D211="SRO",Application!DU763,Application!AG764)</f>
        <v>0</v>
      </c>
      <c r="V387" s="2611"/>
      <c r="W387" s="261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6">
        <f>IF(AP388&gt;0,AP388,0)</f>
        <v>0</v>
      </c>
      <c r="AR388" s="2546"/>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8" t="s">
        <v>1451</v>
      </c>
      <c r="G390" s="2518"/>
      <c r="H390" s="2518"/>
      <c r="I390" s="2518"/>
      <c r="J390" s="2518"/>
      <c r="K390" s="2518"/>
      <c r="L390" s="2518"/>
      <c r="M390" s="2518"/>
      <c r="N390" s="2518"/>
      <c r="O390" s="2518"/>
      <c r="P390" s="2518"/>
      <c r="Q390" s="2518"/>
      <c r="R390" s="2518"/>
      <c r="S390" s="2518"/>
      <c r="T390" s="2518"/>
      <c r="U390" s="2518"/>
      <c r="V390" s="2518"/>
      <c r="W390" s="2518"/>
      <c r="X390" s="2518"/>
      <c r="Y390" s="2518"/>
      <c r="Z390" s="2518"/>
      <c r="AA390" s="2518"/>
      <c r="AB390" s="2518"/>
      <c r="AC390" s="2518"/>
      <c r="AD390" s="2518"/>
      <c r="AE390" s="2518"/>
      <c r="AF390" s="251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1"/>
      <c r="G391" s="2391"/>
      <c r="H391" s="2391"/>
      <c r="I391" s="2391"/>
      <c r="J391" s="2391"/>
      <c r="K391" s="2391"/>
      <c r="L391" s="2391"/>
      <c r="M391" s="2391"/>
      <c r="N391" s="2391"/>
      <c r="O391" s="2391"/>
      <c r="P391" s="2391"/>
      <c r="Q391" s="2391"/>
      <c r="R391" s="2391"/>
      <c r="S391" s="2391"/>
      <c r="T391" s="2391"/>
      <c r="U391" s="2391"/>
      <c r="V391" s="2391"/>
      <c r="W391" s="2391"/>
      <c r="X391" s="2391"/>
      <c r="Y391" s="2391"/>
      <c r="Z391" s="2391"/>
      <c r="AA391" s="2391"/>
      <c r="AB391" s="2391"/>
      <c r="AC391" s="2391"/>
      <c r="AD391" s="2391"/>
      <c r="AE391" s="2391"/>
      <c r="AF391" s="239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1"/>
      <c r="G392" s="2391"/>
      <c r="H392" s="2391"/>
      <c r="I392" s="2391"/>
      <c r="J392" s="2391"/>
      <c r="K392" s="2391"/>
      <c r="L392" s="2391"/>
      <c r="M392" s="2391"/>
      <c r="N392" s="2391"/>
      <c r="O392" s="2391"/>
      <c r="P392" s="2391"/>
      <c r="Q392" s="2391"/>
      <c r="R392" s="2391"/>
      <c r="S392" s="2391"/>
      <c r="T392" s="2391"/>
      <c r="U392" s="2391"/>
      <c r="V392" s="2391"/>
      <c r="W392" s="2391"/>
      <c r="X392" s="2391"/>
      <c r="Y392" s="2391"/>
      <c r="Z392" s="2391"/>
      <c r="AA392" s="2391"/>
      <c r="AB392" s="2391"/>
      <c r="AC392" s="2391"/>
      <c r="AD392" s="2391"/>
      <c r="AE392" s="2391"/>
      <c r="AF392" s="239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1"/>
      <c r="G393" s="2391"/>
      <c r="H393" s="2391"/>
      <c r="I393" s="2391"/>
      <c r="J393" s="2391"/>
      <c r="K393" s="2391"/>
      <c r="L393" s="2391"/>
      <c r="M393" s="2391"/>
      <c r="N393" s="2391"/>
      <c r="O393" s="2391"/>
      <c r="P393" s="2391"/>
      <c r="Q393" s="2391"/>
      <c r="R393" s="2391"/>
      <c r="S393" s="2391"/>
      <c r="T393" s="2391"/>
      <c r="U393" s="2391"/>
      <c r="V393" s="2391"/>
      <c r="W393" s="2391"/>
      <c r="X393" s="2391"/>
      <c r="Y393" s="2391"/>
      <c r="Z393" s="2391"/>
      <c r="AA393" s="2391"/>
      <c r="AB393" s="2391"/>
      <c r="AC393" s="2391"/>
      <c r="AD393" s="2391"/>
      <c r="AE393" s="2391"/>
      <c r="AF393" s="239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5" t="s">
        <v>591</v>
      </c>
      <c r="D394" s="2475"/>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6" t="s">
        <v>1453</v>
      </c>
      <c r="AG394" s="2516"/>
      <c r="AH394" s="2516"/>
      <c r="AI394" s="2516"/>
      <c r="AJ394" s="2516"/>
      <c r="AK394" s="2516"/>
      <c r="AL394" s="251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8" t="s">
        <v>1454</v>
      </c>
      <c r="G397" s="2518"/>
      <c r="H397" s="2518"/>
      <c r="I397" s="2518"/>
      <c r="J397" s="2518"/>
      <c r="K397" s="2518"/>
      <c r="L397" s="2518"/>
      <c r="M397" s="2518"/>
      <c r="N397" s="2518"/>
      <c r="O397" s="2518"/>
      <c r="P397" s="2518"/>
      <c r="Q397" s="2518"/>
      <c r="R397" s="2518"/>
      <c r="S397" s="2518"/>
      <c r="T397" s="2518"/>
      <c r="U397" s="2518"/>
      <c r="V397" s="2518"/>
      <c r="W397" s="2518"/>
      <c r="X397" s="2518"/>
      <c r="Y397" s="2518"/>
      <c r="Z397" s="2518"/>
      <c r="AA397" s="2518"/>
      <c r="AB397" s="2518"/>
      <c r="AC397" s="2518"/>
      <c r="AD397" s="2518"/>
      <c r="AE397" s="2518"/>
      <c r="AF397" s="251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1"/>
      <c r="G398" s="2391"/>
      <c r="H398" s="2391"/>
      <c r="I398" s="2391"/>
      <c r="J398" s="2391"/>
      <c r="K398" s="2391"/>
      <c r="L398" s="2391"/>
      <c r="M398" s="2391"/>
      <c r="N398" s="2391"/>
      <c r="O398" s="2391"/>
      <c r="P398" s="2391"/>
      <c r="Q398" s="2391"/>
      <c r="R398" s="2391"/>
      <c r="S398" s="2391"/>
      <c r="T398" s="2391"/>
      <c r="U398" s="2391"/>
      <c r="V398" s="2391"/>
      <c r="W398" s="2391"/>
      <c r="X398" s="2391"/>
      <c r="Y398" s="2391"/>
      <c r="Z398" s="2391"/>
      <c r="AA398" s="2391"/>
      <c r="AB398" s="2391"/>
      <c r="AC398" s="2391"/>
      <c r="AD398" s="2391"/>
      <c r="AE398" s="2391"/>
      <c r="AF398" s="239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1"/>
      <c r="G399" s="2391"/>
      <c r="H399" s="2391"/>
      <c r="I399" s="2391"/>
      <c r="J399" s="2391"/>
      <c r="K399" s="2391"/>
      <c r="L399" s="2391"/>
      <c r="M399" s="2391"/>
      <c r="N399" s="2391"/>
      <c r="O399" s="2391"/>
      <c r="P399" s="2391"/>
      <c r="Q399" s="2391"/>
      <c r="R399" s="2391"/>
      <c r="S399" s="2391"/>
      <c r="T399" s="2391"/>
      <c r="U399" s="2391"/>
      <c r="V399" s="2391"/>
      <c r="W399" s="2391"/>
      <c r="X399" s="2391"/>
      <c r="Y399" s="2391"/>
      <c r="Z399" s="2391"/>
      <c r="AA399" s="2391"/>
      <c r="AB399" s="2391"/>
      <c r="AC399" s="2391"/>
      <c r="AD399" s="2391"/>
      <c r="AE399" s="2391"/>
      <c r="AF399" s="239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1"/>
      <c r="G400" s="2391"/>
      <c r="H400" s="2391"/>
      <c r="I400" s="2391"/>
      <c r="J400" s="2391"/>
      <c r="K400" s="2391"/>
      <c r="L400" s="2391"/>
      <c r="M400" s="2391"/>
      <c r="N400" s="2391"/>
      <c r="O400" s="2391"/>
      <c r="P400" s="2391"/>
      <c r="Q400" s="2391"/>
      <c r="R400" s="2391"/>
      <c r="S400" s="2391"/>
      <c r="T400" s="2391"/>
      <c r="U400" s="2391"/>
      <c r="V400" s="2391"/>
      <c r="W400" s="2391"/>
      <c r="X400" s="2391"/>
      <c r="Y400" s="2391"/>
      <c r="Z400" s="2391"/>
      <c r="AA400" s="2391"/>
      <c r="AB400" s="2391"/>
      <c r="AC400" s="2391"/>
      <c r="AD400" s="2391"/>
      <c r="AE400" s="2391"/>
      <c r="AF400" s="239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1"/>
      <c r="G401" s="2391"/>
      <c r="H401" s="2391"/>
      <c r="I401" s="2391"/>
      <c r="J401" s="2391"/>
      <c r="K401" s="2391"/>
      <c r="L401" s="2391"/>
      <c r="M401" s="2391"/>
      <c r="N401" s="2391"/>
      <c r="O401" s="2391"/>
      <c r="P401" s="2391"/>
      <c r="Q401" s="2391"/>
      <c r="R401" s="2391"/>
      <c r="S401" s="2391"/>
      <c r="T401" s="2391"/>
      <c r="U401" s="2391"/>
      <c r="V401" s="2391"/>
      <c r="W401" s="2391"/>
      <c r="X401" s="2391"/>
      <c r="Y401" s="2391"/>
      <c r="Z401" s="2391"/>
      <c r="AA401" s="2391"/>
      <c r="AB401" s="2391"/>
      <c r="AC401" s="2391"/>
      <c r="AD401" s="2391"/>
      <c r="AE401" s="2391"/>
      <c r="AF401" s="2391"/>
      <c r="AL401" s="728"/>
      <c r="AN401" s="595"/>
      <c r="BS401" s="30"/>
      <c r="BT401" s="30"/>
      <c r="BU401" s="14"/>
      <c r="BV401" s="14"/>
      <c r="BW401" s="14"/>
      <c r="BX401" s="14"/>
      <c r="BY401" s="14"/>
      <c r="BZ401" s="14"/>
      <c r="CA401" s="14"/>
      <c r="CB401" s="14"/>
      <c r="CC401" s="14"/>
    </row>
    <row r="402" spans="1:81" s="549" customFormat="1" ht="12.75" customHeight="1">
      <c r="A402" s="536"/>
      <c r="B402" s="14"/>
      <c r="C402" s="2515" t="s">
        <v>591</v>
      </c>
      <c r="D402" s="2475"/>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6" t="s">
        <v>1453</v>
      </c>
      <c r="AG402" s="2516"/>
      <c r="AH402" s="2516"/>
      <c r="AI402" s="2516"/>
      <c r="AJ402" s="2516"/>
      <c r="AK402" s="2516"/>
      <c r="AL402" s="251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8" t="s">
        <v>1456</v>
      </c>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1"/>
      <c r="G406" s="2391"/>
      <c r="H406" s="2391"/>
      <c r="I406" s="2391"/>
      <c r="J406" s="2391"/>
      <c r="K406" s="2391"/>
      <c r="L406" s="2391"/>
      <c r="M406" s="2391"/>
      <c r="N406" s="2391"/>
      <c r="O406" s="2391"/>
      <c r="P406" s="2391"/>
      <c r="Q406" s="2391"/>
      <c r="R406" s="2391"/>
      <c r="S406" s="2391"/>
      <c r="T406" s="2391"/>
      <c r="U406" s="2391"/>
      <c r="V406" s="2391"/>
      <c r="W406" s="2391"/>
      <c r="X406" s="2391"/>
      <c r="Y406" s="2391"/>
      <c r="Z406" s="2391"/>
      <c r="AA406" s="2391"/>
      <c r="AB406" s="2391"/>
      <c r="AC406" s="2391"/>
      <c r="AD406" s="2391"/>
      <c r="AE406" s="2391"/>
      <c r="AF406" s="239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1"/>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1"/>
      <c r="G408" s="2391"/>
      <c r="H408" s="2391"/>
      <c r="I408" s="2391"/>
      <c r="J408" s="2391"/>
      <c r="K408" s="2391"/>
      <c r="L408" s="2391"/>
      <c r="M408" s="2391"/>
      <c r="N408" s="2391"/>
      <c r="O408" s="2391"/>
      <c r="P408" s="2391"/>
      <c r="Q408" s="2391"/>
      <c r="R408" s="2391"/>
      <c r="S408" s="2391"/>
      <c r="T408" s="2391"/>
      <c r="U408" s="2391"/>
      <c r="V408" s="2391"/>
      <c r="W408" s="2391"/>
      <c r="X408" s="2391"/>
      <c r="Y408" s="2391"/>
      <c r="Z408" s="2391"/>
      <c r="AA408" s="2391"/>
      <c r="AB408" s="2391"/>
      <c r="AC408" s="2391"/>
      <c r="AD408" s="2391"/>
      <c r="AE408" s="2391"/>
      <c r="AF408" s="239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1"/>
      <c r="G409" s="2391"/>
      <c r="H409" s="2391"/>
      <c r="I409" s="2391"/>
      <c r="J409" s="2391"/>
      <c r="K409" s="2391"/>
      <c r="L409" s="2391"/>
      <c r="M409" s="2391"/>
      <c r="N409" s="2391"/>
      <c r="O409" s="2391"/>
      <c r="P409" s="2391"/>
      <c r="Q409" s="2391"/>
      <c r="R409" s="2391"/>
      <c r="S409" s="2391"/>
      <c r="T409" s="2391"/>
      <c r="U409" s="2391"/>
      <c r="V409" s="2391"/>
      <c r="W409" s="2391"/>
      <c r="X409" s="2391"/>
      <c r="Y409" s="2391"/>
      <c r="Z409" s="2391"/>
      <c r="AA409" s="2391"/>
      <c r="AB409" s="2391"/>
      <c r="AC409" s="2391"/>
      <c r="AD409" s="2391"/>
      <c r="AE409" s="2391"/>
      <c r="AF409" s="239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5" t="s">
        <v>545</v>
      </c>
      <c r="D410" s="2475"/>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6" t="s">
        <v>1458</v>
      </c>
      <c r="AG410" s="2516"/>
      <c r="AH410" s="2516"/>
      <c r="AI410" s="2516"/>
      <c r="AJ410" s="2516"/>
      <c r="AK410" s="2516"/>
      <c r="AL410" s="251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5" t="s">
        <v>591</v>
      </c>
      <c r="D412" s="2475"/>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6" t="s">
        <v>1453</v>
      </c>
      <c r="AG412" s="2516"/>
      <c r="AH412" s="2516"/>
      <c r="AI412" s="2516"/>
      <c r="AJ412" s="2516"/>
      <c r="AK412" s="2516"/>
      <c r="AL412" s="251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8" t="s">
        <v>1462</v>
      </c>
      <c r="G416" s="2518"/>
      <c r="H416" s="2518"/>
      <c r="I416" s="2518"/>
      <c r="J416" s="2518"/>
      <c r="K416" s="2518"/>
      <c r="L416" s="2518"/>
      <c r="M416" s="2518"/>
      <c r="N416" s="2518"/>
      <c r="O416" s="2518"/>
      <c r="P416" s="2518"/>
      <c r="Q416" s="2518"/>
      <c r="R416" s="2518"/>
      <c r="S416" s="2518"/>
      <c r="T416" s="2518"/>
      <c r="U416" s="2518"/>
      <c r="V416" s="2518"/>
      <c r="W416" s="2518"/>
      <c r="X416" s="2518"/>
      <c r="Y416" s="2518"/>
      <c r="Z416" s="2518"/>
      <c r="AA416" s="2518"/>
      <c r="AB416" s="2518"/>
      <c r="AC416" s="2518"/>
      <c r="AD416" s="2518"/>
      <c r="AE416" s="2518"/>
      <c r="AF416" s="251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1"/>
      <c r="G417" s="2391"/>
      <c r="H417" s="2391"/>
      <c r="I417" s="2391"/>
      <c r="J417" s="2391"/>
      <c r="K417" s="2391"/>
      <c r="L417" s="2391"/>
      <c r="M417" s="2391"/>
      <c r="N417" s="2391"/>
      <c r="O417" s="2391"/>
      <c r="P417" s="2391"/>
      <c r="Q417" s="2391"/>
      <c r="R417" s="2391"/>
      <c r="S417" s="2391"/>
      <c r="T417" s="2391"/>
      <c r="U417" s="2391"/>
      <c r="V417" s="2391"/>
      <c r="W417" s="2391"/>
      <c r="X417" s="2391"/>
      <c r="Y417" s="2391"/>
      <c r="Z417" s="2391"/>
      <c r="AA417" s="2391"/>
      <c r="AB417" s="2391"/>
      <c r="AC417" s="2391"/>
      <c r="AD417" s="2391"/>
      <c r="AE417" s="2391"/>
      <c r="AF417" s="239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1"/>
      <c r="G418" s="2391"/>
      <c r="H418" s="2391"/>
      <c r="I418" s="2391"/>
      <c r="J418" s="2391"/>
      <c r="K418" s="2391"/>
      <c r="L418" s="2391"/>
      <c r="M418" s="2391"/>
      <c r="N418" s="2391"/>
      <c r="O418" s="2391"/>
      <c r="P418" s="2391"/>
      <c r="Q418" s="2391"/>
      <c r="R418" s="2391"/>
      <c r="S418" s="2391"/>
      <c r="T418" s="2391"/>
      <c r="U418" s="2391"/>
      <c r="V418" s="2391"/>
      <c r="W418" s="2391"/>
      <c r="X418" s="2391"/>
      <c r="Y418" s="2391"/>
      <c r="Z418" s="2391"/>
      <c r="AA418" s="2391"/>
      <c r="AB418" s="2391"/>
      <c r="AC418" s="2391"/>
      <c r="AD418" s="2391"/>
      <c r="AE418" s="2391"/>
      <c r="AF418" s="239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239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5" t="s">
        <v>591</v>
      </c>
      <c r="D420" s="2475"/>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6" t="s">
        <v>1453</v>
      </c>
      <c r="AG420" s="2516"/>
      <c r="AH420" s="2516"/>
      <c r="AI420" s="2516"/>
      <c r="AJ420" s="2516"/>
      <c r="AK420" s="2516"/>
      <c r="AL420" s="251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5" t="s">
        <v>545</v>
      </c>
      <c r="D422" s="2475"/>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6" t="s">
        <v>1465</v>
      </c>
      <c r="AG422" s="2516"/>
      <c r="AH422" s="2516"/>
      <c r="AI422" s="2516"/>
      <c r="AJ422" s="2516"/>
      <c r="AK422" s="2516"/>
      <c r="AL422" s="251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5" t="s">
        <v>591</v>
      </c>
      <c r="D425" s="2475"/>
      <c r="E425" s="711" t="s">
        <v>1466</v>
      </c>
      <c r="F425" s="2518" t="s">
        <v>1467</v>
      </c>
      <c r="G425" s="2518"/>
      <c r="H425" s="2518"/>
      <c r="I425" s="2518"/>
      <c r="J425" s="2518"/>
      <c r="K425" s="2518"/>
      <c r="L425" s="2518"/>
      <c r="M425" s="2518"/>
      <c r="N425" s="2518"/>
      <c r="O425" s="2518"/>
      <c r="P425" s="2518"/>
      <c r="Q425" s="2518"/>
      <c r="R425" s="2518"/>
      <c r="S425" s="2518"/>
      <c r="T425" s="2518"/>
      <c r="U425" s="2518"/>
      <c r="V425" s="2518"/>
      <c r="W425" s="2518"/>
      <c r="X425" s="2518"/>
      <c r="Y425" s="2518"/>
      <c r="Z425" s="2518"/>
      <c r="AA425" s="2518"/>
      <c r="AB425" s="2518"/>
      <c r="AC425" s="2518"/>
      <c r="AD425" s="2518"/>
      <c r="AE425" s="251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1"/>
      <c r="G426" s="2391"/>
      <c r="H426" s="2391"/>
      <c r="I426" s="2391"/>
      <c r="J426" s="2391"/>
      <c r="K426" s="2391"/>
      <c r="L426" s="2391"/>
      <c r="M426" s="2391"/>
      <c r="N426" s="2391"/>
      <c r="O426" s="2391"/>
      <c r="P426" s="2391"/>
      <c r="Q426" s="2391"/>
      <c r="R426" s="2391"/>
      <c r="S426" s="2391"/>
      <c r="T426" s="2391"/>
      <c r="U426" s="2391"/>
      <c r="V426" s="2391"/>
      <c r="W426" s="2391"/>
      <c r="X426" s="2391"/>
      <c r="Y426" s="2391"/>
      <c r="Z426" s="2391"/>
      <c r="AA426" s="2391"/>
      <c r="AB426" s="2391"/>
      <c r="AC426" s="2391"/>
      <c r="AD426" s="2391"/>
      <c r="AE426" s="2391"/>
      <c r="AF426" s="2453" t="s">
        <v>1453</v>
      </c>
      <c r="AG426" s="2453"/>
      <c r="AH426" s="2453"/>
      <c r="AI426" s="2453"/>
      <c r="AJ426" s="2453"/>
      <c r="AK426" s="2453"/>
      <c r="AL426" s="2519"/>
      <c r="AM426" s="568"/>
      <c r="AN426" s="595"/>
      <c r="BS426" s="568"/>
      <c r="BT426" s="568"/>
      <c r="BY426" s="568"/>
      <c r="BZ426" s="568"/>
      <c r="CA426" s="568"/>
      <c r="CB426" s="568"/>
      <c r="CC426" s="568"/>
    </row>
    <row r="427" spans="1:81" s="549" customFormat="1" ht="12.75" customHeight="1">
      <c r="A427" s="536"/>
      <c r="B427" s="14"/>
      <c r="C427" s="727"/>
      <c r="D427" s="14"/>
      <c r="E427" s="687"/>
      <c r="F427" s="2391"/>
      <c r="G427" s="2391"/>
      <c r="H427" s="2391"/>
      <c r="I427" s="2391"/>
      <c r="J427" s="2391"/>
      <c r="K427" s="2391"/>
      <c r="L427" s="2391"/>
      <c r="M427" s="2391"/>
      <c r="N427" s="2391"/>
      <c r="O427" s="2391"/>
      <c r="P427" s="2391"/>
      <c r="Q427" s="2391"/>
      <c r="R427" s="2391"/>
      <c r="S427" s="2391"/>
      <c r="T427" s="2391"/>
      <c r="U427" s="2391"/>
      <c r="V427" s="2391"/>
      <c r="W427" s="2391"/>
      <c r="X427" s="2391"/>
      <c r="Y427" s="2391"/>
      <c r="Z427" s="2391"/>
      <c r="AA427" s="2391"/>
      <c r="AB427" s="2391"/>
      <c r="AC427" s="2391"/>
      <c r="AD427" s="2391"/>
      <c r="AE427" s="239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7"/>
      <c r="G428" s="2547"/>
      <c r="H428" s="2547"/>
      <c r="I428" s="2547"/>
      <c r="J428" s="2547"/>
      <c r="K428" s="2547"/>
      <c r="L428" s="2547"/>
      <c r="M428" s="2547"/>
      <c r="N428" s="2547"/>
      <c r="O428" s="2547"/>
      <c r="P428" s="2547"/>
      <c r="Q428" s="2547"/>
      <c r="R428" s="2547"/>
      <c r="S428" s="2547"/>
      <c r="T428" s="2547"/>
      <c r="U428" s="2547"/>
      <c r="V428" s="2547"/>
      <c r="W428" s="2547"/>
      <c r="X428" s="2547"/>
      <c r="Y428" s="2547"/>
      <c r="Z428" s="2547"/>
      <c r="AA428" s="2547"/>
      <c r="AB428" s="2547"/>
      <c r="AC428" s="2547"/>
      <c r="AD428" s="2547"/>
      <c r="AE428" s="2547"/>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8" t="s">
        <v>1469</v>
      </c>
      <c r="G430" s="2518"/>
      <c r="H430" s="2518"/>
      <c r="I430" s="2518"/>
      <c r="J430" s="2518"/>
      <c r="K430" s="2518"/>
      <c r="L430" s="2518"/>
      <c r="M430" s="2518"/>
      <c r="N430" s="2518"/>
      <c r="O430" s="2518"/>
      <c r="P430" s="2518"/>
      <c r="Q430" s="2518"/>
      <c r="R430" s="2518"/>
      <c r="S430" s="2518"/>
      <c r="T430" s="2518"/>
      <c r="U430" s="2518"/>
      <c r="V430" s="2518"/>
      <c r="W430" s="2518"/>
      <c r="X430" s="2518"/>
      <c r="Y430" s="2518"/>
      <c r="Z430" s="2518"/>
      <c r="AA430" s="2518"/>
      <c r="AB430" s="2518"/>
      <c r="AC430" s="2518"/>
      <c r="AD430" s="2518"/>
      <c r="AE430" s="2518"/>
      <c r="AF430" s="743"/>
      <c r="AG430" s="743"/>
      <c r="AH430" s="743"/>
      <c r="AI430" s="743"/>
      <c r="AJ430" s="743"/>
      <c r="AK430" s="743"/>
      <c r="AL430" s="744"/>
      <c r="AM430" s="568"/>
    </row>
    <row r="431" spans="1:81" ht="13">
      <c r="A431" s="536"/>
      <c r="C431" s="727"/>
      <c r="E431" s="687"/>
      <c r="F431" s="2391"/>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539"/>
      <c r="AG431" s="536"/>
      <c r="AH431" s="549"/>
      <c r="AI431" s="549"/>
      <c r="AJ431" s="549"/>
      <c r="AK431" s="549"/>
      <c r="AL431" s="728"/>
      <c r="AM431" s="568"/>
    </row>
    <row r="432" spans="1:81" s="549" customFormat="1" ht="12.75" customHeight="1">
      <c r="A432" s="536"/>
      <c r="B432" s="14"/>
      <c r="C432" s="727"/>
      <c r="D432" s="14"/>
      <c r="E432" s="687"/>
      <c r="F432" s="2391"/>
      <c r="G432" s="2391"/>
      <c r="H432" s="2391"/>
      <c r="I432" s="2391"/>
      <c r="J432" s="2391"/>
      <c r="K432" s="2391"/>
      <c r="L432" s="2391"/>
      <c r="M432" s="2391"/>
      <c r="N432" s="2391"/>
      <c r="O432" s="2391"/>
      <c r="P432" s="2391"/>
      <c r="Q432" s="2391"/>
      <c r="R432" s="2391"/>
      <c r="S432" s="2391"/>
      <c r="T432" s="2391"/>
      <c r="U432" s="2391"/>
      <c r="V432" s="2391"/>
      <c r="W432" s="2391"/>
      <c r="X432" s="2391"/>
      <c r="Y432" s="2391"/>
      <c r="Z432" s="2391"/>
      <c r="AA432" s="2391"/>
      <c r="AB432" s="2391"/>
      <c r="AC432" s="2391"/>
      <c r="AD432" s="2391"/>
      <c r="AE432" s="2391"/>
      <c r="AL432" s="728"/>
      <c r="AM432" s="568"/>
      <c r="AN432" s="595"/>
    </row>
    <row r="433" spans="1:60" s="549" customFormat="1" ht="12.75" customHeight="1">
      <c r="A433" s="536"/>
      <c r="B433" s="14"/>
      <c r="C433" s="735"/>
      <c r="F433" s="2391"/>
      <c r="G433" s="2391"/>
      <c r="H433" s="2391"/>
      <c r="I433" s="2391"/>
      <c r="J433" s="2391"/>
      <c r="K433" s="2391"/>
      <c r="L433" s="2391"/>
      <c r="M433" s="2391"/>
      <c r="N433" s="2391"/>
      <c r="O433" s="2391"/>
      <c r="P433" s="2391"/>
      <c r="Q433" s="2391"/>
      <c r="R433" s="2391"/>
      <c r="S433" s="2391"/>
      <c r="T433" s="2391"/>
      <c r="U433" s="2391"/>
      <c r="V433" s="2391"/>
      <c r="W433" s="2391"/>
      <c r="X433" s="2391"/>
      <c r="Y433" s="2391"/>
      <c r="Z433" s="2391"/>
      <c r="AA433" s="2391"/>
      <c r="AB433" s="2391"/>
      <c r="AC433" s="2391"/>
      <c r="AD433" s="2391"/>
      <c r="AE433" s="2391"/>
      <c r="AL433" s="728"/>
      <c r="AM433" s="568"/>
      <c r="AN433" s="595"/>
    </row>
    <row r="434" spans="1:60" s="549" customFormat="1" ht="12.75" customHeight="1">
      <c r="A434" s="536"/>
      <c r="B434" s="14"/>
      <c r="C434" s="2515" t="s">
        <v>591</v>
      </c>
      <c r="D434" s="2475"/>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3" t="s">
        <v>1453</v>
      </c>
      <c r="AG434" s="2453"/>
      <c r="AH434" s="2453"/>
      <c r="AI434" s="2453"/>
      <c r="AJ434" s="2453"/>
      <c r="AK434" s="2453"/>
      <c r="AL434" s="2519"/>
      <c r="AM434" s="568"/>
      <c r="AN434" s="595"/>
    </row>
    <row r="435" spans="1:60" s="549" customFormat="1" ht="12.75" customHeight="1">
      <c r="A435" s="536"/>
      <c r="B435" s="14"/>
      <c r="C435" s="735"/>
      <c r="AL435" s="728"/>
      <c r="AM435" s="568"/>
      <c r="AN435" s="595"/>
    </row>
    <row r="436" spans="1:60" s="549" customFormat="1" ht="12.75" customHeight="1">
      <c r="A436" s="536"/>
      <c r="B436" s="14"/>
      <c r="C436" s="2515" t="s">
        <v>591</v>
      </c>
      <c r="D436" s="2475"/>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3" t="s">
        <v>1465</v>
      </c>
      <c r="AG436" s="2453"/>
      <c r="AH436" s="2453"/>
      <c r="AI436" s="2453"/>
      <c r="AJ436" s="2453"/>
      <c r="AK436" s="2453"/>
      <c r="AL436" s="251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8" t="s">
        <v>1473</v>
      </c>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710"/>
      <c r="AG440" s="710"/>
      <c r="AH440" s="710"/>
      <c r="AI440" s="710"/>
      <c r="AJ440" s="710"/>
      <c r="AK440" s="710"/>
      <c r="AL440" s="741"/>
      <c r="AM440" s="568"/>
      <c r="AN440" s="595"/>
    </row>
    <row r="441" spans="1:60" s="549" customFormat="1" ht="12.75" customHeight="1">
      <c r="A441" s="536"/>
      <c r="B441" s="14"/>
      <c r="C441" s="727"/>
      <c r="D441" s="14"/>
      <c r="E441" s="687"/>
      <c r="F441" s="2391"/>
      <c r="G441" s="2391"/>
      <c r="H441" s="2391"/>
      <c r="I441" s="2391"/>
      <c r="J441" s="2391"/>
      <c r="K441" s="2391"/>
      <c r="L441" s="2391"/>
      <c r="M441" s="2391"/>
      <c r="N441" s="2391"/>
      <c r="O441" s="2391"/>
      <c r="P441" s="2391"/>
      <c r="Q441" s="2391"/>
      <c r="R441" s="2391"/>
      <c r="S441" s="2391"/>
      <c r="T441" s="2391"/>
      <c r="U441" s="2391"/>
      <c r="V441" s="2391"/>
      <c r="W441" s="2391"/>
      <c r="X441" s="2391"/>
      <c r="Y441" s="2391"/>
      <c r="Z441" s="2391"/>
      <c r="AA441" s="2391"/>
      <c r="AB441" s="2391"/>
      <c r="AC441" s="2391"/>
      <c r="AD441" s="2391"/>
      <c r="AE441" s="2391"/>
      <c r="AF441" s="539"/>
      <c r="AG441" s="536"/>
      <c r="AL441" s="728"/>
      <c r="AM441" s="568"/>
      <c r="AN441" s="595"/>
    </row>
    <row r="442" spans="1:60" s="549" customFormat="1" ht="12.65" customHeight="1">
      <c r="A442" s="536"/>
      <c r="B442" s="14"/>
      <c r="C442" s="727"/>
      <c r="D442" s="14"/>
      <c r="E442" s="687"/>
      <c r="F442" s="2391"/>
      <c r="G442" s="2391"/>
      <c r="H442" s="2391"/>
      <c r="I442" s="2391"/>
      <c r="J442" s="2391"/>
      <c r="K442" s="2391"/>
      <c r="L442" s="2391"/>
      <c r="M442" s="2391"/>
      <c r="N442" s="2391"/>
      <c r="O442" s="2391"/>
      <c r="P442" s="2391"/>
      <c r="Q442" s="2391"/>
      <c r="R442" s="2391"/>
      <c r="S442" s="2391"/>
      <c r="T442" s="2391"/>
      <c r="U442" s="2391"/>
      <c r="V442" s="2391"/>
      <c r="W442" s="2391"/>
      <c r="X442" s="2391"/>
      <c r="Y442" s="2391"/>
      <c r="Z442" s="2391"/>
      <c r="AA442" s="2391"/>
      <c r="AB442" s="2391"/>
      <c r="AC442" s="2391"/>
      <c r="AD442" s="2391"/>
      <c r="AE442" s="2391"/>
      <c r="AL442" s="728"/>
      <c r="AM442" s="568"/>
      <c r="AN442" s="595"/>
    </row>
    <row r="443" spans="1:60" s="549" customFormat="1" ht="12.75" customHeight="1">
      <c r="A443" s="536"/>
      <c r="B443" s="14"/>
      <c r="C443" s="2515" t="s">
        <v>591</v>
      </c>
      <c r="D443" s="2475"/>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3" t="s">
        <v>1453</v>
      </c>
      <c r="AG443" s="2453"/>
      <c r="AH443" s="2453"/>
      <c r="AI443" s="2453"/>
      <c r="AJ443" s="2453"/>
      <c r="AK443" s="2453"/>
      <c r="AL443" s="251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4" customHeight="1">
      <c r="A446" s="536"/>
      <c r="C446" s="742"/>
      <c r="D446" s="743"/>
      <c r="E446" s="711" t="s">
        <v>1475</v>
      </c>
      <c r="F446" s="2518" t="s">
        <v>1476</v>
      </c>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1"/>
      <c r="G447" s="2391"/>
      <c r="H447" s="2391"/>
      <c r="I447" s="2391"/>
      <c r="J447" s="2391"/>
      <c r="K447" s="2391"/>
      <c r="L447" s="2391"/>
      <c r="M447" s="2391"/>
      <c r="N447" s="2391"/>
      <c r="O447" s="2391"/>
      <c r="P447" s="2391"/>
      <c r="Q447" s="2391"/>
      <c r="R447" s="2391"/>
      <c r="S447" s="2391"/>
      <c r="T447" s="2391"/>
      <c r="U447" s="2391"/>
      <c r="V447" s="2391"/>
      <c r="W447" s="2391"/>
      <c r="X447" s="2391"/>
      <c r="Y447" s="2391"/>
      <c r="Z447" s="2391"/>
      <c r="AA447" s="2391"/>
      <c r="AB447" s="2391"/>
      <c r="AC447" s="2391"/>
      <c r="AD447" s="2391"/>
      <c r="AE447" s="2391"/>
      <c r="AF447" s="592"/>
      <c r="AG447" s="592"/>
      <c r="AH447" s="592"/>
      <c r="AI447" s="592"/>
      <c r="AJ447" s="592"/>
      <c r="AK447" s="592"/>
      <c r="AL447" s="746"/>
      <c r="AM447" s="568"/>
      <c r="AO447" s="549"/>
      <c r="AP447" s="549"/>
    </row>
    <row r="448" spans="1:60" s="549" customFormat="1" ht="12.75" customHeight="1">
      <c r="A448" s="536"/>
      <c r="B448" s="14"/>
      <c r="C448" s="727"/>
      <c r="D448" s="14"/>
      <c r="E448" s="687"/>
      <c r="F448" s="2391"/>
      <c r="G448" s="2391"/>
      <c r="H448" s="2391"/>
      <c r="I448" s="2391"/>
      <c r="J448" s="2391"/>
      <c r="K448" s="2391"/>
      <c r="L448" s="2391"/>
      <c r="M448" s="2391"/>
      <c r="N448" s="2391"/>
      <c r="O448" s="2391"/>
      <c r="P448" s="2391"/>
      <c r="Q448" s="2391"/>
      <c r="R448" s="2391"/>
      <c r="S448" s="2391"/>
      <c r="T448" s="2391"/>
      <c r="U448" s="2391"/>
      <c r="V448" s="2391"/>
      <c r="W448" s="2391"/>
      <c r="X448" s="2391"/>
      <c r="Y448" s="2391"/>
      <c r="Z448" s="2391"/>
      <c r="AA448" s="2391"/>
      <c r="AB448" s="2391"/>
      <c r="AC448" s="2391"/>
      <c r="AD448" s="2391"/>
      <c r="AE448" s="2391"/>
      <c r="AF448" s="592"/>
      <c r="AG448" s="592"/>
      <c r="AH448" s="592"/>
      <c r="AI448" s="592"/>
      <c r="AJ448" s="592"/>
      <c r="AK448" s="592"/>
      <c r="AL448" s="746"/>
      <c r="AM448" s="568"/>
      <c r="AN448" s="595"/>
    </row>
    <row r="449" spans="1:42" s="549" customFormat="1" ht="12.75" customHeight="1">
      <c r="A449" s="536"/>
      <c r="B449" s="14"/>
      <c r="C449" s="747"/>
      <c r="D449" s="726"/>
      <c r="E449" s="715"/>
      <c r="F449" s="2391"/>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1"/>
      <c r="G450" s="2391"/>
      <c r="H450" s="2391"/>
      <c r="I450" s="2391"/>
      <c r="J450" s="2391"/>
      <c r="K450" s="2391"/>
      <c r="L450" s="2391"/>
      <c r="M450" s="2391"/>
      <c r="N450" s="2391"/>
      <c r="O450" s="2391"/>
      <c r="P450" s="2391"/>
      <c r="Q450" s="2391"/>
      <c r="R450" s="2391"/>
      <c r="S450" s="2391"/>
      <c r="T450" s="2391"/>
      <c r="U450" s="2391"/>
      <c r="V450" s="2391"/>
      <c r="W450" s="2391"/>
      <c r="X450" s="2391"/>
      <c r="Y450" s="2391"/>
      <c r="Z450" s="2391"/>
      <c r="AA450" s="2391"/>
      <c r="AB450" s="2391"/>
      <c r="AC450" s="2391"/>
      <c r="AD450" s="2391"/>
      <c r="AE450" s="2391"/>
      <c r="AF450" s="592"/>
      <c r="AG450" s="592"/>
      <c r="AH450" s="592"/>
      <c r="AI450" s="592"/>
      <c r="AJ450" s="592"/>
      <c r="AK450" s="592"/>
      <c r="AL450" s="746"/>
      <c r="AM450" s="568"/>
      <c r="AN450" s="595"/>
    </row>
    <row r="451" spans="1:42" s="549" customFormat="1" ht="12.75" customHeight="1">
      <c r="A451" s="536"/>
      <c r="B451" s="14"/>
      <c r="C451" s="747"/>
      <c r="D451" s="726"/>
      <c r="E451" s="715"/>
      <c r="F451" s="2391"/>
      <c r="G451" s="2391"/>
      <c r="H451" s="2391"/>
      <c r="I451" s="2391"/>
      <c r="J451" s="2391"/>
      <c r="K451" s="2391"/>
      <c r="L451" s="2391"/>
      <c r="M451" s="2391"/>
      <c r="N451" s="2391"/>
      <c r="O451" s="2391"/>
      <c r="P451" s="2391"/>
      <c r="Q451" s="2391"/>
      <c r="R451" s="2391"/>
      <c r="S451" s="2391"/>
      <c r="T451" s="2391"/>
      <c r="U451" s="2391"/>
      <c r="V451" s="2391"/>
      <c r="W451" s="2391"/>
      <c r="X451" s="2391"/>
      <c r="Y451" s="2391"/>
      <c r="Z451" s="2391"/>
      <c r="AA451" s="2391"/>
      <c r="AB451" s="2391"/>
      <c r="AC451" s="2391"/>
      <c r="AD451" s="2391"/>
      <c r="AE451" s="2391"/>
      <c r="AF451" s="592"/>
      <c r="AG451" s="592"/>
      <c r="AH451" s="592"/>
      <c r="AI451" s="592"/>
      <c r="AJ451" s="592"/>
      <c r="AK451" s="592"/>
      <c r="AL451" s="746"/>
      <c r="AM451" s="568"/>
      <c r="AN451" s="595"/>
    </row>
    <row r="452" spans="1:42" s="549" customFormat="1" ht="12.75" customHeight="1">
      <c r="A452" s="536"/>
      <c r="B452" s="14"/>
      <c r="C452" s="747"/>
      <c r="D452" s="726"/>
      <c r="E452" s="715"/>
      <c r="F452" s="2391"/>
      <c r="G452" s="2391"/>
      <c r="H452" s="2391"/>
      <c r="I452" s="2391"/>
      <c r="J452" s="2391"/>
      <c r="K452" s="2391"/>
      <c r="L452" s="2391"/>
      <c r="M452" s="2391"/>
      <c r="N452" s="2391"/>
      <c r="O452" s="2391"/>
      <c r="P452" s="2391"/>
      <c r="Q452" s="2391"/>
      <c r="R452" s="2391"/>
      <c r="S452" s="2391"/>
      <c r="T452" s="2391"/>
      <c r="U452" s="2391"/>
      <c r="V452" s="2391"/>
      <c r="W452" s="2391"/>
      <c r="X452" s="2391"/>
      <c r="Y452" s="2391"/>
      <c r="Z452" s="2391"/>
      <c r="AA452" s="2391"/>
      <c r="AB452" s="2391"/>
      <c r="AC452" s="2391"/>
      <c r="AD452" s="2391"/>
      <c r="AE452" s="2391"/>
      <c r="AF452" s="592"/>
      <c r="AG452" s="592"/>
      <c r="AH452" s="592"/>
      <c r="AI452" s="592"/>
      <c r="AJ452" s="592"/>
      <c r="AK452" s="592"/>
      <c r="AL452" s="746"/>
      <c r="AM452" s="568"/>
      <c r="AN452" s="595"/>
    </row>
    <row r="453" spans="1:42" s="549" customFormat="1" ht="12.75" customHeight="1">
      <c r="A453" s="536"/>
      <c r="B453" s="14"/>
      <c r="C453" s="747"/>
      <c r="D453" s="726"/>
      <c r="E453" s="715"/>
      <c r="F453" s="2391"/>
      <c r="G453" s="2391"/>
      <c r="H453" s="2391"/>
      <c r="I453" s="2391"/>
      <c r="J453" s="2391"/>
      <c r="K453" s="2391"/>
      <c r="L453" s="2391"/>
      <c r="M453" s="2391"/>
      <c r="N453" s="2391"/>
      <c r="O453" s="2391"/>
      <c r="P453" s="2391"/>
      <c r="Q453" s="2391"/>
      <c r="R453" s="2391"/>
      <c r="S453" s="2391"/>
      <c r="T453" s="2391"/>
      <c r="U453" s="2391"/>
      <c r="V453" s="2391"/>
      <c r="W453" s="2391"/>
      <c r="X453" s="2391"/>
      <c r="Y453" s="2391"/>
      <c r="Z453" s="2391"/>
      <c r="AA453" s="2391"/>
      <c r="AB453" s="2391"/>
      <c r="AC453" s="2391"/>
      <c r="AD453" s="2391"/>
      <c r="AE453" s="2391"/>
      <c r="AF453" s="592"/>
      <c r="AG453" s="592"/>
      <c r="AH453" s="592"/>
      <c r="AI453" s="592"/>
      <c r="AJ453" s="592"/>
      <c r="AK453" s="592"/>
      <c r="AL453" s="746"/>
      <c r="AM453" s="568"/>
      <c r="AN453" s="595"/>
    </row>
    <row r="454" spans="1:42" s="549" customFormat="1" ht="17.25" customHeight="1">
      <c r="A454" s="536"/>
      <c r="B454" s="14"/>
      <c r="C454" s="747"/>
      <c r="D454" s="726"/>
      <c r="E454" s="715"/>
      <c r="F454" s="2391"/>
      <c r="G454" s="2391"/>
      <c r="H454" s="2391"/>
      <c r="I454" s="2391"/>
      <c r="J454" s="2391"/>
      <c r="K454" s="2391"/>
      <c r="L454" s="2391"/>
      <c r="M454" s="2391"/>
      <c r="N454" s="2391"/>
      <c r="O454" s="2391"/>
      <c r="P454" s="2391"/>
      <c r="Q454" s="2391"/>
      <c r="R454" s="2391"/>
      <c r="S454" s="2391"/>
      <c r="T454" s="2391"/>
      <c r="U454" s="2391"/>
      <c r="V454" s="2391"/>
      <c r="W454" s="2391"/>
      <c r="X454" s="2391"/>
      <c r="Y454" s="2391"/>
      <c r="Z454" s="2391"/>
      <c r="AA454" s="2391"/>
      <c r="AB454" s="2391"/>
      <c r="AC454" s="2391"/>
      <c r="AD454" s="2391"/>
      <c r="AE454" s="2391"/>
      <c r="AL454" s="728"/>
      <c r="AM454" s="568"/>
      <c r="AN454" s="595"/>
    </row>
    <row r="455" spans="1:42" s="549" customFormat="1" ht="12.75" customHeight="1">
      <c r="A455" s="536"/>
      <c r="B455" s="14"/>
      <c r="C455" s="2515" t="s">
        <v>591</v>
      </c>
      <c r="D455" s="2475"/>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3" t="s">
        <v>1453</v>
      </c>
      <c r="AG455" s="2453"/>
      <c r="AH455" s="2453"/>
      <c r="AI455" s="2453"/>
      <c r="AJ455" s="2453"/>
      <c r="AK455" s="2453"/>
      <c r="AL455" s="251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8" t="s">
        <v>1479</v>
      </c>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710"/>
      <c r="AG458" s="710"/>
      <c r="AH458" s="710"/>
      <c r="AI458" s="710"/>
      <c r="AJ458" s="710"/>
      <c r="AK458" s="710"/>
      <c r="AL458" s="741"/>
      <c r="AM458" s="568"/>
      <c r="AN458" s="595"/>
    </row>
    <row r="459" spans="1:42" s="549" customFormat="1" ht="12.75" customHeight="1">
      <c r="A459" s="536"/>
      <c r="B459" s="14"/>
      <c r="C459" s="747"/>
      <c r="D459" s="726"/>
      <c r="E459" s="715"/>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589"/>
      <c r="AG459" s="589"/>
      <c r="AH459" s="589"/>
      <c r="AI459" s="589"/>
      <c r="AJ459" s="589"/>
      <c r="AK459" s="589"/>
      <c r="AL459" s="716"/>
      <c r="AM459" s="568"/>
      <c r="AN459" s="595"/>
    </row>
    <row r="460" spans="1:42" s="549" customFormat="1" ht="12.75" customHeight="1">
      <c r="A460" s="536"/>
      <c r="B460" s="14"/>
      <c r="C460" s="747"/>
      <c r="D460" s="726"/>
      <c r="E460" s="715"/>
      <c r="F460" s="2391"/>
      <c r="G460" s="2391"/>
      <c r="H460" s="2391"/>
      <c r="I460" s="2391"/>
      <c r="J460" s="2391"/>
      <c r="K460" s="2391"/>
      <c r="L460" s="2391"/>
      <c r="M460" s="2391"/>
      <c r="N460" s="2391"/>
      <c r="O460" s="2391"/>
      <c r="P460" s="2391"/>
      <c r="Q460" s="2391"/>
      <c r="R460" s="2391"/>
      <c r="S460" s="2391"/>
      <c r="T460" s="2391"/>
      <c r="U460" s="2391"/>
      <c r="V460" s="2391"/>
      <c r="W460" s="2391"/>
      <c r="X460" s="2391"/>
      <c r="Y460" s="2391"/>
      <c r="Z460" s="2391"/>
      <c r="AA460" s="2391"/>
      <c r="AB460" s="2391"/>
      <c r="AC460" s="2391"/>
      <c r="AD460" s="2391"/>
      <c r="AE460" s="2391"/>
      <c r="AF460" s="589"/>
      <c r="AG460" s="589"/>
      <c r="AH460" s="589"/>
      <c r="AI460" s="589"/>
      <c r="AJ460" s="589"/>
      <c r="AK460" s="589"/>
      <c r="AL460" s="716"/>
      <c r="AM460" s="568"/>
      <c r="AN460" s="595"/>
    </row>
    <row r="461" spans="1:42" s="549" customFormat="1" ht="12.75" customHeight="1">
      <c r="A461" s="536"/>
      <c r="B461" s="14"/>
      <c r="C461" s="747"/>
      <c r="D461" s="726"/>
      <c r="E461" s="715"/>
      <c r="F461" s="2391"/>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L461" s="728"/>
      <c r="AM461" s="568"/>
      <c r="AN461" s="595"/>
    </row>
    <row r="462" spans="1:42" s="549" customFormat="1" ht="12.75" customHeight="1">
      <c r="A462" s="536"/>
      <c r="B462" s="14"/>
      <c r="C462" s="2515" t="s">
        <v>591</v>
      </c>
      <c r="D462" s="2475"/>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3" t="s">
        <v>1453</v>
      </c>
      <c r="AG462" s="2453"/>
      <c r="AH462" s="2453"/>
      <c r="AI462" s="2453"/>
      <c r="AJ462" s="2453"/>
      <c r="AK462" s="2453"/>
      <c r="AL462" s="251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0" t="s">
        <v>591</v>
      </c>
      <c r="D466" s="2521"/>
      <c r="E466" s="711" t="s">
        <v>1488</v>
      </c>
      <c r="F466" s="2518" t="s">
        <v>1489</v>
      </c>
      <c r="G466" s="2518"/>
      <c r="H466" s="2518"/>
      <c r="I466" s="2518"/>
      <c r="J466" s="2518"/>
      <c r="K466" s="2518"/>
      <c r="L466" s="2518"/>
      <c r="M466" s="2518"/>
      <c r="N466" s="2518"/>
      <c r="O466" s="2518"/>
      <c r="P466" s="2518"/>
      <c r="Q466" s="2518"/>
      <c r="R466" s="2518"/>
      <c r="S466" s="2518"/>
      <c r="T466" s="2518"/>
      <c r="U466" s="2518"/>
      <c r="V466" s="2518"/>
      <c r="W466" s="2518"/>
      <c r="X466" s="2518"/>
      <c r="Y466" s="2518"/>
      <c r="Z466" s="2518"/>
      <c r="AA466" s="2518"/>
      <c r="AB466" s="2518"/>
      <c r="AC466" s="2518"/>
      <c r="AD466" s="2518"/>
      <c r="AE466" s="2518"/>
      <c r="AF466" s="2603" t="s">
        <v>1453</v>
      </c>
      <c r="AG466" s="2603"/>
      <c r="AH466" s="2603"/>
      <c r="AI466" s="2603"/>
      <c r="AJ466" s="2603"/>
      <c r="AK466" s="2603"/>
      <c r="AL466" s="2604"/>
      <c r="AM466" s="568"/>
      <c r="AN466" s="749"/>
    </row>
    <row r="467" spans="1:40" s="549" customFormat="1" ht="12.75" customHeight="1">
      <c r="A467" s="536"/>
      <c r="B467" s="14"/>
      <c r="C467" s="747"/>
      <c r="D467" s="726"/>
      <c r="E467" s="715"/>
      <c r="F467" s="2391"/>
      <c r="G467" s="2391"/>
      <c r="H467" s="2391"/>
      <c r="I467" s="2391"/>
      <c r="J467" s="2391"/>
      <c r="K467" s="2391"/>
      <c r="L467" s="2391"/>
      <c r="M467" s="2391"/>
      <c r="N467" s="2391"/>
      <c r="O467" s="2391"/>
      <c r="P467" s="2391"/>
      <c r="Q467" s="2391"/>
      <c r="R467" s="2391"/>
      <c r="S467" s="2391"/>
      <c r="T467" s="2391"/>
      <c r="U467" s="2391"/>
      <c r="V467" s="2391"/>
      <c r="W467" s="2391"/>
      <c r="X467" s="2391"/>
      <c r="Y467" s="2391"/>
      <c r="Z467" s="2391"/>
      <c r="AA467" s="2391"/>
      <c r="AB467" s="2391"/>
      <c r="AC467" s="2391"/>
      <c r="AD467" s="2391"/>
      <c r="AE467" s="2391"/>
      <c r="AF467" s="589"/>
      <c r="AG467" s="589"/>
      <c r="AH467" s="589"/>
      <c r="AI467" s="589"/>
      <c r="AJ467" s="589"/>
      <c r="AK467" s="589"/>
      <c r="AL467" s="716"/>
      <c r="AM467" s="568"/>
      <c r="AN467" s="750"/>
    </row>
    <row r="468" spans="1:40" s="549" customFormat="1" ht="17.899999999999999" customHeight="1">
      <c r="A468" s="536"/>
      <c r="B468" s="14"/>
      <c r="C468" s="752"/>
      <c r="D468" s="719"/>
      <c r="E468" s="720"/>
      <c r="F468" s="2547"/>
      <c r="G468" s="2547"/>
      <c r="H468" s="2547"/>
      <c r="I468" s="2547"/>
      <c r="J468" s="2547"/>
      <c r="K468" s="2547"/>
      <c r="L468" s="2547"/>
      <c r="M468" s="2547"/>
      <c r="N468" s="2547"/>
      <c r="O468" s="2547"/>
      <c r="P468" s="2547"/>
      <c r="Q468" s="2547"/>
      <c r="R468" s="2547"/>
      <c r="S468" s="2547"/>
      <c r="T468" s="2547"/>
      <c r="U468" s="2547"/>
      <c r="V468" s="2547"/>
      <c r="W468" s="2547"/>
      <c r="X468" s="2547"/>
      <c r="Y468" s="2547"/>
      <c r="Z468" s="2547"/>
      <c r="AA468" s="2547"/>
      <c r="AB468" s="2547"/>
      <c r="AC468" s="2547"/>
      <c r="AD468" s="2547"/>
      <c r="AE468" s="25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5" t="s">
        <v>591</v>
      </c>
      <c r="D470" s="2475"/>
      <c r="E470" s="711" t="s">
        <v>1494</v>
      </c>
      <c r="F470" s="2518" t="s">
        <v>1495</v>
      </c>
      <c r="G470" s="2518"/>
      <c r="H470" s="2518"/>
      <c r="I470" s="2518"/>
      <c r="J470" s="2518"/>
      <c r="K470" s="2518"/>
      <c r="L470" s="2518"/>
      <c r="M470" s="2518"/>
      <c r="N470" s="2518"/>
      <c r="O470" s="2518"/>
      <c r="P470" s="2518"/>
      <c r="Q470" s="2518"/>
      <c r="R470" s="2518"/>
      <c r="S470" s="2518"/>
      <c r="T470" s="2518"/>
      <c r="U470" s="2518"/>
      <c r="V470" s="2518"/>
      <c r="W470" s="2518"/>
      <c r="X470" s="2518"/>
      <c r="Y470" s="2518"/>
      <c r="Z470" s="2518"/>
      <c r="AA470" s="2518"/>
      <c r="AB470" s="2518"/>
      <c r="AC470" s="2518"/>
      <c r="AD470" s="2518"/>
      <c r="AE470" s="2518"/>
      <c r="AF470" s="2603" t="s">
        <v>1453</v>
      </c>
      <c r="AG470" s="2603"/>
      <c r="AH470" s="2603"/>
      <c r="AI470" s="2603"/>
      <c r="AJ470" s="2603"/>
      <c r="AK470" s="2603"/>
      <c r="AL470" s="2604"/>
      <c r="AM470" s="568"/>
      <c r="AN470" s="535"/>
    </row>
    <row r="471" spans="1:40" s="549" customFormat="1" ht="12.75" customHeight="1">
      <c r="A471" s="536"/>
      <c r="B471" s="14"/>
      <c r="C471" s="727"/>
      <c r="D471" s="14"/>
      <c r="E471" s="687"/>
      <c r="F471" s="2391"/>
      <c r="G471" s="2391"/>
      <c r="H471" s="2391"/>
      <c r="I471" s="2391"/>
      <c r="J471" s="2391"/>
      <c r="K471" s="2391"/>
      <c r="L471" s="2391"/>
      <c r="M471" s="2391"/>
      <c r="N471" s="2391"/>
      <c r="O471" s="2391"/>
      <c r="P471" s="2391"/>
      <c r="Q471" s="2391"/>
      <c r="R471" s="2391"/>
      <c r="S471" s="2391"/>
      <c r="T471" s="2391"/>
      <c r="U471" s="2391"/>
      <c r="V471" s="2391"/>
      <c r="W471" s="2391"/>
      <c r="X471" s="2391"/>
      <c r="Y471" s="2391"/>
      <c r="Z471" s="2391"/>
      <c r="AA471" s="2391"/>
      <c r="AB471" s="2391"/>
      <c r="AC471" s="2391"/>
      <c r="AD471" s="2391"/>
      <c r="AE471" s="2391"/>
      <c r="AF471" s="539"/>
      <c r="AG471" s="536"/>
      <c r="AL471" s="728"/>
      <c r="AM471" s="568"/>
      <c r="AN471" s="535"/>
    </row>
    <row r="472" spans="1:40" s="549" customFormat="1" ht="12.75" customHeight="1">
      <c r="A472" s="536"/>
      <c r="B472" s="14"/>
      <c r="C472" s="727"/>
      <c r="D472" s="14"/>
      <c r="E472" s="687"/>
      <c r="F472" s="2391"/>
      <c r="G472" s="2391"/>
      <c r="H472" s="2391"/>
      <c r="I472" s="2391"/>
      <c r="J472" s="2391"/>
      <c r="K472" s="2391"/>
      <c r="L472" s="2391"/>
      <c r="M472" s="2391"/>
      <c r="N472" s="2391"/>
      <c r="O472" s="2391"/>
      <c r="P472" s="2391"/>
      <c r="Q472" s="2391"/>
      <c r="R472" s="2391"/>
      <c r="S472" s="2391"/>
      <c r="T472" s="2391"/>
      <c r="U472" s="2391"/>
      <c r="V472" s="2391"/>
      <c r="W472" s="2391"/>
      <c r="X472" s="2391"/>
      <c r="Y472" s="2391"/>
      <c r="Z472" s="2391"/>
      <c r="AA472" s="2391"/>
      <c r="AB472" s="2391"/>
      <c r="AC472" s="2391"/>
      <c r="AD472" s="2391"/>
      <c r="AE472" s="2391"/>
      <c r="AF472" s="539"/>
      <c r="AG472" s="536"/>
      <c r="AL472" s="728"/>
      <c r="AM472" s="568"/>
      <c r="AN472" s="535"/>
    </row>
    <row r="473" spans="1:40" s="549" customFormat="1" ht="12.75" customHeight="1">
      <c r="A473" s="536"/>
      <c r="B473" s="14"/>
      <c r="C473" s="752"/>
      <c r="D473" s="719"/>
      <c r="E473" s="720"/>
      <c r="F473" s="2547"/>
      <c r="G473" s="2547"/>
      <c r="H473" s="2547"/>
      <c r="I473" s="2547"/>
      <c r="J473" s="2547"/>
      <c r="K473" s="2547"/>
      <c r="L473" s="2547"/>
      <c r="M473" s="2547"/>
      <c r="N473" s="2547"/>
      <c r="O473" s="2547"/>
      <c r="P473" s="2547"/>
      <c r="Q473" s="2547"/>
      <c r="R473" s="2547"/>
      <c r="S473" s="2547"/>
      <c r="T473" s="2547"/>
      <c r="U473" s="2547"/>
      <c r="V473" s="2547"/>
      <c r="W473" s="2547"/>
      <c r="X473" s="2547"/>
      <c r="Y473" s="2547"/>
      <c r="Z473" s="2547"/>
      <c r="AA473" s="2547"/>
      <c r="AB473" s="2547"/>
      <c r="AC473" s="2547"/>
      <c r="AD473" s="2547"/>
      <c r="AE473" s="25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8" t="s">
        <v>1498</v>
      </c>
      <c r="G475" s="2518"/>
      <c r="H475" s="2518"/>
      <c r="I475" s="2518"/>
      <c r="J475" s="2518"/>
      <c r="K475" s="2518"/>
      <c r="L475" s="2518"/>
      <c r="M475" s="2518"/>
      <c r="N475" s="2518"/>
      <c r="O475" s="2518"/>
      <c r="P475" s="2518"/>
      <c r="Q475" s="2518"/>
      <c r="R475" s="2518"/>
      <c r="S475" s="2518"/>
      <c r="T475" s="2518"/>
      <c r="U475" s="2518"/>
      <c r="V475" s="2518"/>
      <c r="W475" s="2518"/>
      <c r="X475" s="2518"/>
      <c r="Y475" s="2518"/>
      <c r="Z475" s="2518"/>
      <c r="AA475" s="2518"/>
      <c r="AB475" s="2518"/>
      <c r="AC475" s="2518"/>
      <c r="AD475" s="2518"/>
      <c r="AE475" s="2518"/>
      <c r="AF475" s="2518"/>
      <c r="AG475" s="740"/>
      <c r="AH475" s="710"/>
      <c r="AI475" s="710"/>
      <c r="AJ475" s="710"/>
      <c r="AK475" s="710"/>
      <c r="AL475" s="741"/>
      <c r="AM475" s="568"/>
      <c r="AN475" s="595"/>
    </row>
    <row r="476" spans="1:40" s="549" customFormat="1" ht="12.75" customHeight="1">
      <c r="A476" s="536"/>
      <c r="B476" s="14"/>
      <c r="C476" s="727"/>
      <c r="D476" s="14"/>
      <c r="E476" s="687"/>
      <c r="F476" s="2391"/>
      <c r="G476" s="2391"/>
      <c r="H476" s="2391"/>
      <c r="I476" s="2391"/>
      <c r="J476" s="2391"/>
      <c r="K476" s="2391"/>
      <c r="L476" s="2391"/>
      <c r="M476" s="2391"/>
      <c r="N476" s="2391"/>
      <c r="O476" s="2391"/>
      <c r="P476" s="2391"/>
      <c r="Q476" s="2391"/>
      <c r="R476" s="2391"/>
      <c r="S476" s="2391"/>
      <c r="T476" s="2391"/>
      <c r="U476" s="2391"/>
      <c r="V476" s="2391"/>
      <c r="W476" s="2391"/>
      <c r="X476" s="2391"/>
      <c r="Y476" s="2391"/>
      <c r="Z476" s="2391"/>
      <c r="AA476" s="2391"/>
      <c r="AB476" s="2391"/>
      <c r="AC476" s="2391"/>
      <c r="AD476" s="2391"/>
      <c r="AE476" s="2391"/>
      <c r="AF476" s="2391"/>
      <c r="AL476" s="728"/>
      <c r="AM476" s="568"/>
      <c r="AN476" s="595"/>
    </row>
    <row r="477" spans="1:40" s="549" customFormat="1" ht="12.75" customHeight="1">
      <c r="A477" s="536"/>
      <c r="B477" s="14"/>
      <c r="C477" s="735"/>
      <c r="F477" s="2391"/>
      <c r="G477" s="2391"/>
      <c r="H477" s="2391"/>
      <c r="I477" s="2391"/>
      <c r="J477" s="2391"/>
      <c r="K477" s="2391"/>
      <c r="L477" s="2391"/>
      <c r="M477" s="2391"/>
      <c r="N477" s="2391"/>
      <c r="O477" s="2391"/>
      <c r="P477" s="2391"/>
      <c r="Q477" s="2391"/>
      <c r="R477" s="2391"/>
      <c r="S477" s="2391"/>
      <c r="T477" s="2391"/>
      <c r="U477" s="2391"/>
      <c r="V477" s="2391"/>
      <c r="W477" s="2391"/>
      <c r="X477" s="2391"/>
      <c r="Y477" s="2391"/>
      <c r="Z477" s="2391"/>
      <c r="AA477" s="2391"/>
      <c r="AB477" s="2391"/>
      <c r="AC477" s="2391"/>
      <c r="AD477" s="2391"/>
      <c r="AE477" s="2391"/>
      <c r="AF477" s="2391"/>
      <c r="AL477" s="728"/>
      <c r="AM477" s="568"/>
      <c r="AN477" s="595"/>
    </row>
    <row r="478" spans="1:40" s="549" customFormat="1" ht="12.75" customHeight="1">
      <c r="A478" s="536"/>
      <c r="B478" s="14"/>
      <c r="C478" s="735"/>
      <c r="F478" s="2391"/>
      <c r="G478" s="2391"/>
      <c r="H478" s="2391"/>
      <c r="I478" s="2391"/>
      <c r="J478" s="2391"/>
      <c r="K478" s="2391"/>
      <c r="L478" s="2391"/>
      <c r="M478" s="2391"/>
      <c r="N478" s="2391"/>
      <c r="O478" s="2391"/>
      <c r="P478" s="2391"/>
      <c r="Q478" s="2391"/>
      <c r="R478" s="2391"/>
      <c r="S478" s="2391"/>
      <c r="T478" s="2391"/>
      <c r="U478" s="2391"/>
      <c r="V478" s="2391"/>
      <c r="W478" s="2391"/>
      <c r="X478" s="2391"/>
      <c r="Y478" s="2391"/>
      <c r="Z478" s="2391"/>
      <c r="AA478" s="2391"/>
      <c r="AB478" s="2391"/>
      <c r="AC478" s="2391"/>
      <c r="AD478" s="2391"/>
      <c r="AE478" s="2391"/>
      <c r="AF478" s="2391"/>
      <c r="AL478" s="728"/>
      <c r="AM478" s="568"/>
      <c r="AN478" s="595"/>
    </row>
    <row r="479" spans="1:40" s="549" customFormat="1" ht="12.75" customHeight="1">
      <c r="A479" s="536"/>
      <c r="B479" s="14"/>
      <c r="C479" s="2515" t="s">
        <v>591</v>
      </c>
      <c r="D479" s="2475"/>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6" t="s">
        <v>1453</v>
      </c>
      <c r="AG479" s="2516"/>
      <c r="AH479" s="2516"/>
      <c r="AI479" s="2516"/>
      <c r="AJ479" s="2516"/>
      <c r="AK479" s="2516"/>
      <c r="AL479" s="251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8">
        <f>IF(Application!D214="N/A",AS371,AS373)</f>
        <v>10</v>
      </c>
      <c r="AL482" s="2479"/>
      <c r="AM482" s="248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6" t="s">
        <v>1502</v>
      </c>
      <c r="AF485" s="2516"/>
      <c r="AG485" s="2516"/>
      <c r="AH485" s="2516"/>
      <c r="AI485" s="2516"/>
      <c r="AJ485" s="2516"/>
      <c r="AK485" s="2516"/>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2" t="s">
        <v>591</v>
      </c>
      <c r="D491" s="2523"/>
      <c r="E491" s="757" t="s">
        <v>507</v>
      </c>
      <c r="F491" s="2524" t="s">
        <v>1508</v>
      </c>
      <c r="G491" s="2524"/>
      <c r="H491" s="2524"/>
      <c r="I491" s="2524"/>
      <c r="J491" s="2524"/>
      <c r="K491" s="2524"/>
      <c r="L491" s="2524"/>
      <c r="M491" s="2524"/>
      <c r="N491" s="2524"/>
      <c r="O491" s="2524"/>
      <c r="P491" s="2524"/>
      <c r="Q491" s="2524"/>
      <c r="R491" s="2524"/>
      <c r="S491" s="2524"/>
      <c r="T491" s="2524"/>
      <c r="U491" s="2524"/>
      <c r="V491" s="2524"/>
      <c r="W491" s="2524"/>
      <c r="X491" s="2524"/>
      <c r="Y491" s="2524"/>
      <c r="Z491" s="2524"/>
      <c r="AA491" s="2524"/>
      <c r="AB491" s="2524"/>
      <c r="AC491" s="2524"/>
      <c r="AD491" s="2524"/>
      <c r="AE491" s="2524"/>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5"/>
      <c r="G492" s="2525"/>
      <c r="H492" s="2525"/>
      <c r="I492" s="2525"/>
      <c r="J492" s="2525"/>
      <c r="K492" s="2525"/>
      <c r="L492" s="2525"/>
      <c r="M492" s="2525"/>
      <c r="N492" s="2525"/>
      <c r="O492" s="2525"/>
      <c r="P492" s="2525"/>
      <c r="Q492" s="2525"/>
      <c r="R492" s="2525"/>
      <c r="S492" s="2525"/>
      <c r="T492" s="2525"/>
      <c r="U492" s="2525"/>
      <c r="V492" s="2525"/>
      <c r="W492" s="2525"/>
      <c r="X492" s="2525"/>
      <c r="Y492" s="2525"/>
      <c r="Z492" s="2525"/>
      <c r="AA492" s="2525"/>
      <c r="AB492" s="2525"/>
      <c r="AC492" s="2525"/>
      <c r="AD492" s="2525"/>
      <c r="AE492" s="2525"/>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0" t="s">
        <v>591</v>
      </c>
      <c r="G493" s="2620"/>
      <c r="H493" s="2620"/>
      <c r="I493" s="2620"/>
      <c r="J493" s="2620"/>
      <c r="K493" s="2620"/>
      <c r="L493" s="2620"/>
      <c r="M493" s="2620"/>
      <c r="N493" s="2620"/>
      <c r="O493" s="2620"/>
      <c r="P493" s="2620"/>
      <c r="Q493" s="2620"/>
      <c r="R493" s="2620"/>
      <c r="S493" s="2620"/>
      <c r="T493" s="2620"/>
      <c r="U493" s="2620"/>
      <c r="V493" s="2620"/>
      <c r="W493" s="2620"/>
      <c r="X493" s="2620"/>
      <c r="Y493" s="2620"/>
      <c r="Z493" s="262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1" t="s">
        <v>545</v>
      </c>
      <c r="D495" s="2642"/>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9" t="s">
        <v>591</v>
      </c>
      <c r="W498" s="2609"/>
      <c r="X498" s="260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9" t="s">
        <v>591</v>
      </c>
      <c r="W500" s="2609"/>
      <c r="X500" s="260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9" t="s">
        <v>591</v>
      </c>
      <c r="W505" s="2609"/>
      <c r="X505" s="260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5"/>
      <c r="E508" s="259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9" t="s">
        <v>591</v>
      </c>
      <c r="W509" s="2609"/>
      <c r="X509" s="260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9" t="s">
        <v>591</v>
      </c>
      <c r="W511" s="2609"/>
      <c r="X511" s="260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2" t="s">
        <v>591</v>
      </c>
      <c r="D514" s="2523"/>
      <c r="E514" s="757" t="s">
        <v>507</v>
      </c>
      <c r="F514" s="2524" t="s">
        <v>1508</v>
      </c>
      <c r="G514" s="2524"/>
      <c r="H514" s="2524"/>
      <c r="I514" s="2524"/>
      <c r="J514" s="2524"/>
      <c r="K514" s="2524"/>
      <c r="L514" s="2524"/>
      <c r="M514" s="2524"/>
      <c r="N514" s="2524"/>
      <c r="O514" s="2524"/>
      <c r="P514" s="2524"/>
      <c r="Q514" s="2524"/>
      <c r="R514" s="2524"/>
      <c r="S514" s="2524"/>
      <c r="T514" s="2524"/>
      <c r="U514" s="2524"/>
      <c r="V514" s="2524"/>
      <c r="W514" s="2524"/>
      <c r="X514" s="2524"/>
      <c r="Y514" s="2524"/>
      <c r="Z514" s="2524"/>
      <c r="AA514" s="2524"/>
      <c r="AB514" s="2524"/>
      <c r="AC514" s="2524"/>
      <c r="AD514" s="2524"/>
      <c r="AE514" s="252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5"/>
      <c r="G515" s="2525"/>
      <c r="H515" s="2525"/>
      <c r="I515" s="2525"/>
      <c r="J515" s="2525"/>
      <c r="K515" s="2525"/>
      <c r="L515" s="2525"/>
      <c r="M515" s="2525"/>
      <c r="N515" s="2525"/>
      <c r="O515" s="2525"/>
      <c r="P515" s="2525"/>
      <c r="Q515" s="2525"/>
      <c r="R515" s="2525"/>
      <c r="S515" s="2525"/>
      <c r="T515" s="2525"/>
      <c r="U515" s="2525"/>
      <c r="V515" s="2525"/>
      <c r="W515" s="2525"/>
      <c r="X515" s="2525"/>
      <c r="Y515" s="2525"/>
      <c r="Z515" s="2525"/>
      <c r="AA515" s="2525"/>
      <c r="AB515" s="2525"/>
      <c r="AC515" s="2525"/>
      <c r="AD515" s="2525"/>
      <c r="AE515" s="252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6" t="s">
        <v>591</v>
      </c>
      <c r="G516" s="2616"/>
      <c r="H516" s="2616"/>
      <c r="I516" s="2616"/>
      <c r="J516" s="2616"/>
      <c r="K516" s="2616"/>
      <c r="L516" s="2616"/>
      <c r="M516" s="2616"/>
      <c r="N516" s="2616"/>
      <c r="O516" s="2616"/>
      <c r="P516" s="2616"/>
      <c r="Q516" s="2616"/>
      <c r="R516" s="2616"/>
      <c r="S516" s="2616"/>
      <c r="T516" s="2616"/>
      <c r="U516" s="2616"/>
      <c r="V516" s="2616"/>
      <c r="W516" s="2616"/>
      <c r="X516" s="2616"/>
      <c r="Y516" s="2616"/>
      <c r="Z516" s="2616"/>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2" t="s">
        <v>591</v>
      </c>
      <c r="D518" s="2523"/>
      <c r="E518" s="757" t="s">
        <v>757</v>
      </c>
      <c r="F518" s="2617" t="s">
        <v>1530</v>
      </c>
      <c r="G518" s="2617"/>
      <c r="H518" s="2617"/>
      <c r="I518" s="2617"/>
      <c r="J518" s="2617"/>
      <c r="K518" s="2617"/>
      <c r="L518" s="2617"/>
      <c r="M518" s="2617"/>
      <c r="N518" s="2617"/>
      <c r="O518" s="2617"/>
      <c r="P518" s="2617"/>
      <c r="Q518" s="2617"/>
      <c r="R518" s="2617"/>
      <c r="S518" s="2617"/>
      <c r="T518" s="2617"/>
      <c r="U518" s="2617"/>
      <c r="V518" s="2617"/>
      <c r="W518" s="2617"/>
      <c r="X518" s="2617"/>
      <c r="Y518" s="2617"/>
      <c r="Z518" s="2617"/>
      <c r="AA518" s="2617"/>
      <c r="AB518" s="2617"/>
      <c r="AC518" s="2617"/>
      <c r="AD518" s="2617"/>
      <c r="AE518" s="261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8"/>
      <c r="G519" s="2618"/>
      <c r="H519" s="2618"/>
      <c r="I519" s="2618"/>
      <c r="J519" s="2618"/>
      <c r="K519" s="2618"/>
      <c r="L519" s="2618"/>
      <c r="M519" s="2618"/>
      <c r="N519" s="2618"/>
      <c r="O519" s="2618"/>
      <c r="P519" s="2618"/>
      <c r="Q519" s="2618"/>
      <c r="R519" s="2618"/>
      <c r="S519" s="2618"/>
      <c r="T519" s="2618"/>
      <c r="U519" s="2618"/>
      <c r="V519" s="2618"/>
      <c r="W519" s="2618"/>
      <c r="X519" s="2618"/>
      <c r="Y519" s="2618"/>
      <c r="Z519" s="2618"/>
      <c r="AA519" s="2618"/>
      <c r="AB519" s="2618"/>
      <c r="AC519" s="2618"/>
      <c r="AD519" s="2618"/>
      <c r="AE519" s="261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9" t="s">
        <v>591</v>
      </c>
      <c r="G521" s="2619"/>
      <c r="H521" s="261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2" t="s">
        <v>591</v>
      </c>
      <c r="D523" s="252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4"/>
      <c r="D525" s="259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6" t="s">
        <v>591</v>
      </c>
      <c r="H526" s="2596"/>
      <c r="I526" s="2596"/>
      <c r="J526" s="2596"/>
      <c r="K526" s="2596"/>
      <c r="L526" s="2596"/>
      <c r="M526" s="2596"/>
      <c r="N526" s="2596"/>
      <c r="O526" s="2596"/>
      <c r="P526" s="2596"/>
      <c r="Q526" s="2596"/>
      <c r="R526" s="2596"/>
      <c r="S526" s="2596"/>
      <c r="T526" s="2596"/>
      <c r="U526" s="2596"/>
      <c r="V526" s="2596"/>
      <c r="W526" s="2596"/>
      <c r="X526" s="2596"/>
      <c r="Y526" s="2596"/>
      <c r="Z526" s="2596"/>
      <c r="AA526" s="2596"/>
      <c r="AB526" s="2596"/>
      <c r="AC526" s="2596"/>
      <c r="AD526" s="2596"/>
      <c r="AE526" s="2596"/>
      <c r="AF526" s="259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7" t="s">
        <v>591</v>
      </c>
      <c r="D528" s="2598"/>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7" t="s">
        <v>591</v>
      </c>
      <c r="D532" s="2598"/>
      <c r="F532" s="791" t="s">
        <v>1538</v>
      </c>
      <c r="G532" s="2391" t="s">
        <v>1539</v>
      </c>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7"/>
      <c r="H533" s="2547"/>
      <c r="I533" s="2547"/>
      <c r="J533" s="2547"/>
      <c r="K533" s="2547"/>
      <c r="L533" s="2547"/>
      <c r="M533" s="2547"/>
      <c r="N533" s="2547"/>
      <c r="O533" s="2547"/>
      <c r="P533" s="2547"/>
      <c r="Q533" s="2547"/>
      <c r="R533" s="2547"/>
      <c r="S533" s="2547"/>
      <c r="T533" s="2547"/>
      <c r="U533" s="2547"/>
      <c r="V533" s="2547"/>
      <c r="W533" s="2547"/>
      <c r="X533" s="2547"/>
      <c r="Y533" s="2547"/>
      <c r="Z533" s="2547"/>
      <c r="AA533" s="2547"/>
      <c r="AB533" s="2547"/>
      <c r="AC533" s="2547"/>
      <c r="AD533" s="2547"/>
      <c r="AE533" s="2547"/>
      <c r="AF533" s="25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9" t="s">
        <v>591</v>
      </c>
      <c r="D536" s="2600"/>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1" t="s">
        <v>591</v>
      </c>
      <c r="G537" s="2601"/>
      <c r="H537" s="2601"/>
      <c r="I537" s="2601"/>
      <c r="J537" s="2601"/>
      <c r="K537" s="2601"/>
      <c r="L537" s="2601"/>
      <c r="M537" s="2601"/>
      <c r="N537" s="2601"/>
      <c r="O537" s="2601"/>
      <c r="P537" s="2601"/>
      <c r="Q537" s="2601"/>
      <c r="R537" s="2601"/>
      <c r="S537" s="2601"/>
      <c r="T537" s="2601"/>
      <c r="U537" s="2601"/>
      <c r="V537" s="2601"/>
      <c r="W537" s="2601"/>
      <c r="X537" s="2601"/>
      <c r="Y537" s="2601"/>
      <c r="Z537" s="2601"/>
      <c r="AA537" s="2601"/>
      <c r="AB537" s="2601"/>
      <c r="AC537" s="2601"/>
      <c r="AD537" s="2601"/>
      <c r="AE537" s="2601"/>
      <c r="AF537" s="260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2"/>
      <c r="G538" s="2602"/>
      <c r="H538" s="2602"/>
      <c r="I538" s="2602"/>
      <c r="J538" s="2602"/>
      <c r="K538" s="2602"/>
      <c r="L538" s="2602"/>
      <c r="M538" s="2602"/>
      <c r="N538" s="2602"/>
      <c r="O538" s="2602"/>
      <c r="P538" s="2602"/>
      <c r="Q538" s="2602"/>
      <c r="R538" s="2602"/>
      <c r="S538" s="2602"/>
      <c r="T538" s="2602"/>
      <c r="U538" s="2602"/>
      <c r="V538" s="2602"/>
      <c r="W538" s="2602"/>
      <c r="X538" s="2602"/>
      <c r="Y538" s="2602"/>
      <c r="Z538" s="2602"/>
      <c r="AA538" s="2602"/>
      <c r="AB538" s="2602"/>
      <c r="AC538" s="2602"/>
      <c r="AD538" s="2602"/>
      <c r="AE538" s="2602"/>
      <c r="AF538" s="260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8">
        <f>SUM(AG492:AG537)</f>
        <v>0</v>
      </c>
      <c r="AL548" s="2479"/>
      <c r="AM548" s="248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0" t="s">
        <v>1551</v>
      </c>
      <c r="AF551" s="2420"/>
      <c r="AG551" s="2420"/>
      <c r="AH551" s="2420"/>
      <c r="AI551" s="2420"/>
      <c r="AJ551" s="2420"/>
      <c r="AK551" s="2420"/>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5" t="s">
        <v>545</v>
      </c>
      <c r="D554" s="2475"/>
      <c r="E554" s="550"/>
      <c r="F554" s="2526" t="s">
        <v>1552</v>
      </c>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527"/>
      <c r="AI554" s="2527"/>
      <c r="AJ554" s="2527"/>
      <c r="AK554" s="2527"/>
      <c r="AL554" s="2528"/>
      <c r="AM554" s="593"/>
      <c r="AN554" s="595"/>
    </row>
    <row r="555" spans="1:81" s="549" customFormat="1" ht="12.75" customHeight="1">
      <c r="B555" s="539"/>
      <c r="C555" s="550"/>
      <c r="D555" s="550"/>
      <c r="E555" s="550"/>
      <c r="F555" s="2529"/>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2530"/>
      <c r="AH555" s="2530"/>
      <c r="AI555" s="2530"/>
      <c r="AJ555" s="2530"/>
      <c r="AK555" s="2530"/>
      <c r="AL555" s="253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5" t="s">
        <v>591</v>
      </c>
      <c r="D557" s="2475"/>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9" t="s">
        <v>2630</v>
      </c>
      <c r="G558" s="2470"/>
      <c r="H558" s="2470"/>
      <c r="I558" s="2470"/>
      <c r="J558" s="2470"/>
      <c r="K558" s="2470"/>
      <c r="L558" s="2470"/>
      <c r="M558" s="2470"/>
      <c r="N558" s="2470"/>
      <c r="O558" s="2470"/>
      <c r="P558" s="2470"/>
      <c r="Q558" s="2470"/>
      <c r="R558" s="2470"/>
      <c r="S558" s="2470"/>
      <c r="T558" s="2470"/>
      <c r="U558" s="2470"/>
      <c r="V558" s="2470"/>
      <c r="W558" s="2470"/>
      <c r="X558" s="2470"/>
      <c r="Y558" s="2470"/>
      <c r="Z558" s="2470"/>
      <c r="AA558" s="2470"/>
      <c r="AB558" s="2470"/>
      <c r="AC558" s="2470"/>
      <c r="AD558" s="2470"/>
      <c r="AE558" s="2470"/>
      <c r="AF558" s="2470"/>
      <c r="AG558" s="2470"/>
      <c r="AH558" s="2470"/>
      <c r="AI558" s="2470"/>
      <c r="AJ558" s="2470"/>
      <c r="AK558" s="2470"/>
      <c r="AL558" s="2471"/>
      <c r="AM558" s="593"/>
      <c r="AN558" s="595"/>
      <c r="AS558" s="866"/>
      <c r="AT558" s="866"/>
      <c r="AU558" s="866"/>
      <c r="AV558" s="866"/>
      <c r="AW558" s="866"/>
    </row>
    <row r="559" spans="1:81" s="549" customFormat="1" ht="12.75" customHeight="1">
      <c r="B559" s="802"/>
      <c r="C559" s="802"/>
      <c r="D559" s="802"/>
      <c r="E559" s="802"/>
      <c r="F559" s="2469"/>
      <c r="G559" s="2470"/>
      <c r="H559" s="2470"/>
      <c r="I559" s="2470"/>
      <c r="J559" s="2470"/>
      <c r="K559" s="2470"/>
      <c r="L559" s="2470"/>
      <c r="M559" s="2470"/>
      <c r="N559" s="2470"/>
      <c r="O559" s="2470"/>
      <c r="P559" s="2470"/>
      <c r="Q559" s="2470"/>
      <c r="R559" s="2470"/>
      <c r="S559" s="2470"/>
      <c r="T559" s="2470"/>
      <c r="U559" s="2470"/>
      <c r="V559" s="2470"/>
      <c r="W559" s="2470"/>
      <c r="X559" s="2470"/>
      <c r="Y559" s="2470"/>
      <c r="Z559" s="2470"/>
      <c r="AA559" s="2470"/>
      <c r="AB559" s="2470"/>
      <c r="AC559" s="2470"/>
      <c r="AD559" s="2470"/>
      <c r="AE559" s="2470"/>
      <c r="AF559" s="2470"/>
      <c r="AG559" s="2470"/>
      <c r="AH559" s="2470"/>
      <c r="AI559" s="2470"/>
      <c r="AJ559" s="2470"/>
      <c r="AK559" s="2470"/>
      <c r="AL559" s="247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9" t="s">
        <v>1554</v>
      </c>
      <c r="G561" s="2470"/>
      <c r="H561" s="2470"/>
      <c r="I561" s="2470"/>
      <c r="J561" s="2470"/>
      <c r="K561" s="2470"/>
      <c r="L561" s="2470"/>
      <c r="M561" s="2470"/>
      <c r="N561" s="2470"/>
      <c r="O561" s="2470"/>
      <c r="P561" s="2470"/>
      <c r="Q561" s="2470"/>
      <c r="R561" s="2470"/>
      <c r="S561" s="2470"/>
      <c r="T561" s="2470"/>
      <c r="U561" s="2470"/>
      <c r="V561" s="2470"/>
      <c r="W561" s="2470"/>
      <c r="X561" s="2470"/>
      <c r="Y561" s="2470"/>
      <c r="Z561" s="2470"/>
      <c r="AA561" s="2470"/>
      <c r="AB561" s="2470"/>
      <c r="AC561" s="2470"/>
      <c r="AD561" s="2470"/>
      <c r="AE561" s="2470"/>
      <c r="AF561" s="2470"/>
      <c r="AG561" s="2470"/>
      <c r="AH561" s="2470"/>
      <c r="AI561" s="2470"/>
      <c r="AJ561" s="2470"/>
      <c r="AK561" s="2470"/>
      <c r="AL561" s="809"/>
      <c r="AM561" s="593"/>
      <c r="AN561" s="595"/>
    </row>
    <row r="562" spans="1:45" s="549" customFormat="1" ht="12.75" customHeight="1">
      <c r="B562" s="802"/>
      <c r="C562" s="802"/>
      <c r="D562" s="802"/>
      <c r="E562" s="802"/>
      <c r="F562" s="2472"/>
      <c r="G562" s="2473"/>
      <c r="H562" s="2473"/>
      <c r="I562" s="2473"/>
      <c r="J562" s="2473"/>
      <c r="K562" s="2473"/>
      <c r="L562" s="2473"/>
      <c r="M562" s="2473"/>
      <c r="N562" s="2473"/>
      <c r="O562" s="2473"/>
      <c r="P562" s="2473"/>
      <c r="Q562" s="2473"/>
      <c r="R562" s="2473"/>
      <c r="S562" s="2473"/>
      <c r="T562" s="2473"/>
      <c r="U562" s="2473"/>
      <c r="V562" s="2473"/>
      <c r="W562" s="2473"/>
      <c r="X562" s="2473"/>
      <c r="Y562" s="2473"/>
      <c r="Z562" s="2473"/>
      <c r="AA562" s="2473"/>
      <c r="AB562" s="2473"/>
      <c r="AC562" s="2473"/>
      <c r="AD562" s="2473"/>
      <c r="AE562" s="2473"/>
      <c r="AF562" s="2473"/>
      <c r="AG562" s="2473"/>
      <c r="AH562" s="2473"/>
      <c r="AI562" s="2473"/>
      <c r="AJ562" s="2473"/>
      <c r="AK562" s="247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8">
        <f>Application!AJ1001</f>
        <v>61155291</v>
      </c>
      <c r="AQ563" s="2608"/>
      <c r="AR563" s="2608"/>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1">
        <f>'Sources and Uses Budget'!S107+'Sources and Uses Budget'!T107</f>
        <v>80947680</v>
      </c>
      <c r="AG564" s="2481"/>
      <c r="AH564" s="2481"/>
      <c r="AI564" s="2481"/>
      <c r="AJ564" s="2481"/>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2">
        <f>IFERROR(AP572,0)</f>
        <v>140657168.79999998</v>
      </c>
      <c r="AG565" s="2612"/>
      <c r="AH565" s="2612"/>
      <c r="AI565" s="2612"/>
      <c r="AJ565" s="2612"/>
      <c r="AK565" s="593"/>
      <c r="AL565" s="593"/>
      <c r="AM565" s="593"/>
      <c r="AN565" s="595"/>
      <c r="AP565" s="2608">
        <f>Application!AJ1054</f>
        <v>18958140.210000001</v>
      </c>
      <c r="AQ565" s="2608"/>
      <c r="AR565" s="2608"/>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3">
        <f>IFERROR(ROUNDDOWN(IF(C557="YES",((1-(AF564/AF565))*2),(1-(AF564/AF565))),2),0)</f>
        <v>0.42</v>
      </c>
      <c r="AG566" s="2613"/>
      <c r="AH566" s="2613"/>
      <c r="AI566" s="2613"/>
      <c r="AJ566" s="2613"/>
      <c r="AK566" s="593"/>
      <c r="AL566" s="593"/>
      <c r="AM566" s="593"/>
      <c r="AN566" s="595"/>
      <c r="AP566" s="2628">
        <f>Application!AJ1058</f>
        <v>37916280.420000002</v>
      </c>
      <c r="AQ566" s="2628"/>
      <c r="AR566" s="2628"/>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7">
        <f>IF(((AP565+AP566)/AP563)&gt;0.8,0.8,((AP565+AP566)/AP563))</f>
        <v>0.8</v>
      </c>
      <c r="AQ567" s="2607"/>
      <c r="AR567" s="2607"/>
      <c r="AS567" s="549" t="s">
        <v>2127</v>
      </c>
    </row>
    <row r="568" spans="1:45" s="549" customFormat="1" ht="12.75" customHeight="1">
      <c r="A568" s="622"/>
      <c r="B568" s="2554" t="s">
        <v>1993</v>
      </c>
      <c r="C568" s="2555"/>
      <c r="D568" s="2555"/>
      <c r="E568" s="2555"/>
      <c r="F568" s="2555"/>
      <c r="G568" s="2555"/>
      <c r="H568" s="2555"/>
      <c r="I568" s="2555"/>
      <c r="J568" s="2555"/>
      <c r="K568" s="2555"/>
      <c r="L568" s="2555"/>
      <c r="M568" s="2555"/>
      <c r="N568" s="2555"/>
      <c r="O568" s="2555"/>
      <c r="P568" s="2555"/>
      <c r="Q568" s="2555"/>
      <c r="R568" s="2555"/>
      <c r="S568" s="2555"/>
      <c r="T568" s="2555"/>
      <c r="U568" s="2555"/>
      <c r="V568" s="2555"/>
      <c r="W568" s="2555"/>
      <c r="X568" s="2555"/>
      <c r="Y568" s="2555"/>
      <c r="Z568" s="2555"/>
      <c r="AA568" s="2555"/>
      <c r="AB568" s="2555"/>
      <c r="AC568" s="2555"/>
      <c r="AD568" s="2555"/>
      <c r="AE568" s="2555"/>
      <c r="AF568" s="2555"/>
      <c r="AG568" s="2555"/>
      <c r="AH568" s="2555"/>
      <c r="AI568" s="2555"/>
      <c r="AJ568" s="2556"/>
      <c r="AK568" s="593"/>
      <c r="AL568" s="593"/>
      <c r="AM568" s="593"/>
      <c r="AN568" s="595"/>
    </row>
    <row r="569" spans="1:45" s="549" customFormat="1" ht="12.75" customHeight="1">
      <c r="A569" s="622"/>
      <c r="B569" s="2557"/>
      <c r="C569" s="2558"/>
      <c r="D569" s="2558"/>
      <c r="E569" s="2558"/>
      <c r="F569" s="2558"/>
      <c r="G569" s="2558"/>
      <c r="H569" s="2558"/>
      <c r="I569" s="2558"/>
      <c r="J569" s="2558"/>
      <c r="K569" s="2558"/>
      <c r="L569" s="2558"/>
      <c r="M569" s="2558"/>
      <c r="N569" s="2558"/>
      <c r="O569" s="2558"/>
      <c r="P569" s="2558"/>
      <c r="Q569" s="2558"/>
      <c r="R569" s="2558"/>
      <c r="S569" s="2558"/>
      <c r="T569" s="2558"/>
      <c r="U569" s="2558"/>
      <c r="V569" s="2558"/>
      <c r="W569" s="2558"/>
      <c r="X569" s="2558"/>
      <c r="Y569" s="2558"/>
      <c r="Z569" s="2558"/>
      <c r="AA569" s="2558"/>
      <c r="AB569" s="2558"/>
      <c r="AC569" s="2558"/>
      <c r="AD569" s="2558"/>
      <c r="AE569" s="2558"/>
      <c r="AF569" s="2558"/>
      <c r="AG569" s="2558"/>
      <c r="AH569" s="2558"/>
      <c r="AI569" s="2558"/>
      <c r="AJ569" s="2559"/>
      <c r="AK569" s="593"/>
      <c r="AL569" s="593"/>
      <c r="AM569" s="593"/>
      <c r="AN569" s="595"/>
      <c r="AP569" s="2608">
        <f>AP570-AP565-AP566</f>
        <v>91732935.999999985</v>
      </c>
      <c r="AQ569" s="2539"/>
      <c r="AR569" s="2539"/>
      <c r="AS569" s="549" t="s">
        <v>2129</v>
      </c>
    </row>
    <row r="570" spans="1:45" s="549" customFormat="1" ht="12.75" customHeight="1">
      <c r="A570" s="622"/>
      <c r="B570" s="2560"/>
      <c r="C570" s="2561"/>
      <c r="D570" s="2561"/>
      <c r="E570" s="2561"/>
      <c r="F570" s="2561"/>
      <c r="G570" s="2561"/>
      <c r="H570" s="2561"/>
      <c r="I570" s="2561"/>
      <c r="J570" s="2561"/>
      <c r="K570" s="2561"/>
      <c r="L570" s="2561"/>
      <c r="M570" s="2561"/>
      <c r="N570" s="2561"/>
      <c r="O570" s="2561"/>
      <c r="P570" s="2561"/>
      <c r="Q570" s="2561"/>
      <c r="R570" s="2561"/>
      <c r="S570" s="2561"/>
      <c r="T570" s="2561"/>
      <c r="U570" s="2561"/>
      <c r="V570" s="2561"/>
      <c r="W570" s="2561"/>
      <c r="X570" s="2561"/>
      <c r="Y570" s="2561"/>
      <c r="Z570" s="2561"/>
      <c r="AA570" s="2561"/>
      <c r="AB570" s="2561"/>
      <c r="AC570" s="2561"/>
      <c r="AD570" s="2561"/>
      <c r="AE570" s="2561"/>
      <c r="AF570" s="2561"/>
      <c r="AG570" s="2561"/>
      <c r="AH570" s="2561"/>
      <c r="AI570" s="2561"/>
      <c r="AJ570" s="2562"/>
      <c r="AK570" s="593"/>
      <c r="AL570" s="593"/>
      <c r="AM570" s="593"/>
      <c r="AN570" s="595"/>
      <c r="AP570" s="2608">
        <f>Application!AJ1062</f>
        <v>148607356.63</v>
      </c>
      <c r="AQ570" s="2608"/>
      <c r="AR570" s="2608"/>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3">
        <f>IFERROR(IF(AND(C554="N/A",C557="N/A"),0,IF(AF566=0,0,IF((AF566*100)&gt;12,12,(AF566*100)))),0)</f>
        <v>12</v>
      </c>
      <c r="AL572" s="2563"/>
      <c r="AM572" s="2564"/>
      <c r="AN572" s="595"/>
      <c r="AP572" s="2621">
        <f>AP569+(AP563*AP567)</f>
        <v>140657168.79999998</v>
      </c>
      <c r="AQ572" s="2622"/>
      <c r="AR572" s="26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0" t="s">
        <v>1308</v>
      </c>
      <c r="AF575" s="2420"/>
      <c r="AG575" s="2420"/>
      <c r="AH575" s="2420"/>
      <c r="AI575" s="2420"/>
      <c r="AJ575" s="2420"/>
      <c r="AK575" s="242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0" t="s">
        <v>1985</v>
      </c>
      <c r="C577" s="2470"/>
      <c r="D577" s="2470"/>
      <c r="E577" s="2470"/>
      <c r="F577" s="2470"/>
      <c r="G577" s="2470"/>
      <c r="H577" s="2470"/>
      <c r="I577" s="2470"/>
      <c r="J577" s="2470"/>
      <c r="K577" s="2470"/>
      <c r="L577" s="2470"/>
      <c r="M577" s="2470"/>
      <c r="N577" s="2470"/>
      <c r="O577" s="2470"/>
      <c r="P577" s="2470"/>
      <c r="Q577" s="2470"/>
      <c r="R577" s="2470"/>
      <c r="S577" s="2470"/>
      <c r="T577" s="2470"/>
      <c r="U577" s="2470"/>
      <c r="V577" s="2470"/>
      <c r="W577" s="2470"/>
      <c r="X577" s="2470"/>
      <c r="Y577" s="2470"/>
      <c r="Z577" s="2470"/>
      <c r="AA577" s="2470"/>
      <c r="AB577" s="2470"/>
      <c r="AC577" s="2470"/>
      <c r="AD577" s="2470"/>
      <c r="AE577" s="2470"/>
      <c r="AF577" s="2470"/>
      <c r="AG577" s="2470"/>
      <c r="AH577" s="2470"/>
      <c r="AI577" s="2470"/>
      <c r="AJ577" s="2470"/>
      <c r="AK577" s="640"/>
      <c r="AL577" s="571"/>
      <c r="AM577" s="601"/>
      <c r="AN577" s="595"/>
    </row>
    <row r="578" spans="1:42" s="549" customFormat="1" ht="12.75" customHeight="1">
      <c r="A578" s="601"/>
      <c r="B578" s="2470"/>
      <c r="C578" s="2470"/>
      <c r="D578" s="2470"/>
      <c r="E578" s="2470"/>
      <c r="F578" s="2470"/>
      <c r="G578" s="2470"/>
      <c r="H578" s="2470"/>
      <c r="I578" s="2470"/>
      <c r="J578" s="2470"/>
      <c r="K578" s="2470"/>
      <c r="L578" s="2470"/>
      <c r="M578" s="2470"/>
      <c r="N578" s="2470"/>
      <c r="O578" s="2470"/>
      <c r="P578" s="2470"/>
      <c r="Q578" s="2470"/>
      <c r="R578" s="2470"/>
      <c r="S578" s="2470"/>
      <c r="T578" s="2470"/>
      <c r="U578" s="2470"/>
      <c r="V578" s="2470"/>
      <c r="W578" s="2470"/>
      <c r="X578" s="2470"/>
      <c r="Y578" s="2470"/>
      <c r="Z578" s="2470"/>
      <c r="AA578" s="2470"/>
      <c r="AB578" s="2470"/>
      <c r="AC578" s="2470"/>
      <c r="AD578" s="2470"/>
      <c r="AE578" s="2470"/>
      <c r="AF578" s="2470"/>
      <c r="AG578" s="2470"/>
      <c r="AH578" s="2470"/>
      <c r="AI578" s="2470"/>
      <c r="AJ578" s="2470"/>
      <c r="AK578" s="640"/>
      <c r="AL578" s="571"/>
      <c r="AM578" s="601"/>
      <c r="AN578" s="595"/>
    </row>
    <row r="579" spans="1:42" s="549" customFormat="1" ht="12.75" customHeight="1">
      <c r="A579" s="601"/>
      <c r="B579" s="2470"/>
      <c r="C579" s="2470"/>
      <c r="D579" s="2470"/>
      <c r="E579" s="2470"/>
      <c r="F579" s="2470"/>
      <c r="G579" s="2470"/>
      <c r="H579" s="2470"/>
      <c r="I579" s="2470"/>
      <c r="J579" s="2470"/>
      <c r="K579" s="2470"/>
      <c r="L579" s="2470"/>
      <c r="M579" s="2470"/>
      <c r="N579" s="2470"/>
      <c r="O579" s="2470"/>
      <c r="P579" s="2470"/>
      <c r="Q579" s="2470"/>
      <c r="R579" s="2470"/>
      <c r="S579" s="2470"/>
      <c r="T579" s="2470"/>
      <c r="U579" s="2470"/>
      <c r="V579" s="2470"/>
      <c r="W579" s="2470"/>
      <c r="X579" s="2470"/>
      <c r="Y579" s="2470"/>
      <c r="Z579" s="2470"/>
      <c r="AA579" s="2470"/>
      <c r="AB579" s="2470"/>
      <c r="AC579" s="2470"/>
      <c r="AD579" s="2470"/>
      <c r="AE579" s="2470"/>
      <c r="AF579" s="2470"/>
      <c r="AG579" s="2470"/>
      <c r="AH579" s="2470"/>
      <c r="AI579" s="2470"/>
      <c r="AJ579" s="2470"/>
      <c r="AK579" s="640"/>
      <c r="AL579" s="571"/>
      <c r="AM579" s="601"/>
      <c r="AN579" s="595"/>
    </row>
    <row r="580" spans="1:42" s="549" customFormat="1" ht="12.75" customHeight="1">
      <c r="A580" s="601"/>
      <c r="B580" s="2470"/>
      <c r="C580" s="2470"/>
      <c r="D580" s="2470"/>
      <c r="E580" s="2470"/>
      <c r="F580" s="2470"/>
      <c r="G580" s="2470"/>
      <c r="H580" s="2470"/>
      <c r="I580" s="2470"/>
      <c r="J580" s="2470"/>
      <c r="K580" s="2470"/>
      <c r="L580" s="2470"/>
      <c r="M580" s="2470"/>
      <c r="N580" s="2470"/>
      <c r="O580" s="2470"/>
      <c r="P580" s="2470"/>
      <c r="Q580" s="2470"/>
      <c r="R580" s="2470"/>
      <c r="S580" s="2470"/>
      <c r="T580" s="2470"/>
      <c r="U580" s="2470"/>
      <c r="V580" s="2470"/>
      <c r="W580" s="2470"/>
      <c r="X580" s="2470"/>
      <c r="Y580" s="2470"/>
      <c r="Z580" s="2470"/>
      <c r="AA580" s="2470"/>
      <c r="AB580" s="2470"/>
      <c r="AC580" s="2470"/>
      <c r="AD580" s="2470"/>
      <c r="AE580" s="2470"/>
      <c r="AF580" s="2470"/>
      <c r="AG580" s="2470"/>
      <c r="AH580" s="2470"/>
      <c r="AI580" s="2470"/>
      <c r="AJ580" s="2470"/>
      <c r="AK580" s="640"/>
      <c r="AL580" s="571"/>
      <c r="AM580" s="601"/>
      <c r="AN580" s="595"/>
    </row>
    <row r="581" spans="1:42" s="549" customFormat="1" ht="12.75" customHeight="1">
      <c r="A581" s="601"/>
      <c r="B581" s="2470"/>
      <c r="C581" s="2470"/>
      <c r="D581" s="2470"/>
      <c r="E581" s="2470"/>
      <c r="F581" s="2470"/>
      <c r="G581" s="2470"/>
      <c r="H581" s="2470"/>
      <c r="I581" s="2470"/>
      <c r="J581" s="2470"/>
      <c r="K581" s="2470"/>
      <c r="L581" s="2470"/>
      <c r="M581" s="2470"/>
      <c r="N581" s="2470"/>
      <c r="O581" s="2470"/>
      <c r="P581" s="2470"/>
      <c r="Q581" s="2470"/>
      <c r="R581" s="2470"/>
      <c r="S581" s="2470"/>
      <c r="T581" s="2470"/>
      <c r="U581" s="2470"/>
      <c r="V581" s="2470"/>
      <c r="W581" s="2470"/>
      <c r="X581" s="2470"/>
      <c r="Y581" s="2470"/>
      <c r="Z581" s="2470"/>
      <c r="AA581" s="2470"/>
      <c r="AB581" s="2470"/>
      <c r="AC581" s="2470"/>
      <c r="AD581" s="2470"/>
      <c r="AE581" s="2470"/>
      <c r="AF581" s="2470"/>
      <c r="AG581" s="2470"/>
      <c r="AH581" s="2470"/>
      <c r="AI581" s="2470"/>
      <c r="AJ581" s="2470"/>
      <c r="AK581" s="640"/>
      <c r="AL581" s="571"/>
      <c r="AM581" s="601"/>
      <c r="AN581" s="595"/>
    </row>
    <row r="582" spans="1:42" s="549" customFormat="1" ht="12.75" customHeight="1">
      <c r="A582" s="601"/>
      <c r="B582" s="2470"/>
      <c r="C582" s="2470"/>
      <c r="D582" s="2470"/>
      <c r="E582" s="2470"/>
      <c r="F582" s="2470"/>
      <c r="G582" s="2470"/>
      <c r="H582" s="2470"/>
      <c r="I582" s="2470"/>
      <c r="J582" s="2470"/>
      <c r="K582" s="2470"/>
      <c r="L582" s="2470"/>
      <c r="M582" s="2470"/>
      <c r="N582" s="2470"/>
      <c r="O582" s="2470"/>
      <c r="P582" s="2470"/>
      <c r="Q582" s="2470"/>
      <c r="R582" s="2470"/>
      <c r="S582" s="2470"/>
      <c r="T582" s="2470"/>
      <c r="U582" s="2470"/>
      <c r="V582" s="2470"/>
      <c r="W582" s="2470"/>
      <c r="X582" s="2470"/>
      <c r="Y582" s="2470"/>
      <c r="Z582" s="2470"/>
      <c r="AA582" s="2470"/>
      <c r="AB582" s="2470"/>
      <c r="AC582" s="2470"/>
      <c r="AD582" s="2470"/>
      <c r="AE582" s="2470"/>
      <c r="AF582" s="2470"/>
      <c r="AG582" s="2470"/>
      <c r="AH582" s="2470"/>
      <c r="AI582" s="2470"/>
      <c r="AJ582" s="2470"/>
      <c r="AK582" s="640"/>
      <c r="AL582" s="571"/>
      <c r="AM582" s="601"/>
      <c r="AN582" s="595"/>
    </row>
    <row r="583" spans="1:42" s="549" customFormat="1" ht="12.75" customHeight="1">
      <c r="A583" s="601"/>
      <c r="B583" s="2470"/>
      <c r="C583" s="2470"/>
      <c r="D583" s="2470"/>
      <c r="E583" s="2470"/>
      <c r="F583" s="2470"/>
      <c r="G583" s="2470"/>
      <c r="H583" s="2470"/>
      <c r="I583" s="2470"/>
      <c r="J583" s="2470"/>
      <c r="K583" s="2470"/>
      <c r="L583" s="2470"/>
      <c r="M583" s="2470"/>
      <c r="N583" s="2470"/>
      <c r="O583" s="2470"/>
      <c r="P583" s="2470"/>
      <c r="Q583" s="2470"/>
      <c r="R583" s="2470"/>
      <c r="S583" s="2470"/>
      <c r="T583" s="2470"/>
      <c r="U583" s="2470"/>
      <c r="V583" s="2470"/>
      <c r="W583" s="2470"/>
      <c r="X583" s="2470"/>
      <c r="Y583" s="2470"/>
      <c r="Z583" s="2470"/>
      <c r="AA583" s="2470"/>
      <c r="AB583" s="2470"/>
      <c r="AC583" s="2470"/>
      <c r="AD583" s="2470"/>
      <c r="AE583" s="2470"/>
      <c r="AF583" s="2470"/>
      <c r="AG583" s="2470"/>
      <c r="AH583" s="2470"/>
      <c r="AI583" s="2470"/>
      <c r="AJ583" s="2470"/>
      <c r="AK583" s="640"/>
      <c r="AL583" s="571"/>
      <c r="AM583" s="601"/>
      <c r="AN583" s="595"/>
    </row>
    <row r="584" spans="1:42" ht="12.75" customHeight="1">
      <c r="A584" s="601"/>
      <c r="B584" s="2470"/>
      <c r="C584" s="2470"/>
      <c r="D584" s="2470"/>
      <c r="E584" s="2470"/>
      <c r="F584" s="2470"/>
      <c r="G584" s="2470"/>
      <c r="H584" s="2470"/>
      <c r="I584" s="2470"/>
      <c r="J584" s="2470"/>
      <c r="K584" s="2470"/>
      <c r="L584" s="2470"/>
      <c r="M584" s="2470"/>
      <c r="N584" s="2470"/>
      <c r="O584" s="2470"/>
      <c r="P584" s="2470"/>
      <c r="Q584" s="2470"/>
      <c r="R584" s="2470"/>
      <c r="S584" s="2470"/>
      <c r="T584" s="2470"/>
      <c r="U584" s="2470"/>
      <c r="V584" s="2470"/>
      <c r="W584" s="2470"/>
      <c r="X584" s="2470"/>
      <c r="Y584" s="2470"/>
      <c r="Z584" s="2470"/>
      <c r="AA584" s="2470"/>
      <c r="AB584" s="2470"/>
      <c r="AC584" s="2470"/>
      <c r="AD584" s="2470"/>
      <c r="AE584" s="2470"/>
      <c r="AF584" s="2470"/>
      <c r="AG584" s="2470"/>
      <c r="AH584" s="2470"/>
      <c r="AI584" s="2470"/>
      <c r="AJ584" s="2470"/>
      <c r="AK584" s="640"/>
      <c r="AL584" s="571"/>
      <c r="AM584" s="601"/>
    </row>
    <row r="585" spans="1:42" s="549" customFormat="1" ht="12.75" customHeight="1">
      <c r="B585" s="2470"/>
      <c r="C585" s="2470"/>
      <c r="D585" s="2470"/>
      <c r="E585" s="2470"/>
      <c r="F585" s="2470"/>
      <c r="G585" s="2470"/>
      <c r="H585" s="2470"/>
      <c r="I585" s="2470"/>
      <c r="J585" s="2470"/>
      <c r="K585" s="2470"/>
      <c r="L585" s="2470"/>
      <c r="M585" s="2470"/>
      <c r="N585" s="2470"/>
      <c r="O585" s="2470"/>
      <c r="P585" s="2470"/>
      <c r="Q585" s="2470"/>
      <c r="R585" s="2470"/>
      <c r="S585" s="2470"/>
      <c r="T585" s="2470"/>
      <c r="U585" s="2470"/>
      <c r="V585" s="2470"/>
      <c r="W585" s="2470"/>
      <c r="X585" s="2470"/>
      <c r="Y585" s="2470"/>
      <c r="Z585" s="2470"/>
      <c r="AA585" s="2470"/>
      <c r="AB585" s="2470"/>
      <c r="AC585" s="2470"/>
      <c r="AD585" s="2470"/>
      <c r="AE585" s="2470"/>
      <c r="AF585" s="2470"/>
      <c r="AG585" s="2470"/>
      <c r="AH585" s="2470"/>
      <c r="AI585" s="2470"/>
      <c r="AJ585" s="247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3" t="s">
        <v>1332</v>
      </c>
      <c r="AG591" s="2453"/>
      <c r="AH591" s="2453"/>
      <c r="AI591" s="2453"/>
      <c r="AJ591" s="2453"/>
      <c r="AK591" s="2453"/>
      <c r="AL591" s="2453"/>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3" t="s">
        <v>1388</v>
      </c>
      <c r="AG598" s="2453"/>
      <c r="AH598" s="2453"/>
      <c r="AI598" s="2453"/>
      <c r="AJ598" s="2453"/>
      <c r="AK598" s="2453"/>
      <c r="AL598" s="2453"/>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3" t="s">
        <v>1371</v>
      </c>
      <c r="AG604" s="2453"/>
      <c r="AH604" s="2453"/>
      <c r="AI604" s="2453"/>
      <c r="AJ604" s="2453"/>
      <c r="AK604" s="2453"/>
      <c r="AL604" s="2453"/>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3" t="s">
        <v>1391</v>
      </c>
      <c r="AG610" s="2453"/>
      <c r="AH610" s="2453"/>
      <c r="AI610" s="2453"/>
      <c r="AJ610" s="2453"/>
      <c r="AK610" s="2453"/>
      <c r="AL610" s="2453"/>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3" t="s">
        <v>1346</v>
      </c>
      <c r="AG616" s="2453"/>
      <c r="AH616" s="2453"/>
      <c r="AI616" s="2453"/>
      <c r="AJ616" s="2453"/>
      <c r="AK616" s="2453"/>
      <c r="AL616" s="2453"/>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3" t="s">
        <v>687</v>
      </c>
      <c r="I619" s="2533"/>
      <c r="J619" s="932"/>
      <c r="K619" s="932"/>
      <c r="L619" s="932"/>
      <c r="N619" s="22"/>
      <c r="O619" s="22"/>
      <c r="P619" s="22"/>
      <c r="Q619" s="1145" t="s">
        <v>2132</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5" t="s">
        <v>591</v>
      </c>
      <c r="C629" s="2465"/>
      <c r="D629" s="640"/>
      <c r="E629" s="2470" t="s">
        <v>1395</v>
      </c>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2470"/>
      <c r="AF629" s="2470"/>
      <c r="AG629" s="2470"/>
      <c r="AH629" s="640"/>
      <c r="AI629" s="640"/>
      <c r="AJ629" s="640"/>
      <c r="AK629" s="640"/>
      <c r="AL629" s="640"/>
      <c r="AN629" s="595"/>
    </row>
    <row r="630" spans="1:42" s="549" customFormat="1" ht="12.75" customHeight="1">
      <c r="B630" s="536"/>
      <c r="C630" s="929"/>
      <c r="D630" s="640"/>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2470"/>
      <c r="AF630" s="2470"/>
      <c r="AG630" s="2470"/>
      <c r="AH630" s="640"/>
      <c r="AI630" s="640"/>
      <c r="AJ630" s="640"/>
      <c r="AK630" s="640"/>
      <c r="AL630" s="640"/>
      <c r="AN630" s="595"/>
    </row>
    <row r="631" spans="1:42" s="549" customFormat="1" ht="12.75" customHeight="1">
      <c r="B631" s="536"/>
      <c r="C631" s="929"/>
      <c r="D631" s="640"/>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2470"/>
      <c r="AF631" s="2470"/>
      <c r="AG631" s="2470"/>
      <c r="AH631" s="640"/>
      <c r="AI631" s="640"/>
      <c r="AJ631" s="640"/>
      <c r="AK631" s="640"/>
      <c r="AL631" s="640"/>
      <c r="AN631" s="595"/>
    </row>
    <row r="632" spans="1:42" s="549" customFormat="1" ht="12.75" customHeight="1">
      <c r="B632" s="536"/>
      <c r="C632" s="929"/>
      <c r="D632" s="640"/>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2470"/>
      <c r="AF632" s="2470"/>
      <c r="AG632" s="247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8">
        <f>VLOOKUP($H$619,$AO$599:$AP$604,2,FALSE)+IF(R619=AO607,0,VLOOKUP($I$627,$AO$626:$AP$628,2,FALSE))</f>
        <v>7</v>
      </c>
      <c r="AK634" s="248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453" t="s">
        <v>1346</v>
      </c>
      <c r="AG638" s="2453"/>
      <c r="AH638" s="2453"/>
      <c r="AI638" s="2453"/>
      <c r="AJ638" s="2453"/>
      <c r="AK638" s="2453"/>
      <c r="AL638" s="2453"/>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5" t="s">
        <v>591</v>
      </c>
      <c r="Y647" s="246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3" t="s">
        <v>1400</v>
      </c>
      <c r="AG649" s="2453"/>
      <c r="AH649" s="2453"/>
      <c r="AI649" s="2453"/>
      <c r="AJ649" s="2453"/>
      <c r="AK649" s="2453"/>
      <c r="AL649" s="245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3" t="s">
        <v>687</v>
      </c>
      <c r="I651" s="253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8">
        <f>VLOOKUP($H$651,$AO$618:$AP$620,2,FALSE)</f>
        <v>3</v>
      </c>
      <c r="AK653" s="248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0" t="s">
        <v>2054</v>
      </c>
      <c r="F657" s="2470"/>
      <c r="G657" s="2470"/>
      <c r="H657" s="2470"/>
      <c r="I657" s="2470"/>
      <c r="J657" s="2470"/>
      <c r="K657" s="2470"/>
      <c r="L657" s="2470"/>
      <c r="M657" s="2470"/>
      <c r="N657" s="2470"/>
      <c r="O657" s="2470"/>
      <c r="P657" s="2470"/>
      <c r="Q657" s="2470"/>
      <c r="R657" s="2470"/>
      <c r="S657" s="2470"/>
      <c r="T657" s="2470"/>
      <c r="U657" s="2470"/>
      <c r="V657" s="2470"/>
      <c r="W657" s="2470"/>
      <c r="X657" s="2470"/>
      <c r="Y657" s="2470"/>
      <c r="Z657" s="2470"/>
      <c r="AA657" s="2470"/>
      <c r="AB657" s="2470"/>
      <c r="AC657" s="2470"/>
      <c r="AD657" s="2470"/>
      <c r="AE657" s="536"/>
      <c r="AF657" s="2453" t="s">
        <v>1346</v>
      </c>
      <c r="AG657" s="2453"/>
      <c r="AH657" s="2453"/>
      <c r="AI657" s="2453"/>
      <c r="AJ657" s="2453"/>
      <c r="AK657" s="2453"/>
      <c r="AL657" s="2453"/>
      <c r="AN657" s="595"/>
    </row>
    <row r="658" spans="1:42" s="549" customFormat="1" ht="12.75" customHeight="1">
      <c r="B658" s="536"/>
      <c r="C658" s="536"/>
      <c r="D658" s="659"/>
      <c r="E658" s="2470"/>
      <c r="F658" s="2470"/>
      <c r="G658" s="2470"/>
      <c r="H658" s="2470"/>
      <c r="I658" s="2470"/>
      <c r="J658" s="2470"/>
      <c r="K658" s="2470"/>
      <c r="L658" s="2470"/>
      <c r="M658" s="2470"/>
      <c r="N658" s="2470"/>
      <c r="O658" s="2470"/>
      <c r="P658" s="2470"/>
      <c r="Q658" s="2470"/>
      <c r="R658" s="2470"/>
      <c r="S658" s="2470"/>
      <c r="T658" s="2470"/>
      <c r="U658" s="2470"/>
      <c r="V658" s="2470"/>
      <c r="W658" s="2470"/>
      <c r="X658" s="2470"/>
      <c r="Y658" s="2470"/>
      <c r="Z658" s="2470"/>
      <c r="AA658" s="2470"/>
      <c r="AB658" s="2470"/>
      <c r="AC658" s="2470"/>
      <c r="AD658" s="247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3" t="s">
        <v>1400</v>
      </c>
      <c r="AG660" s="2453"/>
      <c r="AH660" s="2453"/>
      <c r="AI660" s="2453"/>
      <c r="AJ660" s="2453"/>
      <c r="AK660" s="2453"/>
      <c r="AL660" s="2453"/>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3" t="s">
        <v>687</v>
      </c>
      <c r="I663" s="253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8">
        <f>VLOOKUP(H663,AT618:AU620,2,FALSE)</f>
        <v>3</v>
      </c>
      <c r="AK665" s="248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0" t="s">
        <v>1410</v>
      </c>
      <c r="F670" s="2470"/>
      <c r="G670" s="2470"/>
      <c r="H670" s="2470"/>
      <c r="I670" s="2470"/>
      <c r="J670" s="2470"/>
      <c r="K670" s="2470"/>
      <c r="L670" s="2470"/>
      <c r="M670" s="2470"/>
      <c r="N670" s="2470"/>
      <c r="O670" s="2470"/>
      <c r="P670" s="2470"/>
      <c r="Q670" s="2470"/>
      <c r="R670" s="2470"/>
      <c r="S670" s="2470"/>
      <c r="T670" s="2470"/>
      <c r="U670" s="2470"/>
      <c r="V670" s="2470"/>
      <c r="W670" s="2470"/>
      <c r="X670" s="2470"/>
      <c r="Y670" s="2470"/>
      <c r="Z670" s="2470"/>
      <c r="AA670" s="2470"/>
      <c r="AB670" s="2470"/>
      <c r="AC670" s="2470"/>
      <c r="AD670" s="536"/>
      <c r="AE670" s="536"/>
      <c r="AF670" s="2453" t="s">
        <v>1371</v>
      </c>
      <c r="AG670" s="2453"/>
      <c r="AH670" s="2453"/>
      <c r="AI670" s="2453"/>
      <c r="AJ670" s="2453"/>
      <c r="AK670" s="2453"/>
      <c r="AL670" s="2453"/>
      <c r="AN670" s="595"/>
    </row>
    <row r="671" spans="1:42" s="549" customFormat="1" ht="12.75" customHeight="1">
      <c r="B671" s="536"/>
      <c r="C671" s="539"/>
      <c r="D671" s="536"/>
      <c r="E671" s="2470"/>
      <c r="F671" s="2470"/>
      <c r="G671" s="2470"/>
      <c r="H671" s="2470"/>
      <c r="I671" s="2470"/>
      <c r="J671" s="2470"/>
      <c r="K671" s="2470"/>
      <c r="L671" s="2470"/>
      <c r="M671" s="2470"/>
      <c r="N671" s="2470"/>
      <c r="O671" s="2470"/>
      <c r="P671" s="2470"/>
      <c r="Q671" s="2470"/>
      <c r="R671" s="2470"/>
      <c r="S671" s="2470"/>
      <c r="T671" s="2470"/>
      <c r="U671" s="2470"/>
      <c r="V671" s="2470"/>
      <c r="W671" s="2470"/>
      <c r="X671" s="2470"/>
      <c r="Y671" s="2470"/>
      <c r="Z671" s="2470"/>
      <c r="AA671" s="2470"/>
      <c r="AB671" s="2470"/>
      <c r="AC671" s="2470"/>
      <c r="AD671" s="536"/>
      <c r="AE671" s="536"/>
      <c r="AF671" s="536"/>
      <c r="AG671" s="536"/>
      <c r="AH671" s="536"/>
      <c r="AI671" s="536"/>
      <c r="AJ671" s="536"/>
      <c r="AK671" s="536"/>
      <c r="AL671" s="536"/>
      <c r="AN671" s="595"/>
    </row>
    <row r="672" spans="1:42" s="549" customFormat="1" ht="12.75" customHeight="1">
      <c r="B672" s="536"/>
      <c r="C672" s="539"/>
      <c r="D672" s="659"/>
      <c r="E672" s="2470"/>
      <c r="F672" s="2470"/>
      <c r="G672" s="2470"/>
      <c r="H672" s="2470"/>
      <c r="I672" s="2470"/>
      <c r="J672" s="2470"/>
      <c r="K672" s="2470"/>
      <c r="L672" s="2470"/>
      <c r="M672" s="2470"/>
      <c r="N672" s="2470"/>
      <c r="O672" s="2470"/>
      <c r="P672" s="2470"/>
      <c r="Q672" s="2470"/>
      <c r="R672" s="2470"/>
      <c r="S672" s="2470"/>
      <c r="T672" s="2470"/>
      <c r="U672" s="2470"/>
      <c r="V672" s="2470"/>
      <c r="W672" s="2470"/>
      <c r="X672" s="2470"/>
      <c r="Y672" s="2470"/>
      <c r="Z672" s="2470"/>
      <c r="AA672" s="2470"/>
      <c r="AB672" s="2470"/>
      <c r="AC672" s="247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0" t="s">
        <v>1411</v>
      </c>
      <c r="F674" s="2470"/>
      <c r="G674" s="2470"/>
      <c r="H674" s="2470"/>
      <c r="I674" s="2470"/>
      <c r="J674" s="2470"/>
      <c r="K674" s="2470"/>
      <c r="L674" s="2470"/>
      <c r="M674" s="2470"/>
      <c r="N674" s="2470"/>
      <c r="O674" s="2470"/>
      <c r="P674" s="2470"/>
      <c r="Q674" s="2470"/>
      <c r="R674" s="2470"/>
      <c r="S674" s="2470"/>
      <c r="T674" s="2470"/>
      <c r="U674" s="2470"/>
      <c r="V674" s="2470"/>
      <c r="W674" s="2470"/>
      <c r="X674" s="2470"/>
      <c r="Y674" s="2470"/>
      <c r="Z674" s="2470"/>
      <c r="AA674" s="2470"/>
      <c r="AB674" s="2470"/>
      <c r="AC674" s="2470"/>
      <c r="AD674" s="536"/>
      <c r="AE674" s="536"/>
      <c r="AF674" s="2453" t="s">
        <v>1391</v>
      </c>
      <c r="AG674" s="2453"/>
      <c r="AH674" s="2453"/>
      <c r="AI674" s="2453"/>
      <c r="AJ674" s="2453"/>
      <c r="AK674" s="2453"/>
      <c r="AL674" s="2453"/>
      <c r="AN674" s="595"/>
    </row>
    <row r="675" spans="1:42" s="549" customFormat="1" ht="12.75" customHeight="1">
      <c r="B675" s="536"/>
      <c r="C675" s="539"/>
      <c r="D675" s="536"/>
      <c r="E675" s="2470"/>
      <c r="F675" s="2470"/>
      <c r="G675" s="2470"/>
      <c r="H675" s="2470"/>
      <c r="I675" s="2470"/>
      <c r="J675" s="2470"/>
      <c r="K675" s="2470"/>
      <c r="L675" s="2470"/>
      <c r="M675" s="2470"/>
      <c r="N675" s="2470"/>
      <c r="O675" s="2470"/>
      <c r="P675" s="2470"/>
      <c r="Q675" s="2470"/>
      <c r="R675" s="2470"/>
      <c r="S675" s="2470"/>
      <c r="T675" s="2470"/>
      <c r="U675" s="2470"/>
      <c r="V675" s="2470"/>
      <c r="W675" s="2470"/>
      <c r="X675" s="2470"/>
      <c r="Y675" s="2470"/>
      <c r="Z675" s="2470"/>
      <c r="AA675" s="2470"/>
      <c r="AB675" s="2470"/>
      <c r="AC675" s="2470"/>
      <c r="AD675" s="536"/>
      <c r="AE675" s="536"/>
      <c r="AF675" s="536"/>
      <c r="AG675" s="536"/>
      <c r="AH675" s="536"/>
      <c r="AI675" s="536"/>
      <c r="AJ675" s="536"/>
      <c r="AK675" s="536"/>
      <c r="AL675" s="536"/>
      <c r="AN675" s="595"/>
    </row>
    <row r="676" spans="1:42" s="549" customFormat="1" ht="15" customHeight="1">
      <c r="B676" s="536"/>
      <c r="C676" s="539"/>
      <c r="D676" s="659"/>
      <c r="E676" s="2470"/>
      <c r="F676" s="2470"/>
      <c r="G676" s="2470"/>
      <c r="H676" s="2470"/>
      <c r="I676" s="2470"/>
      <c r="J676" s="2470"/>
      <c r="K676" s="2470"/>
      <c r="L676" s="2470"/>
      <c r="M676" s="2470"/>
      <c r="N676" s="2470"/>
      <c r="O676" s="2470"/>
      <c r="P676" s="2470"/>
      <c r="Q676" s="2470"/>
      <c r="R676" s="2470"/>
      <c r="S676" s="2470"/>
      <c r="T676" s="2470"/>
      <c r="U676" s="2470"/>
      <c r="V676" s="2470"/>
      <c r="W676" s="2470"/>
      <c r="X676" s="2470"/>
      <c r="Y676" s="2470"/>
      <c r="Z676" s="2470"/>
      <c r="AA676" s="2470"/>
      <c r="AB676" s="2470"/>
      <c r="AC676" s="247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0" t="s">
        <v>1412</v>
      </c>
      <c r="F678" s="2470"/>
      <c r="G678" s="2470"/>
      <c r="H678" s="2470"/>
      <c r="I678" s="2470"/>
      <c r="J678" s="2470"/>
      <c r="K678" s="2470"/>
      <c r="L678" s="2470"/>
      <c r="M678" s="2470"/>
      <c r="N678" s="2470"/>
      <c r="O678" s="2470"/>
      <c r="P678" s="2470"/>
      <c r="Q678" s="2470"/>
      <c r="R678" s="2470"/>
      <c r="S678" s="2470"/>
      <c r="T678" s="2470"/>
      <c r="U678" s="2470"/>
      <c r="V678" s="2470"/>
      <c r="W678" s="2470"/>
      <c r="X678" s="2470"/>
      <c r="Y678" s="2470"/>
      <c r="Z678" s="2470"/>
      <c r="AA678" s="2470"/>
      <c r="AB678" s="2470"/>
      <c r="AC678" s="2470"/>
      <c r="AD678" s="536"/>
      <c r="AE678" s="536"/>
      <c r="AF678" s="2453" t="s">
        <v>1346</v>
      </c>
      <c r="AG678" s="2453"/>
      <c r="AH678" s="2453"/>
      <c r="AI678" s="2453"/>
      <c r="AJ678" s="2453"/>
      <c r="AK678" s="2453"/>
      <c r="AL678" s="2453"/>
      <c r="AN678" s="595"/>
    </row>
    <row r="679" spans="1:42" s="549" customFormat="1" ht="12.75" customHeight="1">
      <c r="B679" s="536"/>
      <c r="C679" s="927"/>
      <c r="D679" s="536"/>
      <c r="E679" s="2470"/>
      <c r="F679" s="2470"/>
      <c r="G679" s="2470"/>
      <c r="H679" s="2470"/>
      <c r="I679" s="2470"/>
      <c r="J679" s="2470"/>
      <c r="K679" s="2470"/>
      <c r="L679" s="2470"/>
      <c r="M679" s="2470"/>
      <c r="N679" s="2470"/>
      <c r="O679" s="2470"/>
      <c r="P679" s="2470"/>
      <c r="Q679" s="2470"/>
      <c r="R679" s="2470"/>
      <c r="S679" s="2470"/>
      <c r="T679" s="2470"/>
      <c r="U679" s="2470"/>
      <c r="V679" s="2470"/>
      <c r="W679" s="2470"/>
      <c r="X679" s="2470"/>
      <c r="Y679" s="2470"/>
      <c r="Z679" s="2470"/>
      <c r="AA679" s="2470"/>
      <c r="AB679" s="2470"/>
      <c r="AC679" s="2470"/>
      <c r="AD679" s="536"/>
      <c r="AE679" s="2453"/>
      <c r="AF679" s="2453"/>
      <c r="AG679" s="2453"/>
      <c r="AH679" s="2453"/>
      <c r="AI679" s="2453"/>
      <c r="AJ679" s="2453"/>
      <c r="AK679" s="2453"/>
      <c r="AL679" s="592"/>
      <c r="AN679" s="595"/>
      <c r="AO679" s="549" t="s">
        <v>591</v>
      </c>
      <c r="AP679" s="669">
        <v>0</v>
      </c>
    </row>
    <row r="680" spans="1:42" s="549" customFormat="1" ht="12.75" customHeight="1">
      <c r="A680" s="675"/>
      <c r="B680" s="536"/>
      <c r="C680" s="536"/>
      <c r="D680" s="659"/>
      <c r="E680" s="2470"/>
      <c r="F680" s="2470"/>
      <c r="G680" s="2470"/>
      <c r="H680" s="2470"/>
      <c r="I680" s="2470"/>
      <c r="J680" s="2470"/>
      <c r="K680" s="2470"/>
      <c r="L680" s="2470"/>
      <c r="M680" s="2470"/>
      <c r="N680" s="2470"/>
      <c r="O680" s="2470"/>
      <c r="P680" s="2470"/>
      <c r="Q680" s="2470"/>
      <c r="R680" s="2470"/>
      <c r="S680" s="2470"/>
      <c r="T680" s="2470"/>
      <c r="U680" s="2470"/>
      <c r="V680" s="2470"/>
      <c r="W680" s="2470"/>
      <c r="X680" s="2470"/>
      <c r="Y680" s="2470"/>
      <c r="Z680" s="2470"/>
      <c r="AA680" s="2470"/>
      <c r="AB680" s="2470"/>
      <c r="AC680" s="247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0" t="s">
        <v>1413</v>
      </c>
      <c r="F682" s="2470"/>
      <c r="G682" s="2470"/>
      <c r="H682" s="2470"/>
      <c r="I682" s="2470"/>
      <c r="J682" s="2470"/>
      <c r="K682" s="2470"/>
      <c r="L682" s="2470"/>
      <c r="M682" s="2470"/>
      <c r="N682" s="2470"/>
      <c r="O682" s="2470"/>
      <c r="P682" s="2470"/>
      <c r="Q682" s="2470"/>
      <c r="R682" s="2470"/>
      <c r="S682" s="2470"/>
      <c r="T682" s="2470"/>
      <c r="U682" s="2470"/>
      <c r="V682" s="2470"/>
      <c r="W682" s="2470"/>
      <c r="X682" s="2470"/>
      <c r="Y682" s="2470"/>
      <c r="Z682" s="2470"/>
      <c r="AA682" s="2470"/>
      <c r="AB682" s="2470"/>
      <c r="AC682" s="2470"/>
      <c r="AD682" s="536"/>
      <c r="AE682" s="536"/>
      <c r="AF682" s="2453" t="s">
        <v>1391</v>
      </c>
      <c r="AG682" s="2453"/>
      <c r="AH682" s="2453"/>
      <c r="AI682" s="2453"/>
      <c r="AJ682" s="2453"/>
      <c r="AK682" s="2453"/>
      <c r="AL682" s="2453"/>
      <c r="AN682" s="595"/>
    </row>
    <row r="683" spans="1:42" s="549" customFormat="1" ht="12.75" customHeight="1">
      <c r="A683" s="666"/>
      <c r="B683" s="536"/>
      <c r="C683" s="943"/>
      <c r="D683" s="659"/>
      <c r="E683" s="2470"/>
      <c r="F683" s="2470"/>
      <c r="G683" s="2470"/>
      <c r="H683" s="2470"/>
      <c r="I683" s="2470"/>
      <c r="J683" s="2470"/>
      <c r="K683" s="2470"/>
      <c r="L683" s="2470"/>
      <c r="M683" s="2470"/>
      <c r="N683" s="2470"/>
      <c r="O683" s="2470"/>
      <c r="P683" s="2470"/>
      <c r="Q683" s="2470"/>
      <c r="R683" s="2470"/>
      <c r="S683" s="2470"/>
      <c r="T683" s="2470"/>
      <c r="U683" s="2470"/>
      <c r="V683" s="2470"/>
      <c r="W683" s="2470"/>
      <c r="X683" s="2470"/>
      <c r="Y683" s="2470"/>
      <c r="Z683" s="2470"/>
      <c r="AA683" s="2470"/>
      <c r="AB683" s="2470"/>
      <c r="AC683" s="247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0"/>
      <c r="F684" s="2470"/>
      <c r="G684" s="2470"/>
      <c r="H684" s="2470"/>
      <c r="I684" s="2470"/>
      <c r="J684" s="2470"/>
      <c r="K684" s="2470"/>
      <c r="L684" s="2470"/>
      <c r="M684" s="2470"/>
      <c r="N684" s="2470"/>
      <c r="O684" s="2470"/>
      <c r="P684" s="2470"/>
      <c r="Q684" s="2470"/>
      <c r="R684" s="2470"/>
      <c r="S684" s="2470"/>
      <c r="T684" s="2470"/>
      <c r="U684" s="2470"/>
      <c r="V684" s="2470"/>
      <c r="W684" s="2470"/>
      <c r="X684" s="2470"/>
      <c r="Y684" s="2470"/>
      <c r="Z684" s="2470"/>
      <c r="AA684" s="2470"/>
      <c r="AB684" s="2470"/>
      <c r="AC684" s="247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0" t="s">
        <v>1414</v>
      </c>
      <c r="F686" s="2470"/>
      <c r="G686" s="2470"/>
      <c r="H686" s="2470"/>
      <c r="I686" s="2470"/>
      <c r="J686" s="2470"/>
      <c r="K686" s="2470"/>
      <c r="L686" s="2470"/>
      <c r="M686" s="2470"/>
      <c r="N686" s="2470"/>
      <c r="O686" s="2470"/>
      <c r="P686" s="2470"/>
      <c r="Q686" s="2470"/>
      <c r="R686" s="2470"/>
      <c r="S686" s="2470"/>
      <c r="T686" s="2470"/>
      <c r="U686" s="2470"/>
      <c r="V686" s="2470"/>
      <c r="W686" s="2470"/>
      <c r="X686" s="2470"/>
      <c r="Y686" s="2470"/>
      <c r="Z686" s="2470"/>
      <c r="AA686" s="2470"/>
      <c r="AB686" s="2470"/>
      <c r="AC686" s="2470"/>
      <c r="AD686" s="536"/>
      <c r="AE686" s="536"/>
      <c r="AF686" s="2453" t="s">
        <v>1346</v>
      </c>
      <c r="AG686" s="2453"/>
      <c r="AH686" s="2453"/>
      <c r="AI686" s="2453"/>
      <c r="AJ686" s="2453"/>
      <c r="AK686" s="2453"/>
      <c r="AL686" s="2453"/>
      <c r="AM686" s="594"/>
      <c r="AN686" s="595"/>
    </row>
    <row r="687" spans="1:42" s="549" customFormat="1" ht="12.75" customHeight="1">
      <c r="B687" s="536"/>
      <c r="C687" s="927"/>
      <c r="D687" s="659"/>
      <c r="E687" s="2470"/>
      <c r="F687" s="2470"/>
      <c r="G687" s="2470"/>
      <c r="H687" s="2470"/>
      <c r="I687" s="2470"/>
      <c r="J687" s="2470"/>
      <c r="K687" s="2470"/>
      <c r="L687" s="2470"/>
      <c r="M687" s="2470"/>
      <c r="N687" s="2470"/>
      <c r="O687" s="2470"/>
      <c r="P687" s="2470"/>
      <c r="Q687" s="2470"/>
      <c r="R687" s="2470"/>
      <c r="S687" s="2470"/>
      <c r="T687" s="2470"/>
      <c r="U687" s="2470"/>
      <c r="V687" s="2470"/>
      <c r="W687" s="2470"/>
      <c r="X687" s="2470"/>
      <c r="Y687" s="2470"/>
      <c r="Z687" s="2470"/>
      <c r="AA687" s="2470"/>
      <c r="AB687" s="2470"/>
      <c r="AC687" s="2470"/>
      <c r="AD687" s="536"/>
      <c r="AE687" s="536"/>
      <c r="AF687" s="536"/>
      <c r="AG687" s="536"/>
      <c r="AH687" s="536"/>
      <c r="AI687" s="536"/>
      <c r="AJ687" s="536"/>
      <c r="AK687" s="536"/>
      <c r="AL687" s="536"/>
      <c r="AM687" s="594"/>
      <c r="AN687" s="595"/>
    </row>
    <row r="688" spans="1:42" s="549" customFormat="1" ht="12.75" customHeight="1">
      <c r="B688" s="536"/>
      <c r="C688" s="927"/>
      <c r="D688" s="659"/>
      <c r="E688" s="2470"/>
      <c r="F688" s="2470"/>
      <c r="G688" s="2470"/>
      <c r="H688" s="2470"/>
      <c r="I688" s="2470"/>
      <c r="J688" s="2470"/>
      <c r="K688" s="2470"/>
      <c r="L688" s="2470"/>
      <c r="M688" s="2470"/>
      <c r="N688" s="2470"/>
      <c r="O688" s="2470"/>
      <c r="P688" s="2470"/>
      <c r="Q688" s="2470"/>
      <c r="R688" s="2470"/>
      <c r="S688" s="2470"/>
      <c r="T688" s="2470"/>
      <c r="U688" s="2470"/>
      <c r="V688" s="2470"/>
      <c r="W688" s="2470"/>
      <c r="X688" s="2470"/>
      <c r="Y688" s="2470"/>
      <c r="Z688" s="2470"/>
      <c r="AA688" s="2470"/>
      <c r="AB688" s="2470"/>
      <c r="AC688" s="247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0" t="s">
        <v>1415</v>
      </c>
      <c r="F690" s="2470"/>
      <c r="G690" s="2470"/>
      <c r="H690" s="2470"/>
      <c r="I690" s="2470"/>
      <c r="J690" s="2470"/>
      <c r="K690" s="2470"/>
      <c r="L690" s="2470"/>
      <c r="M690" s="2470"/>
      <c r="N690" s="2470"/>
      <c r="O690" s="2470"/>
      <c r="P690" s="2470"/>
      <c r="Q690" s="2470"/>
      <c r="R690" s="2470"/>
      <c r="S690" s="2470"/>
      <c r="T690" s="2470"/>
      <c r="U690" s="2470"/>
      <c r="V690" s="2470"/>
      <c r="W690" s="2470"/>
      <c r="X690" s="2470"/>
      <c r="Y690" s="2470"/>
      <c r="Z690" s="2470"/>
      <c r="AA690" s="2470"/>
      <c r="AB690" s="2470"/>
      <c r="AC690" s="2470"/>
      <c r="AD690" s="536"/>
      <c r="AE690" s="536"/>
      <c r="AF690" s="2453" t="s">
        <v>1400</v>
      </c>
      <c r="AG690" s="2453"/>
      <c r="AH690" s="2453"/>
      <c r="AI690" s="2453"/>
      <c r="AJ690" s="2453"/>
      <c r="AK690" s="2453"/>
      <c r="AL690" s="2453"/>
      <c r="AM690" s="594"/>
      <c r="AN690" s="595"/>
    </row>
    <row r="691" spans="1:50" s="549" customFormat="1" ht="12.75" customHeight="1">
      <c r="A691" s="675"/>
      <c r="B691" s="536"/>
      <c r="C691" s="927"/>
      <c r="D691" s="659"/>
      <c r="E691" s="2470"/>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247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247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0" t="s">
        <v>1416</v>
      </c>
      <c r="F694" s="2470"/>
      <c r="G694" s="2470"/>
      <c r="H694" s="2470"/>
      <c r="I694" s="2470"/>
      <c r="J694" s="2470"/>
      <c r="K694" s="2470"/>
      <c r="L694" s="2470"/>
      <c r="M694" s="2470"/>
      <c r="N694" s="2470"/>
      <c r="O694" s="2470"/>
      <c r="P694" s="2470"/>
      <c r="Q694" s="2470"/>
      <c r="R694" s="2470"/>
      <c r="S694" s="2470"/>
      <c r="T694" s="2470"/>
      <c r="U694" s="2470"/>
      <c r="V694" s="2470"/>
      <c r="W694" s="2470"/>
      <c r="X694" s="2470"/>
      <c r="Y694" s="2470"/>
      <c r="Z694" s="2470"/>
      <c r="AA694" s="2470"/>
      <c r="AB694" s="2470"/>
      <c r="AC694" s="2470"/>
      <c r="AD694" s="536"/>
      <c r="AE694" s="536"/>
      <c r="AF694" s="2453" t="s">
        <v>1417</v>
      </c>
      <c r="AG694" s="2453"/>
      <c r="AH694" s="2453"/>
      <c r="AI694" s="2453"/>
      <c r="AJ694" s="2453"/>
      <c r="AK694" s="2453"/>
      <c r="AL694" s="2453"/>
      <c r="AM694" s="594"/>
      <c r="AN694" s="595"/>
      <c r="AO694" s="609" t="s">
        <v>687</v>
      </c>
      <c r="AP694" s="549">
        <v>3</v>
      </c>
    </row>
    <row r="695" spans="1:50" s="549" customFormat="1" ht="12.75" customHeight="1">
      <c r="A695" s="675"/>
      <c r="B695" s="536"/>
      <c r="C695" s="927"/>
      <c r="D695" s="659"/>
      <c r="E695" s="2470"/>
      <c r="F695" s="2470"/>
      <c r="G695" s="2470"/>
      <c r="H695" s="2470"/>
      <c r="I695" s="2470"/>
      <c r="J695" s="2470"/>
      <c r="K695" s="2470"/>
      <c r="L695" s="2470"/>
      <c r="M695" s="2470"/>
      <c r="N695" s="2470"/>
      <c r="O695" s="2470"/>
      <c r="P695" s="2470"/>
      <c r="Q695" s="2470"/>
      <c r="R695" s="2470"/>
      <c r="S695" s="2470"/>
      <c r="T695" s="2470"/>
      <c r="U695" s="2470"/>
      <c r="V695" s="2470"/>
      <c r="W695" s="2470"/>
      <c r="X695" s="2470"/>
      <c r="Y695" s="2470"/>
      <c r="Z695" s="2470"/>
      <c r="AA695" s="2470"/>
      <c r="AB695" s="2470"/>
      <c r="AC695" s="247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0"/>
      <c r="F696" s="2470"/>
      <c r="G696" s="2470"/>
      <c r="H696" s="2470"/>
      <c r="I696" s="2470"/>
      <c r="J696" s="2470"/>
      <c r="K696" s="2470"/>
      <c r="L696" s="2470"/>
      <c r="M696" s="2470"/>
      <c r="N696" s="2470"/>
      <c r="O696" s="2470"/>
      <c r="P696" s="2470"/>
      <c r="Q696" s="2470"/>
      <c r="R696" s="2470"/>
      <c r="S696" s="2470"/>
      <c r="T696" s="2470"/>
      <c r="U696" s="2470"/>
      <c r="V696" s="2470"/>
      <c r="W696" s="2470"/>
      <c r="X696" s="2470"/>
      <c r="Y696" s="2470"/>
      <c r="Z696" s="2470"/>
      <c r="AA696" s="2470"/>
      <c r="AB696" s="2470"/>
      <c r="AC696" s="247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3" t="s">
        <v>687</v>
      </c>
      <c r="I698" s="253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8">
        <f>VLOOKUP($H$698,$AO$646:$AP$653,2,FALSE)</f>
        <v>5</v>
      </c>
      <c r="AK700" s="248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95</v>
      </c>
    </row>
    <row r="704" spans="1:50" s="549" customFormat="1" ht="12.75" customHeight="1">
      <c r="A704" s="675"/>
      <c r="B704" s="536"/>
      <c r="C704" s="944"/>
      <c r="D704" s="659" t="s">
        <v>687</v>
      </c>
      <c r="E704" s="2540" t="s">
        <v>2145</v>
      </c>
      <c r="F704" s="2540"/>
      <c r="G704" s="2540"/>
      <c r="H704" s="2540"/>
      <c r="I704" s="2540"/>
      <c r="J704" s="2540"/>
      <c r="K704" s="2540"/>
      <c r="L704" s="2540"/>
      <c r="M704" s="2540"/>
      <c r="N704" s="2540"/>
      <c r="O704" s="2540"/>
      <c r="P704" s="2540"/>
      <c r="Q704" s="2540"/>
      <c r="R704" s="2540"/>
      <c r="S704" s="2540"/>
      <c r="T704" s="2540"/>
      <c r="U704" s="2540"/>
      <c r="V704" s="2540"/>
      <c r="W704" s="2540"/>
      <c r="X704" s="2540"/>
      <c r="Y704" s="2540"/>
      <c r="Z704" s="2540"/>
      <c r="AA704" s="2540"/>
      <c r="AB704" s="2540"/>
      <c r="AC704" s="536"/>
      <c r="AD704" s="536"/>
      <c r="AE704" s="536"/>
      <c r="AF704" s="2453" t="s">
        <v>1346</v>
      </c>
      <c r="AG704" s="2453"/>
      <c r="AH704" s="2453"/>
      <c r="AI704" s="2453"/>
      <c r="AJ704" s="2453"/>
      <c r="AK704" s="2453"/>
      <c r="AL704" s="2453"/>
      <c r="AN704" s="595"/>
      <c r="AW704" s="22" t="s">
        <v>2140</v>
      </c>
      <c r="AX704" s="549">
        <f>Application!DE761</f>
        <v>24</v>
      </c>
    </row>
    <row r="705" spans="1:51" s="549" customFormat="1" ht="12.75" customHeight="1">
      <c r="A705" s="675"/>
      <c r="B705" s="536"/>
      <c r="C705" s="944"/>
      <c r="D705" s="659"/>
      <c r="E705" s="2540"/>
      <c r="F705" s="2540"/>
      <c r="G705" s="2540"/>
      <c r="H705" s="2540"/>
      <c r="I705" s="2540"/>
      <c r="J705" s="2540"/>
      <c r="K705" s="2540"/>
      <c r="L705" s="2540"/>
      <c r="M705" s="2540"/>
      <c r="N705" s="2540"/>
      <c r="O705" s="2540"/>
      <c r="P705" s="2540"/>
      <c r="Q705" s="2540"/>
      <c r="R705" s="2540"/>
      <c r="S705" s="2540"/>
      <c r="T705" s="2540"/>
      <c r="U705" s="2540"/>
      <c r="V705" s="2540"/>
      <c r="W705" s="2540"/>
      <c r="X705" s="2540"/>
      <c r="Y705" s="2540"/>
      <c r="Z705" s="2540"/>
      <c r="AA705" s="2540"/>
      <c r="AB705" s="2540"/>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70" t="s">
        <v>2090</v>
      </c>
      <c r="F707" s="2470"/>
      <c r="G707" s="2470"/>
      <c r="H707" s="2470"/>
      <c r="I707" s="2470"/>
      <c r="J707" s="2470"/>
      <c r="K707" s="2470"/>
      <c r="L707" s="2470"/>
      <c r="M707" s="2470"/>
      <c r="N707" s="2470"/>
      <c r="O707" s="2470"/>
      <c r="P707" s="2470"/>
      <c r="Q707" s="2470"/>
      <c r="R707" s="2470"/>
      <c r="S707" s="2470"/>
      <c r="T707" s="2470"/>
      <c r="U707" s="2470"/>
      <c r="V707" s="2470"/>
      <c r="W707" s="2470"/>
      <c r="X707" s="2470"/>
      <c r="Y707" s="2470"/>
      <c r="Z707" s="2470"/>
      <c r="AA707" s="2470"/>
      <c r="AB707" s="2470"/>
      <c r="AC707" s="536"/>
      <c r="AD707" s="536"/>
      <c r="AE707" s="536"/>
      <c r="AF707" s="2453" t="s">
        <v>1346</v>
      </c>
      <c r="AG707" s="2453"/>
      <c r="AH707" s="2453"/>
      <c r="AI707" s="2453"/>
      <c r="AJ707" s="2453"/>
      <c r="AK707" s="2453"/>
      <c r="AL707" s="2453"/>
      <c r="AN707" s="595"/>
      <c r="AW707" s="22" t="s">
        <v>2143</v>
      </c>
      <c r="AX707" s="549">
        <f>AX704+AX705+AX706</f>
        <v>24</v>
      </c>
    </row>
    <row r="708" spans="1:51" s="549" customFormat="1" ht="12.75" customHeight="1">
      <c r="B708" s="536"/>
      <c r="C708" s="936"/>
      <c r="D708" s="659"/>
      <c r="E708" s="2470"/>
      <c r="F708" s="2470"/>
      <c r="G708" s="2470"/>
      <c r="H708" s="2470"/>
      <c r="I708" s="2470"/>
      <c r="J708" s="2470"/>
      <c r="K708" s="2470"/>
      <c r="L708" s="2470"/>
      <c r="M708" s="2470"/>
      <c r="N708" s="2470"/>
      <c r="O708" s="2470"/>
      <c r="P708" s="2470"/>
      <c r="Q708" s="2470"/>
      <c r="R708" s="2470"/>
      <c r="S708" s="2470"/>
      <c r="T708" s="2470"/>
      <c r="U708" s="2470"/>
      <c r="V708" s="2470"/>
      <c r="W708" s="2470"/>
      <c r="X708" s="2470"/>
      <c r="Y708" s="2470"/>
      <c r="Z708" s="2470"/>
      <c r="AA708" s="2470"/>
      <c r="AB708" s="2470"/>
      <c r="AC708" s="536"/>
      <c r="AD708" s="536"/>
      <c r="AE708" s="614"/>
      <c r="AF708" s="536"/>
      <c r="AG708" s="536"/>
      <c r="AH708" s="536"/>
      <c r="AI708" s="536"/>
      <c r="AJ708" s="536"/>
      <c r="AK708" s="536"/>
      <c r="AL708" s="536"/>
      <c r="AN708" s="595"/>
      <c r="AO708" s="2539" t="b">
        <f>IF(Application!D211="Special Needs",IF(AY708&gt;=0.25,TRUE,FALSE),IF(AX708&gt;=0.25,TRUE,FALSE))</f>
        <v>1</v>
      </c>
      <c r="AP708" s="2539"/>
      <c r="AW708" s="22" t="s">
        <v>2144</v>
      </c>
      <c r="AX708" s="549">
        <f>IFERROR(AX707/AX703,0)</f>
        <v>0.25263157894736843</v>
      </c>
      <c r="AY708" s="549">
        <f>IFERROR(AX707/(AX703-AX702),0)</f>
        <v>0.25263157894736843</v>
      </c>
    </row>
    <row r="709" spans="1:51" s="549" customFormat="1" ht="12.75" customHeight="1">
      <c r="B709" s="536"/>
      <c r="C709" s="936"/>
      <c r="E709" s="2470"/>
      <c r="F709" s="2470"/>
      <c r="G709" s="2470"/>
      <c r="H709" s="2470"/>
      <c r="I709" s="2470"/>
      <c r="J709" s="2470"/>
      <c r="K709" s="2470"/>
      <c r="L709" s="2470"/>
      <c r="M709" s="2470"/>
      <c r="N709" s="2470"/>
      <c r="O709" s="2470"/>
      <c r="P709" s="2470"/>
      <c r="Q709" s="2470"/>
      <c r="R709" s="2470"/>
      <c r="S709" s="2470"/>
      <c r="T709" s="2470"/>
      <c r="U709" s="2470"/>
      <c r="V709" s="2470"/>
      <c r="W709" s="2470"/>
      <c r="X709" s="2470"/>
      <c r="Y709" s="2470"/>
      <c r="Z709" s="2470"/>
      <c r="AA709" s="2470"/>
      <c r="AB709" s="2470"/>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0"/>
      <c r="F710" s="2470"/>
      <c r="G710" s="2470"/>
      <c r="H710" s="2470"/>
      <c r="I710" s="2470"/>
      <c r="J710" s="2470"/>
      <c r="K710" s="2470"/>
      <c r="L710" s="2470"/>
      <c r="M710" s="2470"/>
      <c r="N710" s="2470"/>
      <c r="O710" s="2470"/>
      <c r="P710" s="2470"/>
      <c r="Q710" s="2470"/>
      <c r="R710" s="2470"/>
      <c r="S710" s="2470"/>
      <c r="T710" s="2470"/>
      <c r="U710" s="2470"/>
      <c r="V710" s="2470"/>
      <c r="W710" s="2470"/>
      <c r="X710" s="2470"/>
      <c r="Y710" s="2470"/>
      <c r="Z710" s="2470"/>
      <c r="AA710" s="2470"/>
      <c r="AB710" s="247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0" t="s">
        <v>2091</v>
      </c>
      <c r="F712" s="2470"/>
      <c r="G712" s="2470"/>
      <c r="H712" s="2470"/>
      <c r="I712" s="2470"/>
      <c r="J712" s="2470"/>
      <c r="K712" s="2470"/>
      <c r="L712" s="2470"/>
      <c r="M712" s="2470"/>
      <c r="N712" s="2470"/>
      <c r="O712" s="2470"/>
      <c r="P712" s="2470"/>
      <c r="Q712" s="2470"/>
      <c r="R712" s="2470"/>
      <c r="S712" s="2470"/>
      <c r="T712" s="2470"/>
      <c r="U712" s="2470"/>
      <c r="V712" s="2470"/>
      <c r="W712" s="2470"/>
      <c r="X712" s="2470"/>
      <c r="Y712" s="2470"/>
      <c r="Z712" s="2470"/>
      <c r="AA712" s="2470"/>
      <c r="AB712" s="2470"/>
      <c r="AC712" s="536"/>
      <c r="AD712" s="536"/>
      <c r="AE712" s="536"/>
      <c r="AF712" s="2453" t="s">
        <v>1400</v>
      </c>
      <c r="AG712" s="2453"/>
      <c r="AH712" s="2453"/>
      <c r="AI712" s="2453"/>
      <c r="AJ712" s="2453"/>
      <c r="AK712" s="2453"/>
      <c r="AL712" s="2453"/>
      <c r="AN712" s="595"/>
      <c r="AO712" s="609" t="s">
        <v>509</v>
      </c>
      <c r="AP712" s="549">
        <v>1</v>
      </c>
    </row>
    <row r="713" spans="1:51" s="549" customFormat="1" ht="12" customHeight="1">
      <c r="B713" s="536"/>
      <c r="C713" s="927"/>
      <c r="E713" s="2470"/>
      <c r="F713" s="2470"/>
      <c r="G713" s="2470"/>
      <c r="H713" s="2470"/>
      <c r="I713" s="2470"/>
      <c r="J713" s="2470"/>
      <c r="K713" s="2470"/>
      <c r="L713" s="2470"/>
      <c r="M713" s="2470"/>
      <c r="N713" s="2470"/>
      <c r="O713" s="2470"/>
      <c r="P713" s="2470"/>
      <c r="Q713" s="2470"/>
      <c r="R713" s="2470"/>
      <c r="S713" s="2470"/>
      <c r="T713" s="2470"/>
      <c r="U713" s="2470"/>
      <c r="V713" s="2470"/>
      <c r="W713" s="2470"/>
      <c r="X713" s="2470"/>
      <c r="Y713" s="2470"/>
      <c r="Z713" s="2470"/>
      <c r="AA713" s="2470"/>
      <c r="AB713" s="2470"/>
      <c r="AC713" s="536"/>
      <c r="AD713" s="536"/>
      <c r="AE713" s="614"/>
      <c r="AF713" s="536"/>
      <c r="AG713" s="536"/>
      <c r="AH713" s="536"/>
      <c r="AI713" s="536"/>
      <c r="AJ713" s="536"/>
      <c r="AK713" s="536"/>
      <c r="AL713" s="536"/>
      <c r="AN713" s="595"/>
    </row>
    <row r="714" spans="1:51" s="549" customFormat="1" ht="12" customHeight="1">
      <c r="B714" s="536"/>
      <c r="C714" s="927"/>
      <c r="D714" s="536"/>
      <c r="E714" s="2470"/>
      <c r="F714" s="2470"/>
      <c r="G714" s="2470"/>
      <c r="H714" s="2470"/>
      <c r="I714" s="2470"/>
      <c r="J714" s="2470"/>
      <c r="K714" s="2470"/>
      <c r="L714" s="2470"/>
      <c r="M714" s="2470"/>
      <c r="N714" s="2470"/>
      <c r="O714" s="2470"/>
      <c r="P714" s="2470"/>
      <c r="Q714" s="2470"/>
      <c r="R714" s="2470"/>
      <c r="S714" s="2470"/>
      <c r="T714" s="2470"/>
      <c r="U714" s="2470"/>
      <c r="V714" s="2470"/>
      <c r="W714" s="2470"/>
      <c r="X714" s="2470"/>
      <c r="Y714" s="2470"/>
      <c r="Z714" s="2470"/>
      <c r="AA714" s="2470"/>
      <c r="AB714" s="2470"/>
      <c r="AC714" s="536"/>
      <c r="AD714" s="536"/>
      <c r="AE714" s="614"/>
      <c r="AF714" s="536"/>
      <c r="AG714" s="536"/>
      <c r="AH714" s="536"/>
      <c r="AI714" s="536"/>
      <c r="AJ714" s="536"/>
      <c r="AK714" s="536"/>
      <c r="AL714" s="536"/>
      <c r="AN714" s="595"/>
    </row>
    <row r="715" spans="1:51" s="549" customFormat="1" ht="12" customHeight="1">
      <c r="B715" s="536"/>
      <c r="C715" s="927"/>
      <c r="D715" s="536"/>
      <c r="E715" s="2470"/>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6"/>
      <c r="AD715" s="536"/>
      <c r="AE715" s="614"/>
      <c r="AF715" s="536"/>
      <c r="AG715" s="536"/>
      <c r="AH715" s="536"/>
      <c r="AI715" s="536"/>
      <c r="AJ715" s="536"/>
      <c r="AK715" s="536"/>
      <c r="AL715" s="536"/>
      <c r="AN715" s="595"/>
    </row>
    <row r="716" spans="1:51" s="568" customFormat="1" ht="13" customHeight="1">
      <c r="A716" s="549"/>
      <c r="B716" s="536"/>
      <c r="C716" s="927"/>
      <c r="D716" s="536"/>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0" t="s">
        <v>1682</v>
      </c>
      <c r="F718" s="2470"/>
      <c r="G718" s="2470"/>
      <c r="H718" s="2470"/>
      <c r="I718" s="2470"/>
      <c r="J718" s="2470"/>
      <c r="K718" s="2470"/>
      <c r="L718" s="2470"/>
      <c r="M718" s="2470"/>
      <c r="N718" s="2470"/>
      <c r="O718" s="2470"/>
      <c r="P718" s="2470"/>
      <c r="Q718" s="2470"/>
      <c r="R718" s="2470"/>
      <c r="S718" s="2470"/>
      <c r="T718" s="2470"/>
      <c r="U718" s="2470"/>
      <c r="V718" s="2470"/>
      <c r="W718" s="2470"/>
      <c r="X718" s="2470"/>
      <c r="Y718" s="2470"/>
      <c r="Z718" s="2470"/>
      <c r="AA718" s="2470"/>
      <c r="AB718" s="2470"/>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0"/>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3" t="s">
        <v>591</v>
      </c>
      <c r="I722" s="253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8">
        <f>VLOOKUP($H$722,$AO$716:$AP$719,2,FALSE)</f>
        <v>0</v>
      </c>
      <c r="AK724" s="248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1" t="s">
        <v>1684</v>
      </c>
      <c r="F728" s="2541"/>
      <c r="G728" s="2541"/>
      <c r="H728" s="2541"/>
      <c r="I728" s="2541"/>
      <c r="J728" s="2541"/>
      <c r="K728" s="2541"/>
      <c r="L728" s="2541"/>
      <c r="M728" s="2541"/>
      <c r="N728" s="2541"/>
      <c r="O728" s="2541"/>
      <c r="P728" s="2541"/>
      <c r="Q728" s="2541"/>
      <c r="R728" s="2541"/>
      <c r="S728" s="2541"/>
      <c r="T728" s="2541"/>
      <c r="U728" s="2541"/>
      <c r="V728" s="2541"/>
      <c r="W728" s="2541"/>
      <c r="X728" s="2541"/>
      <c r="Y728" s="2541"/>
      <c r="Z728" s="2541"/>
      <c r="AA728" s="2541"/>
      <c r="AB728" s="2541"/>
      <c r="AC728" s="536"/>
      <c r="AD728" s="536"/>
      <c r="AE728" s="536"/>
      <c r="AF728" s="2453" t="s">
        <v>1346</v>
      </c>
      <c r="AG728" s="2453"/>
      <c r="AH728" s="2453"/>
      <c r="AI728" s="2453"/>
      <c r="AJ728" s="2453"/>
      <c r="AK728" s="2453"/>
      <c r="AL728" s="2453"/>
      <c r="AM728" s="549"/>
      <c r="AN728" s="680"/>
      <c r="AP728" s="568" t="s">
        <v>1424</v>
      </c>
    </row>
    <row r="729" spans="1:43" s="568" customFormat="1" ht="11.9" customHeight="1">
      <c r="A729" s="549"/>
      <c r="B729" s="536"/>
      <c r="C729" s="929"/>
      <c r="D729" s="659"/>
      <c r="E729" s="2541"/>
      <c r="F729" s="2541"/>
      <c r="G729" s="2541"/>
      <c r="H729" s="2541"/>
      <c r="I729" s="2541"/>
      <c r="J729" s="2541"/>
      <c r="K729" s="2541"/>
      <c r="L729" s="2541"/>
      <c r="M729" s="2541"/>
      <c r="N729" s="2541"/>
      <c r="O729" s="2541"/>
      <c r="P729" s="2541"/>
      <c r="Q729" s="2541"/>
      <c r="R729" s="2541"/>
      <c r="S729" s="2541"/>
      <c r="T729" s="2541"/>
      <c r="U729" s="2541"/>
      <c r="V729" s="2541"/>
      <c r="W729" s="2541"/>
      <c r="X729" s="2541"/>
      <c r="Y729" s="2541"/>
      <c r="Z729" s="2541"/>
      <c r="AA729" s="2541"/>
      <c r="AB729" s="2541"/>
      <c r="AC729" s="536"/>
      <c r="AD729" s="536"/>
      <c r="AE729" s="536"/>
      <c r="AF729" s="536"/>
      <c r="AG729" s="536"/>
      <c r="AH729" s="536"/>
      <c r="AI729" s="536"/>
      <c r="AJ729" s="536"/>
      <c r="AK729" s="536"/>
      <c r="AL729" s="536"/>
      <c r="AM729" s="549"/>
      <c r="AN729" s="680"/>
      <c r="AP729" s="568" t="s">
        <v>1425</v>
      </c>
    </row>
    <row r="730" spans="1:43" s="568" customFormat="1" ht="14.15" customHeight="1">
      <c r="A730" s="549"/>
      <c r="B730" s="608"/>
      <c r="C730" s="927"/>
      <c r="D730" s="659"/>
      <c r="E730" s="2541"/>
      <c r="F730" s="2541"/>
      <c r="G730" s="2541"/>
      <c r="H730" s="2541"/>
      <c r="I730" s="2541"/>
      <c r="J730" s="2541"/>
      <c r="K730" s="2541"/>
      <c r="L730" s="2541"/>
      <c r="M730" s="2541"/>
      <c r="N730" s="2541"/>
      <c r="O730" s="2541"/>
      <c r="P730" s="2541"/>
      <c r="Q730" s="2541"/>
      <c r="R730" s="2541"/>
      <c r="S730" s="2541"/>
      <c r="T730" s="2541"/>
      <c r="U730" s="2541"/>
      <c r="V730" s="2541"/>
      <c r="W730" s="2541"/>
      <c r="X730" s="2541"/>
      <c r="Y730" s="2541"/>
      <c r="Z730" s="2541"/>
      <c r="AA730" s="2541"/>
      <c r="AB730" s="2541"/>
      <c r="AC730" s="536"/>
      <c r="AD730" s="536"/>
      <c r="AE730" s="614"/>
      <c r="AF730" s="536"/>
      <c r="AG730" s="536"/>
      <c r="AH730" s="536"/>
      <c r="AI730" s="536"/>
      <c r="AJ730" s="536"/>
      <c r="AK730" s="536"/>
      <c r="AL730" s="536"/>
      <c r="AM730" s="549"/>
      <c r="AN730" s="680"/>
      <c r="AP730" s="568" t="s">
        <v>1426</v>
      </c>
    </row>
    <row r="731" spans="1:43" s="568" customFormat="1" ht="14.1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5" customHeight="1">
      <c r="A732" s="549"/>
      <c r="B732" s="536"/>
      <c r="C732" s="927"/>
      <c r="D732" s="659" t="s">
        <v>509</v>
      </c>
      <c r="E732" s="2542" t="s">
        <v>1427</v>
      </c>
      <c r="F732" s="2542"/>
      <c r="G732" s="2542"/>
      <c r="H732" s="2542"/>
      <c r="I732" s="2542"/>
      <c r="J732" s="2542"/>
      <c r="K732" s="2542"/>
      <c r="L732" s="2542"/>
      <c r="M732" s="2542"/>
      <c r="N732" s="2542"/>
      <c r="O732" s="2542"/>
      <c r="P732" s="2542"/>
      <c r="Q732" s="2542"/>
      <c r="R732" s="2542"/>
      <c r="S732" s="2542"/>
      <c r="T732" s="2542"/>
      <c r="U732" s="2542"/>
      <c r="V732" s="2542"/>
      <c r="W732" s="2542"/>
      <c r="X732" s="2542"/>
      <c r="Y732" s="2542"/>
      <c r="Z732" s="2542"/>
      <c r="AA732" s="2542"/>
      <c r="AB732" s="2542"/>
      <c r="AC732" s="536"/>
      <c r="AD732" s="536"/>
      <c r="AE732" s="536"/>
      <c r="AF732" s="2453" t="s">
        <v>1400</v>
      </c>
      <c r="AG732" s="2453"/>
      <c r="AH732" s="2453"/>
      <c r="AI732" s="2453"/>
      <c r="AJ732" s="2453"/>
      <c r="AK732" s="2453"/>
      <c r="AL732" s="2453"/>
      <c r="AM732" s="549"/>
      <c r="AN732" s="681"/>
    </row>
    <row r="733" spans="1:43" s="568" customFormat="1" ht="12.75" customHeight="1">
      <c r="A733" s="549"/>
      <c r="B733" s="536"/>
      <c r="C733" s="929"/>
      <c r="D733" s="536"/>
      <c r="E733" s="2542"/>
      <c r="F733" s="2542"/>
      <c r="G733" s="2542"/>
      <c r="H733" s="2542"/>
      <c r="I733" s="2542"/>
      <c r="J733" s="2542"/>
      <c r="K733" s="2542"/>
      <c r="L733" s="2542"/>
      <c r="M733" s="2542"/>
      <c r="N733" s="2542"/>
      <c r="O733" s="2542"/>
      <c r="P733" s="2542"/>
      <c r="Q733" s="2542"/>
      <c r="R733" s="2542"/>
      <c r="S733" s="2542"/>
      <c r="T733" s="2542"/>
      <c r="U733" s="2542"/>
      <c r="V733" s="2542"/>
      <c r="W733" s="2542"/>
      <c r="X733" s="2542"/>
      <c r="Y733" s="2542"/>
      <c r="Z733" s="2542"/>
      <c r="AA733" s="2542"/>
      <c r="AB733" s="2542"/>
      <c r="AC733" s="536"/>
      <c r="AD733" s="536"/>
      <c r="AE733" s="536"/>
      <c r="AF733" s="536"/>
      <c r="AG733" s="536"/>
      <c r="AH733" s="536"/>
      <c r="AI733" s="536"/>
      <c r="AJ733" s="536"/>
      <c r="AK733" s="536"/>
      <c r="AL733" s="536"/>
      <c r="AM733" s="549"/>
      <c r="AN733" s="680"/>
      <c r="AP733" s="549" t="s">
        <v>591</v>
      </c>
      <c r="AQ733" s="669">
        <v>0</v>
      </c>
    </row>
    <row r="734" spans="1:43" s="568" customFormat="1" ht="14.15" customHeight="1">
      <c r="A734" s="549"/>
      <c r="B734" s="536"/>
      <c r="C734" s="929"/>
      <c r="D734" s="536"/>
      <c r="E734" s="2542"/>
      <c r="F734" s="2542"/>
      <c r="G734" s="2542"/>
      <c r="H734" s="2542"/>
      <c r="I734" s="2542"/>
      <c r="J734" s="2542"/>
      <c r="K734" s="2542"/>
      <c r="L734" s="2542"/>
      <c r="M734" s="2542"/>
      <c r="N734" s="2542"/>
      <c r="O734" s="2542"/>
      <c r="P734" s="2542"/>
      <c r="Q734" s="2542"/>
      <c r="R734" s="2542"/>
      <c r="S734" s="2542"/>
      <c r="T734" s="2542"/>
      <c r="U734" s="2542"/>
      <c r="V734" s="2542"/>
      <c r="W734" s="2542"/>
      <c r="X734" s="2542"/>
      <c r="Y734" s="2542"/>
      <c r="Z734" s="2542"/>
      <c r="AA734" s="2542"/>
      <c r="AB734" s="2542"/>
      <c r="AC734" s="536"/>
      <c r="AD734" s="536"/>
      <c r="AE734" s="536"/>
      <c r="AF734" s="536"/>
      <c r="AG734" s="536"/>
      <c r="AH734" s="536"/>
      <c r="AI734" s="536"/>
      <c r="AJ734" s="536"/>
      <c r="AK734" s="536"/>
      <c r="AL734" s="536"/>
      <c r="AM734" s="549"/>
      <c r="AN734" s="680"/>
      <c r="AP734" s="609" t="s">
        <v>687</v>
      </c>
      <c r="AQ734" s="549">
        <v>3</v>
      </c>
    </row>
    <row r="735" spans="1:43" s="568" customFormat="1" ht="14.1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5" customHeight="1">
      <c r="A736" s="549"/>
      <c r="B736" s="536"/>
      <c r="C736" s="929"/>
      <c r="D736" s="536" t="s">
        <v>1392</v>
      </c>
      <c r="E736" s="932"/>
      <c r="F736" s="932"/>
      <c r="G736" s="932"/>
      <c r="H736" s="2533" t="s">
        <v>591</v>
      </c>
      <c r="I736" s="253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8">
        <f>VLOOKUP($H$736,$AP$733:$AQ$735,2,FALSE)</f>
        <v>0</v>
      </c>
      <c r="AK738" s="2480"/>
      <c r="AL738" s="593"/>
      <c r="AM738" s="549"/>
      <c r="AN738" s="680"/>
      <c r="AP738" s="2478"/>
      <c r="AQ738" s="248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70" t="s">
        <v>1685</v>
      </c>
      <c r="F742" s="2470"/>
      <c r="G742" s="2470"/>
      <c r="H742" s="2470"/>
      <c r="I742" s="2470"/>
      <c r="J742" s="2470"/>
      <c r="K742" s="2470"/>
      <c r="L742" s="2470"/>
      <c r="M742" s="2470"/>
      <c r="N742" s="2470"/>
      <c r="O742" s="2470"/>
      <c r="P742" s="2470"/>
      <c r="Q742" s="2470"/>
      <c r="R742" s="2470"/>
      <c r="S742" s="2470"/>
      <c r="T742" s="2470"/>
      <c r="U742" s="2470"/>
      <c r="V742" s="2470"/>
      <c r="W742" s="2470"/>
      <c r="X742" s="2470"/>
      <c r="Y742" s="2470"/>
      <c r="Z742" s="2470"/>
      <c r="AA742" s="2470"/>
      <c r="AB742" s="2470"/>
      <c r="AC742" s="536"/>
      <c r="AD742" s="536"/>
      <c r="AE742" s="536"/>
      <c r="AF742" s="2453" t="s">
        <v>1346</v>
      </c>
      <c r="AG742" s="2453"/>
      <c r="AH742" s="2453"/>
      <c r="AI742" s="2453"/>
      <c r="AJ742" s="2453"/>
      <c r="AK742" s="2453"/>
      <c r="AL742" s="2453"/>
      <c r="AM742" s="549"/>
      <c r="AN742" s="680"/>
      <c r="AT742" s="14"/>
      <c r="AU742" s="14"/>
      <c r="AV742" s="14"/>
      <c r="AW742" s="14"/>
      <c r="AX742" s="14"/>
      <c r="AY742" s="14"/>
      <c r="AZ742" s="14"/>
    </row>
    <row r="743" spans="1:81" s="568" customFormat="1" ht="13">
      <c r="A743" s="549"/>
      <c r="B743" s="536"/>
      <c r="C743" s="929"/>
      <c r="D743" s="659"/>
      <c r="E743" s="2470"/>
      <c r="F743" s="2470"/>
      <c r="G743" s="2470"/>
      <c r="H743" s="2470"/>
      <c r="I743" s="2470"/>
      <c r="J743" s="2470"/>
      <c r="K743" s="2470"/>
      <c r="L743" s="2470"/>
      <c r="M743" s="2470"/>
      <c r="N743" s="2470"/>
      <c r="O743" s="2470"/>
      <c r="P743" s="2470"/>
      <c r="Q743" s="2470"/>
      <c r="R743" s="2470"/>
      <c r="S743" s="2470"/>
      <c r="T743" s="2470"/>
      <c r="U743" s="2470"/>
      <c r="V743" s="2470"/>
      <c r="W743" s="2470"/>
      <c r="X743" s="2470"/>
      <c r="Y743" s="2470"/>
      <c r="Z743" s="2470"/>
      <c r="AA743" s="2470"/>
      <c r="AB743" s="247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0" t="s">
        <v>1431</v>
      </c>
      <c r="F745" s="2470"/>
      <c r="G745" s="2470"/>
      <c r="H745" s="2470"/>
      <c r="I745" s="2470"/>
      <c r="J745" s="2470"/>
      <c r="K745" s="2470"/>
      <c r="L745" s="2470"/>
      <c r="M745" s="2470"/>
      <c r="N745" s="2470"/>
      <c r="O745" s="2470"/>
      <c r="P745" s="2470"/>
      <c r="Q745" s="2470"/>
      <c r="R745" s="2470"/>
      <c r="S745" s="2470"/>
      <c r="T745" s="2470"/>
      <c r="U745" s="2470"/>
      <c r="V745" s="2470"/>
      <c r="W745" s="2470"/>
      <c r="X745" s="2470"/>
      <c r="Y745" s="2470"/>
      <c r="Z745" s="2470"/>
      <c r="AA745" s="2470"/>
      <c r="AB745" s="2470"/>
      <c r="AC745" s="536"/>
      <c r="AD745" s="536"/>
      <c r="AE745" s="536"/>
      <c r="AF745" s="2453" t="s">
        <v>1400</v>
      </c>
      <c r="AG745" s="2453"/>
      <c r="AH745" s="2453"/>
      <c r="AI745" s="2453"/>
      <c r="AJ745" s="2453"/>
      <c r="AK745" s="2453"/>
      <c r="AL745" s="2453"/>
      <c r="AM745" s="549"/>
      <c r="AN745" s="680"/>
      <c r="AT745" s="14"/>
      <c r="AU745" s="14"/>
      <c r="AV745" s="14"/>
      <c r="AW745" s="14"/>
      <c r="AX745" s="14"/>
      <c r="AY745" s="14"/>
      <c r="AZ745" s="14"/>
    </row>
    <row r="746" spans="1:81" s="568" customFormat="1" ht="13">
      <c r="A746" s="549"/>
      <c r="B746" s="536"/>
      <c r="C746" s="929"/>
      <c r="D746" s="536"/>
      <c r="E746" s="2470"/>
      <c r="F746" s="2470"/>
      <c r="G746" s="2470"/>
      <c r="H746" s="2470"/>
      <c r="I746" s="2470"/>
      <c r="J746" s="2470"/>
      <c r="K746" s="2470"/>
      <c r="L746" s="2470"/>
      <c r="M746" s="2470"/>
      <c r="N746" s="2470"/>
      <c r="O746" s="2470"/>
      <c r="P746" s="2470"/>
      <c r="Q746" s="2470"/>
      <c r="R746" s="2470"/>
      <c r="S746" s="2470"/>
      <c r="T746" s="2470"/>
      <c r="U746" s="2470"/>
      <c r="V746" s="2470"/>
      <c r="W746" s="2470"/>
      <c r="X746" s="2470"/>
      <c r="Y746" s="2470"/>
      <c r="Z746" s="2470"/>
      <c r="AA746" s="2470"/>
      <c r="AB746" s="247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3" t="s">
        <v>591</v>
      </c>
      <c r="I748" s="253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8">
        <f>VLOOKUP($H$748,$AO$679:$AP$681,2,FALSE)</f>
        <v>0</v>
      </c>
      <c r="AK750" s="248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70" t="s">
        <v>1434</v>
      </c>
      <c r="F754" s="2470"/>
      <c r="G754" s="2470"/>
      <c r="H754" s="2470"/>
      <c r="I754" s="2470"/>
      <c r="J754" s="2470"/>
      <c r="K754" s="2470"/>
      <c r="L754" s="2470"/>
      <c r="M754" s="2470"/>
      <c r="N754" s="2470"/>
      <c r="O754" s="2470"/>
      <c r="P754" s="2470"/>
      <c r="Q754" s="2470"/>
      <c r="R754" s="2470"/>
      <c r="S754" s="2470"/>
      <c r="T754" s="2470"/>
      <c r="U754" s="2470"/>
      <c r="V754" s="2470"/>
      <c r="W754" s="2470"/>
      <c r="X754" s="2470"/>
      <c r="Y754" s="2470"/>
      <c r="Z754" s="2470"/>
      <c r="AA754" s="2470"/>
      <c r="AB754" s="2470"/>
      <c r="AC754" s="536"/>
      <c r="AD754" s="536"/>
      <c r="AE754" s="536"/>
      <c r="AF754" s="2453" t="s">
        <v>1346</v>
      </c>
      <c r="AG754" s="2453"/>
      <c r="AH754" s="2453"/>
      <c r="AI754" s="2453"/>
      <c r="AJ754" s="2453"/>
      <c r="AK754" s="2453"/>
      <c r="AL754" s="2453"/>
      <c r="AM754" s="549"/>
      <c r="AN754" s="680"/>
      <c r="AT754" s="14"/>
      <c r="AU754" s="14"/>
      <c r="AV754" s="14"/>
      <c r="AW754" s="14"/>
      <c r="AX754" s="14"/>
      <c r="AY754" s="14"/>
      <c r="AZ754" s="14"/>
    </row>
    <row r="755" spans="1:81" s="568" customFormat="1" ht="13">
      <c r="A755" s="549"/>
      <c r="B755" s="536"/>
      <c r="C755" s="927"/>
      <c r="D755" s="659"/>
      <c r="E755" s="2470"/>
      <c r="F755" s="2470"/>
      <c r="G755" s="2470"/>
      <c r="H755" s="2470"/>
      <c r="I755" s="2470"/>
      <c r="J755" s="2470"/>
      <c r="K755" s="2470"/>
      <c r="L755" s="2470"/>
      <c r="M755" s="2470"/>
      <c r="N755" s="2470"/>
      <c r="O755" s="2470"/>
      <c r="P755" s="2470"/>
      <c r="Q755" s="2470"/>
      <c r="R755" s="2470"/>
      <c r="S755" s="2470"/>
      <c r="T755" s="2470"/>
      <c r="U755" s="2470"/>
      <c r="V755" s="2470"/>
      <c r="W755" s="2470"/>
      <c r="X755" s="2470"/>
      <c r="Y755" s="2470"/>
      <c r="Z755" s="2470"/>
      <c r="AA755" s="2470"/>
      <c r="AB755" s="247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70"/>
      <c r="F756" s="2470"/>
      <c r="G756" s="2470"/>
      <c r="H756" s="2470"/>
      <c r="I756" s="2470"/>
      <c r="J756" s="2470"/>
      <c r="K756" s="2470"/>
      <c r="L756" s="2470"/>
      <c r="M756" s="2470"/>
      <c r="N756" s="2470"/>
      <c r="O756" s="2470"/>
      <c r="P756" s="2470"/>
      <c r="Q756" s="2470"/>
      <c r="R756" s="2470"/>
      <c r="S756" s="2470"/>
      <c r="T756" s="2470"/>
      <c r="U756" s="2470"/>
      <c r="V756" s="2470"/>
      <c r="W756" s="2470"/>
      <c r="X756" s="2470"/>
      <c r="Y756" s="2470"/>
      <c r="Z756" s="2470"/>
      <c r="AA756" s="2470"/>
      <c r="AB756" s="247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0"/>
      <c r="F757" s="2470"/>
      <c r="G757" s="2470"/>
      <c r="H757" s="2470"/>
      <c r="I757" s="2470"/>
      <c r="J757" s="2470"/>
      <c r="K757" s="2470"/>
      <c r="L757" s="2470"/>
      <c r="M757" s="2470"/>
      <c r="N757" s="2470"/>
      <c r="O757" s="2470"/>
      <c r="P757" s="2470"/>
      <c r="Q757" s="2470"/>
      <c r="R757" s="2470"/>
      <c r="S757" s="2470"/>
      <c r="T757" s="2470"/>
      <c r="U757" s="2470"/>
      <c r="V757" s="2470"/>
      <c r="W757" s="2470"/>
      <c r="X757" s="2470"/>
      <c r="Y757" s="2470"/>
      <c r="Z757" s="2470"/>
      <c r="AA757" s="2470"/>
      <c r="AB757" s="247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70" t="s">
        <v>1435</v>
      </c>
      <c r="F759" s="2470"/>
      <c r="G759" s="2470"/>
      <c r="H759" s="2470"/>
      <c r="I759" s="2470"/>
      <c r="J759" s="2470"/>
      <c r="K759" s="2470"/>
      <c r="L759" s="2470"/>
      <c r="M759" s="2470"/>
      <c r="N759" s="2470"/>
      <c r="O759" s="2470"/>
      <c r="P759" s="2470"/>
      <c r="Q759" s="2470"/>
      <c r="R759" s="2470"/>
      <c r="S759" s="2470"/>
      <c r="T759" s="2470"/>
      <c r="U759" s="2470"/>
      <c r="V759" s="2470"/>
      <c r="W759" s="2470"/>
      <c r="X759" s="2470"/>
      <c r="Y759" s="2470"/>
      <c r="Z759" s="2470"/>
      <c r="AA759" s="2470"/>
      <c r="AB759" s="573"/>
      <c r="AC759" s="536"/>
      <c r="AD759" s="536"/>
      <c r="AE759" s="536"/>
      <c r="AF759" s="2453" t="s">
        <v>1400</v>
      </c>
      <c r="AG759" s="2453"/>
      <c r="AH759" s="2453"/>
      <c r="AI759" s="2453"/>
      <c r="AJ759" s="2453"/>
      <c r="AK759" s="2453"/>
      <c r="AL759" s="2453"/>
      <c r="AM759" s="549"/>
      <c r="AN759" s="680"/>
      <c r="AO759" s="30"/>
      <c r="AP759" s="14"/>
    </row>
    <row r="760" spans="1:81" s="568" customFormat="1" ht="13">
      <c r="A760" s="549"/>
      <c r="B760" s="536"/>
      <c r="C760" s="927"/>
      <c r="D760" s="659"/>
      <c r="E760" s="2470"/>
      <c r="F760" s="2470"/>
      <c r="G760" s="2470"/>
      <c r="H760" s="2470"/>
      <c r="I760" s="2470"/>
      <c r="J760" s="2470"/>
      <c r="K760" s="2470"/>
      <c r="L760" s="2470"/>
      <c r="M760" s="2470"/>
      <c r="N760" s="2470"/>
      <c r="O760" s="2470"/>
      <c r="P760" s="2470"/>
      <c r="Q760" s="2470"/>
      <c r="R760" s="2470"/>
      <c r="S760" s="2470"/>
      <c r="T760" s="2470"/>
      <c r="U760" s="2470"/>
      <c r="V760" s="2470"/>
      <c r="W760" s="2470"/>
      <c r="X760" s="2470"/>
      <c r="Y760" s="2470"/>
      <c r="Z760" s="2470"/>
      <c r="AA760" s="2470"/>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70"/>
      <c r="F761" s="2470"/>
      <c r="G761" s="2470"/>
      <c r="H761" s="2470"/>
      <c r="I761" s="2470"/>
      <c r="J761" s="2470"/>
      <c r="K761" s="2470"/>
      <c r="L761" s="2470"/>
      <c r="M761" s="2470"/>
      <c r="N761" s="2470"/>
      <c r="O761" s="2470"/>
      <c r="P761" s="2470"/>
      <c r="Q761" s="2470"/>
      <c r="R761" s="2470"/>
      <c r="S761" s="2470"/>
      <c r="T761" s="2470"/>
      <c r="U761" s="2470"/>
      <c r="V761" s="2470"/>
      <c r="W761" s="2470"/>
      <c r="X761" s="2470"/>
      <c r="Y761" s="2470"/>
      <c r="Z761" s="2470"/>
      <c r="AA761" s="2470"/>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70"/>
      <c r="F762" s="2470"/>
      <c r="G762" s="2470"/>
      <c r="H762" s="2470"/>
      <c r="I762" s="2470"/>
      <c r="J762" s="2470"/>
      <c r="K762" s="2470"/>
      <c r="L762" s="2470"/>
      <c r="M762" s="2470"/>
      <c r="N762" s="2470"/>
      <c r="O762" s="2470"/>
      <c r="P762" s="2470"/>
      <c r="Q762" s="2470"/>
      <c r="R762" s="2470"/>
      <c r="S762" s="2470"/>
      <c r="T762" s="2470"/>
      <c r="U762" s="2470"/>
      <c r="V762" s="2470"/>
      <c r="W762" s="2470"/>
      <c r="X762" s="2470"/>
      <c r="Y762" s="2470"/>
      <c r="Z762" s="2470"/>
      <c r="AA762" s="2470"/>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3" t="s">
        <v>687</v>
      </c>
      <c r="I764" s="253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8">
        <f>VLOOKUP($H$764,$AO$693:$AP$695,2,FALSE)</f>
        <v>3</v>
      </c>
      <c r="AK766" s="248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70" t="s">
        <v>1437</v>
      </c>
      <c r="F770" s="2470"/>
      <c r="G770" s="2470"/>
      <c r="H770" s="2470"/>
      <c r="I770" s="2470"/>
      <c r="J770" s="2470"/>
      <c r="K770" s="2470"/>
      <c r="L770" s="2470"/>
      <c r="M770" s="2470"/>
      <c r="N770" s="2470"/>
      <c r="O770" s="2470"/>
      <c r="P770" s="2470"/>
      <c r="Q770" s="2470"/>
      <c r="R770" s="2470"/>
      <c r="S770" s="2470"/>
      <c r="T770" s="2470"/>
      <c r="U770" s="2470"/>
      <c r="V770" s="2470"/>
      <c r="W770" s="2470"/>
      <c r="X770" s="2470"/>
      <c r="Y770" s="2470"/>
      <c r="Z770" s="2470"/>
      <c r="AA770" s="2470"/>
      <c r="AB770" s="2470"/>
      <c r="AC770" s="536"/>
      <c r="AD770" s="536"/>
      <c r="AE770" s="536"/>
      <c r="AF770" s="2453" t="s">
        <v>1400</v>
      </c>
      <c r="AG770" s="2453"/>
      <c r="AH770" s="2453"/>
      <c r="AI770" s="2453"/>
      <c r="AJ770" s="2453"/>
      <c r="AK770" s="2453"/>
      <c r="AL770" s="245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70"/>
      <c r="F771" s="2470"/>
      <c r="G771" s="2470"/>
      <c r="H771" s="2470"/>
      <c r="I771" s="2470"/>
      <c r="J771" s="2470"/>
      <c r="K771" s="2470"/>
      <c r="L771" s="2470"/>
      <c r="M771" s="2470"/>
      <c r="N771" s="2470"/>
      <c r="O771" s="2470"/>
      <c r="P771" s="2470"/>
      <c r="Q771" s="2470"/>
      <c r="R771" s="2470"/>
      <c r="S771" s="2470"/>
      <c r="T771" s="2470"/>
      <c r="U771" s="2470"/>
      <c r="V771" s="2470"/>
      <c r="W771" s="2470"/>
      <c r="X771" s="2470"/>
      <c r="Y771" s="2470"/>
      <c r="Z771" s="2470"/>
      <c r="AA771" s="2470"/>
      <c r="AB771" s="247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70" t="s">
        <v>1438</v>
      </c>
      <c r="F773" s="2470"/>
      <c r="G773" s="2470"/>
      <c r="H773" s="2470"/>
      <c r="I773" s="2470"/>
      <c r="J773" s="2470"/>
      <c r="K773" s="2470"/>
      <c r="L773" s="2470"/>
      <c r="M773" s="2470"/>
      <c r="N773" s="2470"/>
      <c r="O773" s="2470"/>
      <c r="P773" s="2470"/>
      <c r="Q773" s="2470"/>
      <c r="R773" s="2470"/>
      <c r="S773" s="2470"/>
      <c r="T773" s="2470"/>
      <c r="U773" s="2470"/>
      <c r="V773" s="2470"/>
      <c r="W773" s="2470"/>
      <c r="X773" s="2470"/>
      <c r="Y773" s="2470"/>
      <c r="Z773" s="2470"/>
      <c r="AA773" s="2470"/>
      <c r="AB773" s="2470"/>
      <c r="AC773" s="536"/>
      <c r="AD773" s="536"/>
      <c r="AE773" s="536"/>
      <c r="AF773" s="2453" t="s">
        <v>1417</v>
      </c>
      <c r="AG773" s="2453"/>
      <c r="AH773" s="2453"/>
      <c r="AI773" s="2453"/>
      <c r="AJ773" s="2453"/>
      <c r="AK773" s="2453"/>
      <c r="AL773" s="245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0"/>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3" t="s">
        <v>687</v>
      </c>
      <c r="I776" s="253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8">
        <f>VLOOKUP($H$776,$AO$710:$AP$712,2,FALSE)</f>
        <v>2</v>
      </c>
      <c r="AK778" s="248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70" t="s">
        <v>1681</v>
      </c>
      <c r="F782" s="2470"/>
      <c r="G782" s="2470"/>
      <c r="H782" s="2470"/>
      <c r="I782" s="2470"/>
      <c r="J782" s="2470"/>
      <c r="K782" s="2470"/>
      <c r="L782" s="2470"/>
      <c r="M782" s="2470"/>
      <c r="N782" s="2470"/>
      <c r="O782" s="2470"/>
      <c r="P782" s="2470"/>
      <c r="Q782" s="2470"/>
      <c r="R782" s="2470"/>
      <c r="S782" s="2470"/>
      <c r="T782" s="2470"/>
      <c r="U782" s="2470"/>
      <c r="V782" s="2470"/>
      <c r="W782" s="2470"/>
      <c r="X782" s="2470"/>
      <c r="Y782" s="2470"/>
      <c r="Z782" s="2470"/>
      <c r="AA782" s="2470"/>
      <c r="AB782" s="2470"/>
      <c r="AC782" s="2470"/>
      <c r="AD782" s="2470"/>
      <c r="AE782" s="536"/>
      <c r="AF782" s="2453" t="s">
        <v>1400</v>
      </c>
      <c r="AG782" s="2453"/>
      <c r="AH782" s="2453"/>
      <c r="AI782" s="2453"/>
      <c r="AJ782" s="2453"/>
      <c r="AK782" s="2453"/>
      <c r="AL782" s="2453"/>
      <c r="AM782" s="611"/>
      <c r="AN782" s="680"/>
      <c r="AO782" s="549" t="s">
        <v>591</v>
      </c>
      <c r="AP782" s="669">
        <v>0</v>
      </c>
    </row>
    <row r="783" spans="1:74" s="568" customFormat="1" ht="13.75" customHeight="1">
      <c r="A783" s="549"/>
      <c r="B783" s="614"/>
      <c r="C783" s="936"/>
      <c r="D783" s="659"/>
      <c r="E783" s="2470"/>
      <c r="F783" s="2470"/>
      <c r="G783" s="2470"/>
      <c r="H783" s="2470"/>
      <c r="I783" s="2470"/>
      <c r="J783" s="2470"/>
      <c r="K783" s="2470"/>
      <c r="L783" s="2470"/>
      <c r="M783" s="2470"/>
      <c r="N783" s="2470"/>
      <c r="O783" s="2470"/>
      <c r="P783" s="2470"/>
      <c r="Q783" s="2470"/>
      <c r="R783" s="2470"/>
      <c r="S783" s="2470"/>
      <c r="T783" s="2470"/>
      <c r="U783" s="2470"/>
      <c r="V783" s="2470"/>
      <c r="W783" s="2470"/>
      <c r="X783" s="2470"/>
      <c r="Y783" s="2470"/>
      <c r="Z783" s="2470"/>
      <c r="AA783" s="2470"/>
      <c r="AB783" s="2470"/>
      <c r="AC783" s="2470"/>
      <c r="AD783" s="2470"/>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70"/>
      <c r="F784" s="2470"/>
      <c r="G784" s="2470"/>
      <c r="H784" s="2470"/>
      <c r="I784" s="2470"/>
      <c r="J784" s="2470"/>
      <c r="K784" s="2470"/>
      <c r="L784" s="2470"/>
      <c r="M784" s="2470"/>
      <c r="N784" s="2470"/>
      <c r="O784" s="2470"/>
      <c r="P784" s="2470"/>
      <c r="Q784" s="2470"/>
      <c r="R784" s="2470"/>
      <c r="S784" s="2470"/>
      <c r="T784" s="2470"/>
      <c r="U784" s="2470"/>
      <c r="V784" s="2470"/>
      <c r="W784" s="2470"/>
      <c r="X784" s="2470"/>
      <c r="Y784" s="2470"/>
      <c r="Z784" s="2470"/>
      <c r="AA784" s="2470"/>
      <c r="AB784" s="2470"/>
      <c r="AC784" s="2470"/>
      <c r="AD784" s="247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70"/>
      <c r="F785" s="2470"/>
      <c r="G785" s="2470"/>
      <c r="H785" s="2470"/>
      <c r="I785" s="2470"/>
      <c r="J785" s="2470"/>
      <c r="K785" s="2470"/>
      <c r="L785" s="2470"/>
      <c r="M785" s="2470"/>
      <c r="N785" s="2470"/>
      <c r="O785" s="2470"/>
      <c r="P785" s="2470"/>
      <c r="Q785" s="2470"/>
      <c r="R785" s="2470"/>
      <c r="S785" s="2470"/>
      <c r="T785" s="2470"/>
      <c r="U785" s="2470"/>
      <c r="V785" s="2470"/>
      <c r="W785" s="2470"/>
      <c r="X785" s="2470"/>
      <c r="Y785" s="2470"/>
      <c r="Z785" s="2470"/>
      <c r="AA785" s="2470"/>
      <c r="AB785" s="2470"/>
      <c r="AC785" s="2470"/>
      <c r="AD785" s="247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3" t="s">
        <v>1686</v>
      </c>
      <c r="F787" s="2543"/>
      <c r="G787" s="2543"/>
      <c r="H787" s="2543"/>
      <c r="I787" s="2543"/>
      <c r="J787" s="2543"/>
      <c r="K787" s="2543"/>
      <c r="L787" s="2543"/>
      <c r="M787" s="2543"/>
      <c r="N787" s="2543"/>
      <c r="O787" s="2543"/>
      <c r="P787" s="2543"/>
      <c r="Q787" s="2543"/>
      <c r="R787" s="2543"/>
      <c r="S787" s="2543"/>
      <c r="T787" s="2543"/>
      <c r="U787" s="2543"/>
      <c r="V787" s="2543"/>
      <c r="W787" s="2543"/>
      <c r="X787" s="2543"/>
      <c r="Y787" s="2543"/>
      <c r="Z787" s="2543"/>
      <c r="AA787" s="2543"/>
      <c r="AB787" s="2543"/>
      <c r="AC787" s="2543"/>
      <c r="AD787" s="2543"/>
      <c r="AE787" s="536"/>
      <c r="AF787" s="2453" t="s">
        <v>1346</v>
      </c>
      <c r="AG787" s="2453"/>
      <c r="AH787" s="2453"/>
      <c r="AI787" s="2453"/>
      <c r="AJ787" s="2453"/>
      <c r="AK787" s="2453"/>
      <c r="AL787" s="2453"/>
      <c r="AM787" s="611"/>
      <c r="AN787" s="595"/>
    </row>
    <row r="788" spans="1:81" s="549" customFormat="1" ht="12.75" customHeight="1">
      <c r="B788" s="614"/>
      <c r="C788" s="936"/>
      <c r="D788" s="659"/>
      <c r="E788" s="2543"/>
      <c r="F788" s="2543"/>
      <c r="G788" s="2543"/>
      <c r="H788" s="2543"/>
      <c r="I788" s="2543"/>
      <c r="J788" s="2543"/>
      <c r="K788" s="2543"/>
      <c r="L788" s="2543"/>
      <c r="M788" s="2543"/>
      <c r="N788" s="2543"/>
      <c r="O788" s="2543"/>
      <c r="P788" s="2543"/>
      <c r="Q788" s="2543"/>
      <c r="R788" s="2543"/>
      <c r="S788" s="2543"/>
      <c r="T788" s="2543"/>
      <c r="U788" s="2543"/>
      <c r="V788" s="2543"/>
      <c r="W788" s="2543"/>
      <c r="X788" s="2543"/>
      <c r="Y788" s="2543"/>
      <c r="Z788" s="2543"/>
      <c r="AA788" s="2543"/>
      <c r="AB788" s="2543"/>
      <c r="AC788" s="2543"/>
      <c r="AD788" s="2543"/>
      <c r="AE788" s="592"/>
      <c r="AF788" s="592"/>
      <c r="AG788" s="592"/>
      <c r="AH788" s="592"/>
      <c r="AI788" s="592"/>
      <c r="AJ788" s="592"/>
      <c r="AK788" s="592"/>
      <c r="AL788" s="592"/>
      <c r="AM788" s="611"/>
      <c r="AN788" s="595"/>
    </row>
    <row r="789" spans="1:81" s="549" customFormat="1" ht="12.75" customHeight="1">
      <c r="B789" s="614"/>
      <c r="C789" s="936"/>
      <c r="D789" s="659"/>
      <c r="E789" s="2543"/>
      <c r="F789" s="2543"/>
      <c r="G789" s="2543"/>
      <c r="H789" s="2543"/>
      <c r="I789" s="2543"/>
      <c r="J789" s="2543"/>
      <c r="K789" s="2543"/>
      <c r="L789" s="2543"/>
      <c r="M789" s="2543"/>
      <c r="N789" s="2543"/>
      <c r="O789" s="2543"/>
      <c r="P789" s="2543"/>
      <c r="Q789" s="2543"/>
      <c r="R789" s="2543"/>
      <c r="S789" s="2543"/>
      <c r="T789" s="2543"/>
      <c r="U789" s="2543"/>
      <c r="V789" s="2543"/>
      <c r="W789" s="2543"/>
      <c r="X789" s="2543"/>
      <c r="Y789" s="2543"/>
      <c r="Z789" s="2543"/>
      <c r="AA789" s="2543"/>
      <c r="AB789" s="2543"/>
      <c r="AC789" s="2543"/>
      <c r="AD789" s="2543"/>
      <c r="AE789" s="592"/>
      <c r="AF789" s="592"/>
      <c r="AG789" s="592"/>
      <c r="AH789" s="592"/>
      <c r="AI789" s="592"/>
      <c r="AJ789" s="592"/>
      <c r="AK789" s="592"/>
      <c r="AL789" s="592"/>
      <c r="AM789" s="611"/>
      <c r="AN789" s="595"/>
    </row>
    <row r="790" spans="1:81" s="549" customFormat="1" ht="12.75" customHeight="1">
      <c r="B790" s="614"/>
      <c r="C790" s="936"/>
      <c r="D790" s="659"/>
      <c r="E790" s="2543"/>
      <c r="F790" s="2543"/>
      <c r="G790" s="2543"/>
      <c r="H790" s="2543"/>
      <c r="I790" s="2543"/>
      <c r="J790" s="2543"/>
      <c r="K790" s="2543"/>
      <c r="L790" s="2543"/>
      <c r="M790" s="2543"/>
      <c r="N790" s="2543"/>
      <c r="O790" s="2543"/>
      <c r="P790" s="2543"/>
      <c r="Q790" s="2543"/>
      <c r="R790" s="2543"/>
      <c r="S790" s="2543"/>
      <c r="T790" s="2543"/>
      <c r="U790" s="2543"/>
      <c r="V790" s="2543"/>
      <c r="W790" s="2543"/>
      <c r="X790" s="2543"/>
      <c r="Y790" s="2543"/>
      <c r="Z790" s="2543"/>
      <c r="AA790" s="2543"/>
      <c r="AB790" s="2543"/>
      <c r="AC790" s="2543"/>
      <c r="AD790" s="254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3" t="s">
        <v>591</v>
      </c>
      <c r="I792" s="253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8">
        <f>VLOOKUP($H$792,$AO$782:$AP$784,2,FALSE)</f>
        <v>0</v>
      </c>
      <c r="AK794" s="2480"/>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70" t="s">
        <v>2640</v>
      </c>
      <c r="F798" s="2470"/>
      <c r="G798" s="2470"/>
      <c r="H798" s="2470"/>
      <c r="I798" s="2470"/>
      <c r="J798" s="2470"/>
      <c r="K798" s="2470"/>
      <c r="L798" s="2470"/>
      <c r="M798" s="2470"/>
      <c r="N798" s="2470"/>
      <c r="O798" s="2470"/>
      <c r="P798" s="2470"/>
      <c r="Q798" s="2470"/>
      <c r="R798" s="2470"/>
      <c r="S798" s="2470"/>
      <c r="T798" s="2470"/>
      <c r="U798" s="2470"/>
      <c r="V798" s="2470"/>
      <c r="W798" s="2470"/>
      <c r="X798" s="2470"/>
      <c r="Y798" s="2470"/>
      <c r="Z798" s="2470"/>
      <c r="AA798" s="2470"/>
      <c r="AB798" s="2470"/>
      <c r="AC798" s="2470"/>
      <c r="AD798" s="2470"/>
      <c r="AE798" s="536"/>
      <c r="AF798" s="2453" t="s">
        <v>1346</v>
      </c>
      <c r="AG798" s="2453"/>
      <c r="AH798" s="2453"/>
      <c r="AI798" s="2453"/>
      <c r="AJ798" s="2453"/>
      <c r="AK798" s="2453"/>
      <c r="AL798" s="2453"/>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70"/>
      <c r="F799" s="2470"/>
      <c r="G799" s="2470"/>
      <c r="H799" s="2470"/>
      <c r="I799" s="2470"/>
      <c r="J799" s="2470"/>
      <c r="K799" s="2470"/>
      <c r="L799" s="2470"/>
      <c r="M799" s="2470"/>
      <c r="N799" s="2470"/>
      <c r="O799" s="2470"/>
      <c r="P799" s="2470"/>
      <c r="Q799" s="2470"/>
      <c r="R799" s="2470"/>
      <c r="S799" s="2470"/>
      <c r="T799" s="2470"/>
      <c r="U799" s="2470"/>
      <c r="V799" s="2470"/>
      <c r="W799" s="2470"/>
      <c r="X799" s="2470"/>
      <c r="Y799" s="2470"/>
      <c r="Z799" s="2470"/>
      <c r="AA799" s="2470"/>
      <c r="AB799" s="2470"/>
      <c r="AC799" s="2470"/>
      <c r="AD799" s="247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70"/>
      <c r="F800" s="2470"/>
      <c r="G800" s="2470"/>
      <c r="H800" s="2470"/>
      <c r="I800" s="2470"/>
      <c r="J800" s="2470"/>
      <c r="K800" s="2470"/>
      <c r="L800" s="2470"/>
      <c r="M800" s="2470"/>
      <c r="N800" s="2470"/>
      <c r="O800" s="2470"/>
      <c r="P800" s="2470"/>
      <c r="Q800" s="2470"/>
      <c r="R800" s="2470"/>
      <c r="S800" s="2470"/>
      <c r="T800" s="2470"/>
      <c r="U800" s="2470"/>
      <c r="V800" s="2470"/>
      <c r="W800" s="2470"/>
      <c r="X800" s="2470"/>
      <c r="Y800" s="2470"/>
      <c r="Z800" s="2470"/>
      <c r="AA800" s="2470"/>
      <c r="AB800" s="2470"/>
      <c r="AC800" s="2470"/>
      <c r="AD800" s="247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70"/>
      <c r="F801" s="2470"/>
      <c r="G801" s="2470"/>
      <c r="H801" s="2470"/>
      <c r="I801" s="2470"/>
      <c r="J801" s="2470"/>
      <c r="K801" s="2470"/>
      <c r="L801" s="2470"/>
      <c r="M801" s="2470"/>
      <c r="N801" s="2470"/>
      <c r="O801" s="2470"/>
      <c r="P801" s="2470"/>
      <c r="Q801" s="2470"/>
      <c r="R801" s="2470"/>
      <c r="S801" s="2470"/>
      <c r="T801" s="2470"/>
      <c r="U801" s="2470"/>
      <c r="V801" s="2470"/>
      <c r="W801" s="2470"/>
      <c r="X801" s="2470"/>
      <c r="Y801" s="2470"/>
      <c r="Z801" s="2470"/>
      <c r="AA801" s="2470"/>
      <c r="AB801" s="2470"/>
      <c r="AC801" s="2470"/>
      <c r="AD801" s="247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533" t="s">
        <v>545</v>
      </c>
      <c r="I803" s="253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8">
        <f>VLOOKUP($H$803,$AO$797:$AP$798,2,FALSE)</f>
        <v>3</v>
      </c>
      <c r="AK805" s="248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0" t="s">
        <v>2602</v>
      </c>
      <c r="F809" s="2470"/>
      <c r="G809" s="2470"/>
      <c r="H809" s="2470"/>
      <c r="I809" s="2470"/>
      <c r="J809" s="2470"/>
      <c r="K809" s="2470"/>
      <c r="L809" s="2470"/>
      <c r="M809" s="2470"/>
      <c r="N809" s="2470"/>
      <c r="O809" s="2470"/>
      <c r="P809" s="2470"/>
      <c r="Q809" s="2470"/>
      <c r="R809" s="2470"/>
      <c r="S809" s="2470"/>
      <c r="T809" s="2470"/>
      <c r="U809" s="2470"/>
      <c r="V809" s="2470"/>
      <c r="W809" s="2470"/>
      <c r="X809" s="2470"/>
      <c r="Y809" s="2470"/>
      <c r="Z809" s="2470"/>
      <c r="AA809" s="2470"/>
      <c r="AB809" s="2470"/>
      <c r="AC809" s="2470"/>
      <c r="AD809" s="2470"/>
      <c r="AE809" s="550"/>
      <c r="AF809" s="2453" t="s">
        <v>1371</v>
      </c>
      <c r="AG809" s="2453"/>
      <c r="AH809" s="2453"/>
      <c r="AI809" s="2453"/>
      <c r="AJ809" s="2453"/>
      <c r="AK809" s="2453"/>
      <c r="AL809" s="2453"/>
      <c r="AN809" s="595"/>
    </row>
    <row r="810" spans="1:81" s="549" customFormat="1" ht="12.75" customHeight="1">
      <c r="B810" s="614"/>
      <c r="C810" s="684"/>
      <c r="D810" s="659"/>
      <c r="E810" s="2470"/>
      <c r="F810" s="2470"/>
      <c r="G810" s="2470"/>
      <c r="H810" s="2470"/>
      <c r="I810" s="2470"/>
      <c r="J810" s="2470"/>
      <c r="K810" s="2470"/>
      <c r="L810" s="2470"/>
      <c r="M810" s="2470"/>
      <c r="N810" s="2470"/>
      <c r="O810" s="2470"/>
      <c r="P810" s="2470"/>
      <c r="Q810" s="2470"/>
      <c r="R810" s="2470"/>
      <c r="S810" s="2470"/>
      <c r="T810" s="2470"/>
      <c r="U810" s="2470"/>
      <c r="V810" s="2470"/>
      <c r="W810" s="2470"/>
      <c r="X810" s="2470"/>
      <c r="Y810" s="2470"/>
      <c r="Z810" s="2470"/>
      <c r="AA810" s="2470"/>
      <c r="AB810" s="2470"/>
      <c r="AC810" s="2470"/>
      <c r="AD810" s="247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533" t="s">
        <v>591</v>
      </c>
      <c r="I812" s="253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8">
        <f>IF(H812="Yes",5,0)</f>
        <v>0</v>
      </c>
      <c r="AK814" s="248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8">
        <f>IF(($AJ$634+$AJ$653+$AJ$665+$AJ$700+$AJ$724+$AJ$738+$AJ$750+$AJ$766+$AJ$778+$AJ$794+AJ805+AJ814)&gt;10,10,($AJ$634+$AJ$653+$AJ$665+$AJ$700+$AJ$724+$AJ$738+$AJ$750+$AJ$766+$AJ$778+$AJ$794+AJ805+AJ814))</f>
        <v>10</v>
      </c>
      <c r="AL816" s="2479"/>
      <c r="AM816" s="248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5" t="s">
        <v>1558</v>
      </c>
      <c r="B819" s="2566"/>
      <c r="C819" s="2566"/>
      <c r="D819" s="2566"/>
      <c r="E819" s="2566"/>
      <c r="F819" s="2566"/>
      <c r="G819" s="2566"/>
      <c r="H819" s="2566"/>
      <c r="I819" s="2566"/>
      <c r="J819" s="2566"/>
      <c r="K819" s="2566"/>
      <c r="L819" s="2566"/>
      <c r="M819" s="2566"/>
      <c r="N819" s="2566"/>
      <c r="O819" s="2566"/>
      <c r="P819" s="2566"/>
      <c r="Q819" s="2566"/>
      <c r="R819" s="2566"/>
      <c r="S819" s="2566"/>
      <c r="T819" s="2566"/>
      <c r="U819" s="2566"/>
      <c r="V819" s="2566"/>
      <c r="W819" s="2566"/>
      <c r="X819" s="2566"/>
      <c r="Y819" s="2566"/>
      <c r="Z819" s="2566"/>
      <c r="AA819" s="2566"/>
      <c r="AB819" s="2566"/>
      <c r="AC819" s="2566"/>
      <c r="AD819" s="2566"/>
      <c r="AE819" s="2566"/>
      <c r="AF819" s="2566"/>
      <c r="AG819" s="2566"/>
      <c r="AH819" s="2566"/>
      <c r="AI819" s="2566"/>
      <c r="AJ819" s="2566"/>
      <c r="AK819" s="2566"/>
      <c r="AL819" s="2566"/>
      <c r="AM819" s="2566"/>
    </row>
    <row r="820" spans="1:43">
      <c r="A820" s="2567"/>
      <c r="B820" s="2567"/>
      <c r="C820" s="2567"/>
      <c r="D820" s="2567"/>
      <c r="E820" s="2567"/>
      <c r="F820" s="2567"/>
      <c r="G820" s="2567"/>
      <c r="H820" s="2567"/>
      <c r="I820" s="2567"/>
      <c r="J820" s="2567"/>
      <c r="K820" s="2567"/>
      <c r="L820" s="2567"/>
      <c r="M820" s="2567"/>
      <c r="N820" s="2567"/>
      <c r="O820" s="2567"/>
      <c r="P820" s="2567"/>
      <c r="Q820" s="2567"/>
      <c r="R820" s="2567"/>
      <c r="S820" s="2567"/>
      <c r="T820" s="2567"/>
      <c r="U820" s="2567"/>
      <c r="V820" s="2567"/>
      <c r="W820" s="2567"/>
      <c r="X820" s="2567"/>
      <c r="Y820" s="2567"/>
      <c r="Z820" s="2567"/>
      <c r="AA820" s="2567"/>
      <c r="AB820" s="2567"/>
      <c r="AC820" s="2567"/>
      <c r="AD820" s="2567"/>
      <c r="AE820" s="2567"/>
      <c r="AF820" s="2567"/>
      <c r="AG820" s="2567"/>
      <c r="AH820" s="2567"/>
      <c r="AI820" s="2567"/>
      <c r="AJ820" s="2567"/>
      <c r="AK820" s="2567"/>
      <c r="AL820" s="2567"/>
      <c r="AM820" s="2567"/>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6"/>
      <c r="B822" s="2516"/>
      <c r="C822" s="2516"/>
      <c r="D822" s="2516"/>
      <c r="E822" s="2516"/>
      <c r="F822" s="2516"/>
      <c r="G822" s="2516"/>
      <c r="H822" s="2516"/>
      <c r="I822" s="2516"/>
      <c r="J822" s="2516"/>
      <c r="K822" s="2516"/>
      <c r="L822" s="2516"/>
      <c r="M822" s="2516"/>
      <c r="N822" s="2516"/>
      <c r="O822" s="2516"/>
      <c r="P822" s="2516"/>
      <c r="Q822" s="2516"/>
      <c r="R822" s="2516"/>
      <c r="S822" s="2516"/>
      <c r="T822" s="2516"/>
      <c r="U822" s="2516"/>
      <c r="V822" s="2516"/>
      <c r="W822" s="2516"/>
      <c r="X822" s="2516"/>
      <c r="Y822" s="2516"/>
      <c r="Z822" s="2516"/>
      <c r="AA822" s="2516"/>
      <c r="AB822" s="2516"/>
      <c r="AC822" s="2516"/>
      <c r="AD822" s="2516"/>
      <c r="AE822" s="2516"/>
      <c r="AF822" s="2516"/>
      <c r="AG822" s="2516"/>
      <c r="AH822" s="2516"/>
      <c r="AI822" s="2516"/>
      <c r="AJ822" s="2516"/>
      <c r="AK822" s="2516"/>
      <c r="AL822" s="2516"/>
      <c r="AM822" s="2516"/>
      <c r="AP822" s="812"/>
      <c r="AQ822" s="812"/>
    </row>
    <row r="823" spans="1:43" ht="13">
      <c r="A823" s="2516"/>
      <c r="B823" s="2516"/>
      <c r="C823" s="2516"/>
      <c r="D823" s="2516"/>
      <c r="E823" s="2516"/>
      <c r="F823" s="2516"/>
      <c r="G823" s="2516"/>
      <c r="H823" s="2516"/>
      <c r="I823" s="2516"/>
      <c r="J823" s="2516"/>
      <c r="K823" s="2516"/>
      <c r="L823" s="2516"/>
      <c r="M823" s="2516"/>
      <c r="N823" s="2516"/>
      <c r="O823" s="2516"/>
      <c r="P823" s="2516"/>
      <c r="Q823" s="2516"/>
      <c r="R823" s="2516"/>
      <c r="S823" s="2516"/>
      <c r="T823" s="2516"/>
      <c r="U823" s="2516"/>
      <c r="V823" s="2516"/>
      <c r="W823" s="2516"/>
      <c r="X823" s="2516"/>
      <c r="Y823" s="2516"/>
      <c r="Z823" s="2516"/>
      <c r="AA823" s="2516"/>
      <c r="AB823" s="2516"/>
      <c r="AC823" s="2516"/>
      <c r="AD823" s="2516"/>
      <c r="AE823" s="2516"/>
      <c r="AF823" s="2516"/>
      <c r="AG823" s="2516"/>
      <c r="AH823" s="2516"/>
      <c r="AI823" s="2516"/>
      <c r="AJ823" s="2516"/>
      <c r="AK823" s="2516"/>
      <c r="AL823" s="2516"/>
      <c r="AM823" s="2516"/>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8" t="s">
        <v>1559</v>
      </c>
      <c r="U824" s="2569"/>
      <c r="V824" s="2569"/>
      <c r="W824" s="2569"/>
      <c r="X824" s="2569"/>
      <c r="Y824" s="2570"/>
      <c r="Z824" s="2568" t="s">
        <v>1560</v>
      </c>
      <c r="AA824" s="2569"/>
      <c r="AB824" s="2569"/>
      <c r="AC824" s="2569"/>
      <c r="AD824" s="2569"/>
      <c r="AE824" s="2570"/>
      <c r="AF824" s="2568" t="s">
        <v>1561</v>
      </c>
      <c r="AG824" s="2569"/>
      <c r="AH824" s="2569"/>
      <c r="AI824" s="2569"/>
      <c r="AJ824" s="2569"/>
      <c r="AK824" s="2570"/>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1"/>
      <c r="U825" s="2572"/>
      <c r="V825" s="2572"/>
      <c r="W825" s="2572"/>
      <c r="X825" s="2572"/>
      <c r="Y825" s="2573"/>
      <c r="Z825" s="2571"/>
      <c r="AA825" s="2572"/>
      <c r="AB825" s="2572"/>
      <c r="AC825" s="2572"/>
      <c r="AD825" s="2572"/>
      <c r="AE825" s="2573"/>
      <c r="AF825" s="2571"/>
      <c r="AG825" s="2572"/>
      <c r="AH825" s="2572"/>
      <c r="AI825" s="2572"/>
      <c r="AJ825" s="2572"/>
      <c r="AK825" s="2573"/>
      <c r="AL825" s="814"/>
      <c r="AM825" s="594"/>
      <c r="AO825" s="812"/>
      <c r="AP825" s="812"/>
      <c r="AQ825" s="812"/>
    </row>
    <row r="826" spans="1:43" ht="13">
      <c r="A826" s="815" t="s">
        <v>757</v>
      </c>
      <c r="B826" s="2548" t="str">
        <f>B7</f>
        <v xml:space="preserve">Acquisition/Rehabilitation Project Priorities </v>
      </c>
      <c r="C826" s="2548"/>
      <c r="D826" s="2548"/>
      <c r="E826" s="2548"/>
      <c r="F826" s="2548"/>
      <c r="G826" s="2548"/>
      <c r="H826" s="2548"/>
      <c r="I826" s="2548"/>
      <c r="J826" s="2548"/>
      <c r="K826" s="2548"/>
      <c r="L826" s="2548"/>
      <c r="M826" s="2548"/>
      <c r="N826" s="2548"/>
      <c r="O826" s="2548"/>
      <c r="P826" s="2548"/>
      <c r="Q826" s="2548"/>
      <c r="R826" s="2548"/>
      <c r="S826" s="2549"/>
      <c r="T826" s="2550">
        <f>AK61</f>
        <v>0</v>
      </c>
      <c r="U826" s="2551"/>
      <c r="V826" s="2551"/>
      <c r="W826" s="2551"/>
      <c r="X826" s="2551"/>
      <c r="Y826" s="2552"/>
      <c r="Z826" s="2553">
        <v>20</v>
      </c>
      <c r="AA826" s="2551"/>
      <c r="AB826" s="2551"/>
      <c r="AC826" s="2551"/>
      <c r="AD826" s="2551"/>
      <c r="AE826" s="2552"/>
      <c r="AF826" s="2546">
        <f>IF(T826&gt;Z826,Z826,T826)</f>
        <v>0</v>
      </c>
      <c r="AG826" s="2546"/>
      <c r="AH826" s="2546"/>
      <c r="AI826" s="2546"/>
      <c r="AJ826" s="2546"/>
      <c r="AK826" s="2546"/>
      <c r="AL826" s="814"/>
      <c r="AM826" s="594"/>
      <c r="AO826" s="812"/>
      <c r="AP826" s="812"/>
      <c r="AQ826" s="812"/>
    </row>
    <row r="827" spans="1:43" ht="13">
      <c r="A827" s="815" t="s">
        <v>1532</v>
      </c>
      <c r="B827" s="2548" t="s">
        <v>1307</v>
      </c>
      <c r="C827" s="2548"/>
      <c r="D827" s="2548"/>
      <c r="E827" s="2548"/>
      <c r="F827" s="2548"/>
      <c r="G827" s="2548"/>
      <c r="H827" s="2548"/>
      <c r="I827" s="2548"/>
      <c r="J827" s="2548"/>
      <c r="K827" s="2548"/>
      <c r="L827" s="2548"/>
      <c r="M827" s="2548"/>
      <c r="N827" s="2548"/>
      <c r="O827" s="2548"/>
      <c r="P827" s="2548"/>
      <c r="Q827" s="2548"/>
      <c r="R827" s="2548"/>
      <c r="S827" s="2549"/>
      <c r="T827" s="2550">
        <f>AK83</f>
        <v>10</v>
      </c>
      <c r="U827" s="2551"/>
      <c r="V827" s="2551"/>
      <c r="W827" s="2551"/>
      <c r="X827" s="2551"/>
      <c r="Y827" s="2552"/>
      <c r="Z827" s="2553">
        <v>10</v>
      </c>
      <c r="AA827" s="2551"/>
      <c r="AB827" s="2551"/>
      <c r="AC827" s="2551"/>
      <c r="AD827" s="2551"/>
      <c r="AE827" s="2552"/>
      <c r="AF827" s="2546">
        <f>IF(T827&gt;Z827,Z827,T827)</f>
        <v>10</v>
      </c>
      <c r="AG827" s="2546"/>
      <c r="AH827" s="2546"/>
      <c r="AI827" s="2546"/>
      <c r="AJ827" s="2546"/>
      <c r="AK827" s="2546"/>
      <c r="AL827" s="814"/>
      <c r="AM827" s="594"/>
      <c r="AO827" s="812"/>
      <c r="AP827" s="812"/>
      <c r="AQ827" s="812"/>
    </row>
    <row r="828" spans="1:43" ht="13">
      <c r="A828" s="815" t="s">
        <v>1541</v>
      </c>
      <c r="B828" s="2548" t="s">
        <v>1317</v>
      </c>
      <c r="C828" s="2548"/>
      <c r="D828" s="2548"/>
      <c r="E828" s="2548"/>
      <c r="F828" s="2548"/>
      <c r="G828" s="2548"/>
      <c r="H828" s="2548"/>
      <c r="I828" s="2548"/>
      <c r="J828" s="2548"/>
      <c r="K828" s="2548"/>
      <c r="L828" s="2548"/>
      <c r="M828" s="2548"/>
      <c r="N828" s="2548"/>
      <c r="O828" s="2548"/>
      <c r="P828" s="2548"/>
      <c r="Q828" s="2548"/>
      <c r="R828" s="2548"/>
      <c r="S828" s="2549"/>
      <c r="T828" s="2550">
        <f ca="1">AK108</f>
        <v>20</v>
      </c>
      <c r="U828" s="2551"/>
      <c r="V828" s="2551"/>
      <c r="W828" s="2551"/>
      <c r="X828" s="2551"/>
      <c r="Y828" s="2552"/>
      <c r="Z828" s="2553">
        <v>20</v>
      </c>
      <c r="AA828" s="2551"/>
      <c r="AB828" s="2551"/>
      <c r="AC828" s="2551"/>
      <c r="AD828" s="2551"/>
      <c r="AE828" s="2552"/>
      <c r="AF828" s="2546">
        <f ca="1">IF(T828&gt;Z828,Z828,T828)</f>
        <v>20</v>
      </c>
      <c r="AG828" s="2546"/>
      <c r="AH828" s="2546"/>
      <c r="AI828" s="2546"/>
      <c r="AJ828" s="2546"/>
      <c r="AK828" s="2546"/>
      <c r="AL828" s="814"/>
      <c r="AM828" s="594"/>
      <c r="AO828" s="812"/>
      <c r="AP828" s="812"/>
      <c r="AQ828" s="812"/>
    </row>
    <row r="829" spans="1:43" ht="13">
      <c r="A829" s="815" t="s">
        <v>1562</v>
      </c>
      <c r="B829" s="2548" t="s">
        <v>1327</v>
      </c>
      <c r="C829" s="2548"/>
      <c r="D829" s="2548"/>
      <c r="E829" s="2548"/>
      <c r="F829" s="2548"/>
      <c r="G829" s="2548"/>
      <c r="H829" s="2548"/>
      <c r="I829" s="2548"/>
      <c r="J829" s="2548"/>
      <c r="K829" s="2548"/>
      <c r="L829" s="2548"/>
      <c r="M829" s="2548"/>
      <c r="N829" s="2548"/>
      <c r="O829" s="2548"/>
      <c r="P829" s="2548"/>
      <c r="Q829" s="2548"/>
      <c r="R829" s="2548"/>
      <c r="S829" s="2549"/>
      <c r="T829" s="2550">
        <f>AK142</f>
        <v>10</v>
      </c>
      <c r="U829" s="2551"/>
      <c r="V829" s="2551"/>
      <c r="W829" s="2551"/>
      <c r="X829" s="2551"/>
      <c r="Y829" s="2552"/>
      <c r="Z829" s="2553">
        <v>10</v>
      </c>
      <c r="AA829" s="2551"/>
      <c r="AB829" s="2551"/>
      <c r="AC829" s="2551"/>
      <c r="AD829" s="2551"/>
      <c r="AE829" s="2552"/>
      <c r="AF829" s="2546">
        <f>IF(T829&gt;Z829,Z829,T829)</f>
        <v>10</v>
      </c>
      <c r="AG829" s="2546"/>
      <c r="AH829" s="2546"/>
      <c r="AI829" s="2546"/>
      <c r="AJ829" s="2546"/>
      <c r="AK829" s="2546"/>
      <c r="AL829" s="814"/>
      <c r="AM829" s="594"/>
      <c r="AO829" s="812"/>
      <c r="AP829" s="812"/>
      <c r="AQ829" s="812"/>
    </row>
    <row r="830" spans="1:43" ht="13">
      <c r="A830" s="816" t="s">
        <v>1563</v>
      </c>
      <c r="B830" s="2548" t="s">
        <v>1564</v>
      </c>
      <c r="C830" s="2548"/>
      <c r="D830" s="2548"/>
      <c r="E830" s="2548"/>
      <c r="F830" s="2548"/>
      <c r="G830" s="2548"/>
      <c r="H830" s="2548"/>
      <c r="I830" s="2548"/>
      <c r="J830" s="2548"/>
      <c r="K830" s="2548"/>
      <c r="L830" s="2548"/>
      <c r="M830" s="2548"/>
      <c r="N830" s="2548"/>
      <c r="O830" s="2548"/>
      <c r="P830" s="2548"/>
      <c r="Q830" s="2548"/>
      <c r="R830" s="2548"/>
      <c r="S830" s="2549"/>
      <c r="T830" s="2574">
        <f>SUM(T831:Y832)</f>
        <v>10</v>
      </c>
      <c r="U830" s="2574"/>
      <c r="V830" s="2574"/>
      <c r="W830" s="2574"/>
      <c r="X830" s="2574"/>
      <c r="Y830" s="2574"/>
      <c r="Z830" s="2546">
        <v>10</v>
      </c>
      <c r="AA830" s="2546"/>
      <c r="AB830" s="2546"/>
      <c r="AC830" s="2546"/>
      <c r="AD830" s="2546"/>
      <c r="AE830" s="2546"/>
      <c r="AF830" s="2546">
        <f>IF(T830&gt;Z830,Z830,T830)</f>
        <v>10</v>
      </c>
      <c r="AG830" s="2546"/>
      <c r="AH830" s="2546"/>
      <c r="AI830" s="2546"/>
      <c r="AJ830" s="2546"/>
      <c r="AK830" s="2546"/>
      <c r="AL830" s="814"/>
      <c r="AM830" s="594"/>
    </row>
    <row r="831" spans="1:43" ht="13">
      <c r="A831" s="535"/>
      <c r="B831" s="599"/>
      <c r="C831" s="2575" t="s">
        <v>1565</v>
      </c>
      <c r="D831" s="2575"/>
      <c r="E831" s="2575"/>
      <c r="F831" s="2575"/>
      <c r="G831" s="2575"/>
      <c r="H831" s="2575"/>
      <c r="I831" s="2575"/>
      <c r="J831" s="2575"/>
      <c r="K831" s="2575"/>
      <c r="L831" s="2575"/>
      <c r="M831" s="2575"/>
      <c r="N831" s="2575"/>
      <c r="O831" s="2575"/>
      <c r="P831" s="2575"/>
      <c r="Q831" s="2575"/>
      <c r="R831" s="2575"/>
      <c r="S831" s="2576"/>
      <c r="T831" s="2467">
        <f>AJ165</f>
        <v>7</v>
      </c>
      <c r="U831" s="2467"/>
      <c r="V831" s="2467"/>
      <c r="W831" s="2467"/>
      <c r="X831" s="2467"/>
      <c r="Y831" s="2467"/>
      <c r="Z831" s="2468">
        <v>7</v>
      </c>
      <c r="AA831" s="2468"/>
      <c r="AB831" s="2468"/>
      <c r="AC831" s="2468"/>
      <c r="AD831" s="2468"/>
      <c r="AE831" s="2468"/>
      <c r="AF831" s="2577"/>
      <c r="AG831" s="2577"/>
      <c r="AH831" s="2577"/>
      <c r="AI831" s="2577"/>
      <c r="AJ831" s="2577"/>
      <c r="AK831" s="2577"/>
      <c r="AL831" s="814"/>
      <c r="AM831" s="594"/>
    </row>
    <row r="832" spans="1:43" ht="13">
      <c r="A832" s="598"/>
      <c r="B832" s="599"/>
      <c r="C832" s="2575" t="s">
        <v>1566</v>
      </c>
      <c r="D832" s="2575"/>
      <c r="E832" s="2575"/>
      <c r="F832" s="2575"/>
      <c r="G832" s="2575"/>
      <c r="H832" s="2575"/>
      <c r="I832" s="2575"/>
      <c r="J832" s="2575"/>
      <c r="K832" s="2575"/>
      <c r="L832" s="2575"/>
      <c r="M832" s="2575"/>
      <c r="N832" s="2575"/>
      <c r="O832" s="2575"/>
      <c r="P832" s="2575"/>
      <c r="Q832" s="2575"/>
      <c r="R832" s="2575"/>
      <c r="S832" s="2576"/>
      <c r="T832" s="2467">
        <f>AJ179</f>
        <v>3</v>
      </c>
      <c r="U832" s="2467"/>
      <c r="V832" s="2467"/>
      <c r="W832" s="2467"/>
      <c r="X832" s="2467"/>
      <c r="Y832" s="2467"/>
      <c r="Z832" s="2468">
        <v>3</v>
      </c>
      <c r="AA832" s="2468"/>
      <c r="AB832" s="2468"/>
      <c r="AC832" s="2468"/>
      <c r="AD832" s="2468"/>
      <c r="AE832" s="2468"/>
      <c r="AF832" s="2577"/>
      <c r="AG832" s="2577"/>
      <c r="AH832" s="2577"/>
      <c r="AI832" s="2577"/>
      <c r="AJ832" s="2577"/>
      <c r="AK832" s="2577"/>
      <c r="AL832" s="814"/>
      <c r="AM832" s="594"/>
      <c r="AO832" s="549"/>
    </row>
    <row r="833" spans="1:81" ht="13">
      <c r="A833" s="816" t="s">
        <v>1355</v>
      </c>
      <c r="B833" s="2548" t="s">
        <v>1567</v>
      </c>
      <c r="C833" s="2548"/>
      <c r="D833" s="2548"/>
      <c r="E833" s="2548"/>
      <c r="F833" s="2548"/>
      <c r="G833" s="2548"/>
      <c r="H833" s="2548"/>
      <c r="I833" s="2548"/>
      <c r="J833" s="2548"/>
      <c r="K833" s="2548"/>
      <c r="L833" s="2548"/>
      <c r="M833" s="2548"/>
      <c r="N833" s="2548"/>
      <c r="O833" s="2548"/>
      <c r="P833" s="2548"/>
      <c r="Q833" s="2548"/>
      <c r="R833" s="2548"/>
      <c r="S833" s="2549"/>
      <c r="T833" s="2574">
        <f>AK190</f>
        <v>10</v>
      </c>
      <c r="U833" s="2574"/>
      <c r="V833" s="2574"/>
      <c r="W833" s="2574"/>
      <c r="X833" s="2574"/>
      <c r="Y833" s="2574"/>
      <c r="Z833" s="2546">
        <v>10</v>
      </c>
      <c r="AA833" s="2546"/>
      <c r="AB833" s="2546"/>
      <c r="AC833" s="2546"/>
      <c r="AD833" s="2546"/>
      <c r="AE833" s="2546"/>
      <c r="AF833" s="2546">
        <f>IF(T833&gt;Z833,Z833,T833)</f>
        <v>10</v>
      </c>
      <c r="AG833" s="2546"/>
      <c r="AH833" s="2546"/>
      <c r="AI833" s="2546"/>
      <c r="AJ833" s="2546"/>
      <c r="AK833" s="2546"/>
      <c r="AL833" s="814"/>
      <c r="AM833" s="594"/>
    </row>
    <row r="834" spans="1:81" ht="13" hidden="1">
      <c r="A834" s="815" t="s">
        <v>1363</v>
      </c>
      <c r="B834" s="2548" t="s">
        <v>1364</v>
      </c>
      <c r="C834" s="2548"/>
      <c r="D834" s="2548"/>
      <c r="E834" s="2548"/>
      <c r="F834" s="2548"/>
      <c r="G834" s="2548"/>
      <c r="H834" s="2548"/>
      <c r="I834" s="2548"/>
      <c r="J834" s="2548"/>
      <c r="K834" s="2548"/>
      <c r="L834" s="2548"/>
      <c r="M834" s="2548"/>
      <c r="N834" s="2548"/>
      <c r="O834" s="2548"/>
      <c r="P834" s="2548"/>
      <c r="Q834" s="2548"/>
      <c r="R834" s="2548"/>
      <c r="S834" s="2549"/>
      <c r="T834" s="2574">
        <f>AK272</f>
        <v>0</v>
      </c>
      <c r="U834" s="2574"/>
      <c r="V834" s="2574"/>
      <c r="W834" s="2574"/>
      <c r="X834" s="2574"/>
      <c r="Y834" s="2574"/>
      <c r="Z834" s="2553">
        <v>8</v>
      </c>
      <c r="AA834" s="2551"/>
      <c r="AB834" s="2551"/>
      <c r="AC834" s="2551"/>
      <c r="AD834" s="2551"/>
      <c r="AE834" s="2552"/>
      <c r="AF834" s="2546"/>
      <c r="AG834" s="2546"/>
      <c r="AH834" s="2546"/>
      <c r="AI834" s="2546"/>
      <c r="AJ834" s="2546"/>
      <c r="AK834" s="2546"/>
      <c r="AL834" s="814"/>
      <c r="AM834" s="594"/>
    </row>
    <row r="835" spans="1:81" s="534" customFormat="1" ht="13" hidden="1">
      <c r="A835" s="816" t="s">
        <v>589</v>
      </c>
      <c r="B835" s="2548" t="s">
        <v>1568</v>
      </c>
      <c r="C835" s="2548"/>
      <c r="D835" s="2548"/>
      <c r="E835" s="2548"/>
      <c r="F835" s="2548"/>
      <c r="G835" s="2548"/>
      <c r="H835" s="2548"/>
      <c r="I835" s="2548"/>
      <c r="J835" s="2548"/>
      <c r="K835" s="2548"/>
      <c r="L835" s="2548"/>
      <c r="M835" s="2548"/>
      <c r="N835" s="2548"/>
      <c r="O835" s="2548"/>
      <c r="P835" s="2548"/>
      <c r="Q835" s="2548"/>
      <c r="R835" s="2548"/>
      <c r="S835" s="2549"/>
      <c r="T835" s="2574">
        <f>IF(AK548&gt;5,5,AK548)</f>
        <v>0</v>
      </c>
      <c r="U835" s="2574"/>
      <c r="V835" s="2574"/>
      <c r="W835" s="2574"/>
      <c r="X835" s="2574"/>
      <c r="Y835" s="2574"/>
      <c r="Z835" s="2546">
        <v>5</v>
      </c>
      <c r="AA835" s="2546"/>
      <c r="AB835" s="2546"/>
      <c r="AC835" s="2546"/>
      <c r="AD835" s="2546"/>
      <c r="AE835" s="2546"/>
      <c r="AF835" s="2546"/>
      <c r="AG835" s="2546"/>
      <c r="AH835" s="2546"/>
      <c r="AI835" s="2546"/>
      <c r="AJ835" s="2546"/>
      <c r="AK835" s="254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8" t="str">
        <f>B275</f>
        <v>Readiness to Proceed</v>
      </c>
      <c r="C836" s="2548"/>
      <c r="D836" s="2548"/>
      <c r="E836" s="2548"/>
      <c r="F836" s="2548"/>
      <c r="G836" s="2548"/>
      <c r="H836" s="2548"/>
      <c r="I836" s="2548"/>
      <c r="J836" s="2548"/>
      <c r="K836" s="2548"/>
      <c r="L836" s="2548"/>
      <c r="M836" s="2548"/>
      <c r="N836" s="2548"/>
      <c r="O836" s="2548"/>
      <c r="P836" s="2548"/>
      <c r="Q836" s="2548"/>
      <c r="R836" s="2548"/>
      <c r="S836" s="2549"/>
      <c r="T836" s="2574">
        <f>AK298</f>
        <v>10</v>
      </c>
      <c r="U836" s="2574"/>
      <c r="V836" s="2574"/>
      <c r="W836" s="2574"/>
      <c r="X836" s="2574"/>
      <c r="Y836" s="2574"/>
      <c r="Z836" s="2546">
        <v>10</v>
      </c>
      <c r="AA836" s="2546"/>
      <c r="AB836" s="2546"/>
      <c r="AC836" s="2546"/>
      <c r="AD836" s="2546"/>
      <c r="AE836" s="2546"/>
      <c r="AF836" s="2579">
        <f>IF(T836&gt;Z836,Z836,T836)</f>
        <v>10</v>
      </c>
      <c r="AG836" s="2580"/>
      <c r="AH836" s="2580"/>
      <c r="AI836" s="2580"/>
      <c r="AJ836" s="2580"/>
      <c r="AK836" s="258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8" t="str">
        <f>B301</f>
        <v>Access to Opportunity</v>
      </c>
      <c r="C837" s="2548"/>
      <c r="D837" s="2548"/>
      <c r="E837" s="2548"/>
      <c r="F837" s="2548"/>
      <c r="G837" s="2548"/>
      <c r="H837" s="2548"/>
      <c r="I837" s="2548"/>
      <c r="J837" s="2548"/>
      <c r="K837" s="2548"/>
      <c r="L837" s="2548"/>
      <c r="M837" s="2548"/>
      <c r="N837" s="2548"/>
      <c r="O837" s="2548"/>
      <c r="P837" s="2548"/>
      <c r="Q837" s="2548"/>
      <c r="R837" s="2548"/>
      <c r="S837" s="2549"/>
      <c r="T837" s="2574">
        <f>AK351</f>
        <v>10</v>
      </c>
      <c r="U837" s="2574"/>
      <c r="V837" s="2574"/>
      <c r="W837" s="2574"/>
      <c r="X837" s="2574"/>
      <c r="Y837" s="2574"/>
      <c r="Z837" s="2579">
        <v>10</v>
      </c>
      <c r="AA837" s="2580"/>
      <c r="AB837" s="2580"/>
      <c r="AC837" s="2580"/>
      <c r="AD837" s="2580"/>
      <c r="AE837" s="2581"/>
      <c r="AF837" s="2579">
        <f>IF(T837&gt;Z837,Z837,T837)</f>
        <v>10</v>
      </c>
      <c r="AG837" s="2580"/>
      <c r="AH837" s="2580"/>
      <c r="AI837" s="2580"/>
      <c r="AJ837" s="2580"/>
      <c r="AK837" s="258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7">
        <f>AK351</f>
        <v>10</v>
      </c>
      <c r="U838" s="2467"/>
      <c r="V838" s="2467"/>
      <c r="W838" s="2467"/>
      <c r="X838" s="2467"/>
      <c r="Y838" s="2467"/>
      <c r="Z838" s="2478">
        <v>20</v>
      </c>
      <c r="AA838" s="2479"/>
      <c r="AB838" s="2479"/>
      <c r="AC838" s="2479"/>
      <c r="AD838" s="2479"/>
      <c r="AE838" s="2480"/>
      <c r="AF838" s="2577"/>
      <c r="AG838" s="2577"/>
      <c r="AH838" s="2577"/>
      <c r="AI838" s="2577"/>
      <c r="AJ838" s="2577"/>
      <c r="AK838" s="257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8" t="s">
        <v>845</v>
      </c>
      <c r="C839" s="2548"/>
      <c r="D839" s="2548"/>
      <c r="E839" s="2548"/>
      <c r="F839" s="2548"/>
      <c r="G839" s="2548"/>
      <c r="H839" s="2548"/>
      <c r="I839" s="2548"/>
      <c r="J839" s="2548"/>
      <c r="K839" s="2548"/>
      <c r="L839" s="2548"/>
      <c r="M839" s="2548"/>
      <c r="N839" s="2548"/>
      <c r="O839" s="2548"/>
      <c r="P839" s="2548"/>
      <c r="Q839" s="2548"/>
      <c r="R839" s="2548"/>
      <c r="S839" s="2549"/>
      <c r="T839" s="2574">
        <f>AK482</f>
        <v>10</v>
      </c>
      <c r="U839" s="2574"/>
      <c r="V839" s="2574"/>
      <c r="W839" s="2574"/>
      <c r="X839" s="2574"/>
      <c r="Y839" s="2574"/>
      <c r="Z839" s="2579">
        <v>10</v>
      </c>
      <c r="AA839" s="2580"/>
      <c r="AB839" s="2580"/>
      <c r="AC839" s="2580"/>
      <c r="AD839" s="2580"/>
      <c r="AE839" s="2581"/>
      <c r="AF839" s="2546">
        <f>IF(T839&gt;Z839,Z839,T839)</f>
        <v>10</v>
      </c>
      <c r="AG839" s="2546"/>
      <c r="AH839" s="2546"/>
      <c r="AI839" s="2546"/>
      <c r="AJ839" s="2546"/>
      <c r="AK839" s="254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8" t="s">
        <v>1550</v>
      </c>
      <c r="C840" s="2548"/>
      <c r="D840" s="2548"/>
      <c r="E840" s="2548"/>
      <c r="F840" s="2548"/>
      <c r="G840" s="2548"/>
      <c r="H840" s="2548"/>
      <c r="I840" s="2548"/>
      <c r="J840" s="2548"/>
      <c r="K840" s="2548"/>
      <c r="L840" s="2548"/>
      <c r="M840" s="2548"/>
      <c r="N840" s="2548"/>
      <c r="O840" s="2548"/>
      <c r="P840" s="2548"/>
      <c r="Q840" s="2548"/>
      <c r="R840" s="2548"/>
      <c r="S840" s="2549"/>
      <c r="T840" s="2574">
        <f>AK572</f>
        <v>12</v>
      </c>
      <c r="U840" s="2574"/>
      <c r="V840" s="2574"/>
      <c r="W840" s="2574"/>
      <c r="X840" s="2574"/>
      <c r="Y840" s="2574"/>
      <c r="Z840" s="2579">
        <v>12</v>
      </c>
      <c r="AA840" s="2580"/>
      <c r="AB840" s="2580"/>
      <c r="AC840" s="2580"/>
      <c r="AD840" s="2580"/>
      <c r="AE840" s="2581"/>
      <c r="AF840" s="2546">
        <f>IF(T840&gt;Z840,Z840,T840)</f>
        <v>12</v>
      </c>
      <c r="AG840" s="2546"/>
      <c r="AH840" s="2546"/>
      <c r="AI840" s="2546"/>
      <c r="AJ840" s="2546"/>
      <c r="AK840" s="254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8" t="s">
        <v>1570</v>
      </c>
      <c r="C841" s="2548"/>
      <c r="D841" s="2548"/>
      <c r="E841" s="2548"/>
      <c r="F841" s="2548"/>
      <c r="G841" s="2548"/>
      <c r="H841" s="2548"/>
      <c r="I841" s="2548"/>
      <c r="J841" s="2548"/>
      <c r="K841" s="2548"/>
      <c r="L841" s="2548"/>
      <c r="M841" s="2548"/>
      <c r="N841" s="2548"/>
      <c r="O841" s="2548"/>
      <c r="P841" s="2548"/>
      <c r="Q841" s="2548"/>
      <c r="R841" s="2548"/>
      <c r="S841" s="2549"/>
      <c r="T841" s="2574">
        <f>AK816</f>
        <v>10</v>
      </c>
      <c r="U841" s="2574"/>
      <c r="V841" s="2574"/>
      <c r="W841" s="2574"/>
      <c r="X841" s="2574"/>
      <c r="Y841" s="2574"/>
      <c r="Z841" s="2579">
        <v>10</v>
      </c>
      <c r="AA841" s="2580"/>
      <c r="AB841" s="2580"/>
      <c r="AC841" s="2580"/>
      <c r="AD841" s="2580"/>
      <c r="AE841" s="2581"/>
      <c r="AF841" s="2546">
        <f>IF(T841&gt;Z841,Z841,T841)</f>
        <v>10</v>
      </c>
      <c r="AG841" s="2546"/>
      <c r="AH841" s="2546"/>
      <c r="AI841" s="2546"/>
      <c r="AJ841" s="2546"/>
      <c r="AK841" s="254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8">
        <v>0</v>
      </c>
      <c r="U842" s="2578"/>
      <c r="V842" s="2578"/>
      <c r="W842" s="2578"/>
      <c r="X842" s="2578"/>
      <c r="Y842" s="2578"/>
      <c r="Z842" s="2468" t="s">
        <v>1572</v>
      </c>
      <c r="AA842" s="2468"/>
      <c r="AB842" s="2468"/>
      <c r="AC842" s="2468"/>
      <c r="AD842" s="2468"/>
      <c r="AE842" s="2468"/>
      <c r="AF842" s="2579">
        <f>ABS(T842)</f>
        <v>0</v>
      </c>
      <c r="AG842" s="2580"/>
      <c r="AH842" s="2580"/>
      <c r="AI842" s="2580"/>
      <c r="AJ842" s="2580"/>
      <c r="AK842" s="258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2" t="s">
        <v>1573</v>
      </c>
      <c r="B843" s="2583"/>
      <c r="C843" s="2583"/>
      <c r="D843" s="2583"/>
      <c r="E843" s="2583"/>
      <c r="F843" s="2583"/>
      <c r="G843" s="2583"/>
      <c r="H843" s="2583"/>
      <c r="I843" s="2583"/>
      <c r="J843" s="2583"/>
      <c r="K843" s="2583"/>
      <c r="L843" s="2583"/>
      <c r="M843" s="2583"/>
      <c r="N843" s="2583"/>
      <c r="O843" s="2583"/>
      <c r="P843" s="2583"/>
      <c r="Q843" s="2583"/>
      <c r="R843" s="2583"/>
      <c r="S843" s="2583"/>
      <c r="T843" s="2583"/>
      <c r="U843" s="2583"/>
      <c r="V843" s="2583"/>
      <c r="W843" s="2583"/>
      <c r="X843" s="2583"/>
      <c r="Y843" s="2583"/>
      <c r="Z843" s="2583"/>
      <c r="AA843" s="2583"/>
      <c r="AB843" s="2583"/>
      <c r="AC843" s="2583"/>
      <c r="AD843" s="2583"/>
      <c r="AE843" s="2584"/>
      <c r="AF843" s="2588">
        <f ca="1">SUM(AF826:AK841)-AF842</f>
        <v>112</v>
      </c>
      <c r="AG843" s="2589"/>
      <c r="AH843" s="2589"/>
      <c r="AI843" s="2589"/>
      <c r="AJ843" s="2589"/>
      <c r="AK843" s="259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5"/>
      <c r="B844" s="2586"/>
      <c r="C844" s="2586"/>
      <c r="D844" s="2586"/>
      <c r="E844" s="2586"/>
      <c r="F844" s="2586"/>
      <c r="G844" s="2586"/>
      <c r="H844" s="2586"/>
      <c r="I844" s="2586"/>
      <c r="J844" s="2586"/>
      <c r="K844" s="2586"/>
      <c r="L844" s="2586"/>
      <c r="M844" s="2586"/>
      <c r="N844" s="2586"/>
      <c r="O844" s="2586"/>
      <c r="P844" s="2586"/>
      <c r="Q844" s="2586"/>
      <c r="R844" s="2586"/>
      <c r="S844" s="2586"/>
      <c r="T844" s="2586"/>
      <c r="U844" s="2586"/>
      <c r="V844" s="2586"/>
      <c r="W844" s="2586"/>
      <c r="X844" s="2586"/>
      <c r="Y844" s="2586"/>
      <c r="Z844" s="2586"/>
      <c r="AA844" s="2586"/>
      <c r="AB844" s="2586"/>
      <c r="AC844" s="2586"/>
      <c r="AD844" s="2586"/>
      <c r="AE844" s="2587"/>
      <c r="AF844" s="2591"/>
      <c r="AG844" s="2592"/>
      <c r="AH844" s="2592"/>
      <c r="AI844" s="2592"/>
      <c r="AJ844" s="2592"/>
      <c r="AK844" s="259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o/UqrtYsf1c5sDbtu2Op9OPbaLJsdDbs86WOv4dpx2V6+u0fANT6CGnSbj8IVst7Jr0/Kr8fL7DoMB8R9L6ksw==" saltValue="BHWdDxssLeGivOMMjHC4eA=="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Punit Bhargava</cp:lastModifiedBy>
  <cp:lastPrinted>2026-02-02T23:14:36Z</cp:lastPrinted>
  <dcterms:created xsi:type="dcterms:W3CDTF">2007-12-27T18:26:28Z</dcterms:created>
  <dcterms:modified xsi:type="dcterms:W3CDTF">2026-02-03T04:10:42Z</dcterms:modified>
</cp:coreProperties>
</file>