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S:\VA Building 13 - Los Angeles - US VETS\3.3 CDLAC\VA 13 - CDLAC R1\"/>
    </mc:Choice>
  </mc:AlternateContent>
  <xr:revisionPtr revIDLastSave="0" documentId="13_ncr:1_{3A454D64-5835-4421-9939-7C94FDD36808}"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3" i="3" l="1"/>
  <c r="AO641" i="3"/>
  <c r="D37" i="4"/>
  <c r="AO639" i="3" l="1"/>
  <c r="AO648" i="3" s="1"/>
  <c r="E108" i="4" s="1"/>
  <c r="L108" i="4"/>
  <c r="L37" i="4" s="1"/>
  <c r="L38" i="4" s="1"/>
  <c r="E57" i="4"/>
  <c r="AZ1054" i="3"/>
  <c r="AZ1058" i="3" s="1"/>
  <c r="C89" i="4"/>
  <c r="B89" i="4" s="1"/>
  <c r="C86" i="4"/>
  <c r="E86" i="4" s="1"/>
  <c r="C52" i="4"/>
  <c r="B52" i="4" s="1"/>
  <c r="C30" i="4"/>
  <c r="S26" i="4"/>
  <c r="E26" i="13" s="1"/>
  <c r="S29" i="4"/>
  <c r="E29" i="13" s="1"/>
  <c r="S30" i="4"/>
  <c r="E30" i="13" s="1"/>
  <c r="S31" i="4"/>
  <c r="E31" i="13" s="1"/>
  <c r="S32" i="4"/>
  <c r="E32" i="13" s="1"/>
  <c r="C33" i="4"/>
  <c r="S33" i="4" s="1"/>
  <c r="E33" i="13" s="1"/>
  <c r="S35" i="4"/>
  <c r="E35" i="13" s="1"/>
  <c r="S36" i="4"/>
  <c r="E36" i="13" s="1"/>
  <c r="S40" i="4"/>
  <c r="E40" i="13" s="1"/>
  <c r="S41" i="4"/>
  <c r="E41" i="13" s="1"/>
  <c r="S43" i="4"/>
  <c r="E43" i="13" s="1"/>
  <c r="S45" i="4"/>
  <c r="E45" i="13" s="1"/>
  <c r="S48" i="4"/>
  <c r="S65" i="4"/>
  <c r="S66" i="4"/>
  <c r="E66" i="13" s="1"/>
  <c r="S79" i="4"/>
  <c r="S81" i="4" s="1"/>
  <c r="E81" i="13" s="1"/>
  <c r="S85" i="4"/>
  <c r="E85" i="13" s="1"/>
  <c r="S86" i="4"/>
  <c r="E86" i="13" s="1"/>
  <c r="S87" i="4"/>
  <c r="E87" i="13" s="1"/>
  <c r="S90" i="4"/>
  <c r="E90" i="13" s="1"/>
  <c r="S91" i="4"/>
  <c r="E91" i="13" s="1"/>
  <c r="S99" i="4"/>
  <c r="E99" i="13" s="1"/>
  <c r="L8" i="4"/>
  <c r="L11" i="4"/>
  <c r="L26" i="4"/>
  <c r="L42" i="4"/>
  <c r="L54" i="4"/>
  <c r="L62" i="4"/>
  <c r="L70" i="4"/>
  <c r="L77" i="4"/>
  <c r="L81" i="4"/>
  <c r="L96" i="4"/>
  <c r="L104" i="4"/>
  <c r="O761" i="3"/>
  <c r="D40" i="8" s="1"/>
  <c r="AC781" i="3"/>
  <c r="AC782" i="3"/>
  <c r="AC783" i="3"/>
  <c r="AC784" i="3"/>
  <c r="AC795" i="3"/>
  <c r="AC796" i="3"/>
  <c r="AC797" i="3"/>
  <c r="AC798" i="3"/>
  <c r="AC799" i="3"/>
  <c r="AC800" i="3"/>
  <c r="AC801" i="3"/>
  <c r="AC802" i="3"/>
  <c r="AC803" i="3"/>
  <c r="AC804" i="3"/>
  <c r="D4" i="8"/>
  <c r="I4" i="8" s="1"/>
  <c r="B4" i="8"/>
  <c r="G4" i="8" s="1"/>
  <c r="D5" i="8"/>
  <c r="I5" i="8" s="1"/>
  <c r="B5" i="8"/>
  <c r="G5" i="8" s="1"/>
  <c r="D6" i="8"/>
  <c r="I6" i="8" s="1"/>
  <c r="B6" i="8"/>
  <c r="G6" i="8" s="1"/>
  <c r="D7" i="8"/>
  <c r="I7" i="8" s="1"/>
  <c r="B7" i="8"/>
  <c r="G7" i="8" s="1"/>
  <c r="D8" i="8"/>
  <c r="I8" i="8" s="1"/>
  <c r="B8" i="8"/>
  <c r="G8" i="8" s="1"/>
  <c r="D9" i="8"/>
  <c r="I9" i="8" s="1"/>
  <c r="B9" i="8"/>
  <c r="G9" i="8" s="1"/>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Z825" i="3"/>
  <c r="E8" i="7" s="1"/>
  <c r="W855" i="3"/>
  <c r="E15" i="7" s="1"/>
  <c r="G15" i="7" s="1"/>
  <c r="E16" i="7"/>
  <c r="G16" i="7" s="1"/>
  <c r="I16" i="7" s="1"/>
  <c r="K16" i="7" s="1"/>
  <c r="M16" i="7" s="1"/>
  <c r="O16" i="7" s="1"/>
  <c r="Q16" i="7" s="1"/>
  <c r="S16" i="7" s="1"/>
  <c r="U16" i="7" s="1"/>
  <c r="W16" i="7" s="1"/>
  <c r="Y16" i="7" s="1"/>
  <c r="AA16" i="7" s="1"/>
  <c r="AC16" i="7" s="1"/>
  <c r="AE16" i="7" s="1"/>
  <c r="AG16" i="7" s="1"/>
  <c r="W861" i="3"/>
  <c r="W863" i="3" s="1"/>
  <c r="E17" i="7" s="1"/>
  <c r="G17" i="7" s="1"/>
  <c r="I17" i="7" s="1"/>
  <c r="K17" i="7" s="1"/>
  <c r="M17" i="7" s="1"/>
  <c r="O17" i="7" s="1"/>
  <c r="Q17" i="7" s="1"/>
  <c r="S17" i="7" s="1"/>
  <c r="U17" i="7" s="1"/>
  <c r="W17" i="7" s="1"/>
  <c r="Y17" i="7" s="1"/>
  <c r="AA17" i="7" s="1"/>
  <c r="AC17" i="7" s="1"/>
  <c r="AE17" i="7" s="1"/>
  <c r="AG17" i="7" s="1"/>
  <c r="W865" i="3"/>
  <c r="W867" i="3"/>
  <c r="E19" i="7"/>
  <c r="G19" i="7" s="1"/>
  <c r="I19" i="7" s="1"/>
  <c r="K19" i="7" s="1"/>
  <c r="M19" i="7" s="1"/>
  <c r="O19" i="7" s="1"/>
  <c r="Q19" i="7" s="1"/>
  <c r="S19" i="7" s="1"/>
  <c r="U19" i="7" s="1"/>
  <c r="W19" i="7" s="1"/>
  <c r="Y19" i="7" s="1"/>
  <c r="AA19" i="7" s="1"/>
  <c r="AC19" i="7" s="1"/>
  <c r="AE19" i="7" s="1"/>
  <c r="AG19" i="7" s="1"/>
  <c r="W875" i="3"/>
  <c r="W881" i="3" s="1"/>
  <c r="E20" i="7" s="1"/>
  <c r="G20" i="7" s="1"/>
  <c r="I20" i="7" s="1"/>
  <c r="K20" i="7" s="1"/>
  <c r="M20" i="7" s="1"/>
  <c r="O20" i="7" s="1"/>
  <c r="Q20" i="7" s="1"/>
  <c r="S20" i="7" s="1"/>
  <c r="U20" i="7" s="1"/>
  <c r="W20" i="7" s="1"/>
  <c r="Y20" i="7" s="1"/>
  <c r="AA20" i="7" s="1"/>
  <c r="AC20" i="7" s="1"/>
  <c r="AE20" i="7" s="1"/>
  <c r="AG20" i="7" s="1"/>
  <c r="W888"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S28" i="7" s="1"/>
  <c r="E29" i="7"/>
  <c r="I29" i="7" s="1"/>
  <c r="E30" i="7"/>
  <c r="G30" i="7" s="1"/>
  <c r="I30" i="7" s="1"/>
  <c r="K30" i="7" s="1"/>
  <c r="M30" i="7" s="1"/>
  <c r="O30" i="7" s="1"/>
  <c r="Q30" i="7" s="1"/>
  <c r="S30" i="7" s="1"/>
  <c r="U30" i="7" s="1"/>
  <c r="W30" i="7" s="1"/>
  <c r="Y30" i="7" s="1"/>
  <c r="AA30" i="7" s="1"/>
  <c r="AC30" i="7" s="1"/>
  <c r="AE30" i="7" s="1"/>
  <c r="AG30"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E33" i="7"/>
  <c r="G33" i="7" s="1"/>
  <c r="I33" i="7" s="1"/>
  <c r="K33" i="7" s="1"/>
  <c r="M33" i="7" s="1"/>
  <c r="O33" i="7" s="1"/>
  <c r="Q33" i="7" s="1"/>
  <c r="S33" i="7" s="1"/>
  <c r="U33" i="7" s="1"/>
  <c r="W33" i="7" s="1"/>
  <c r="Y33" i="7" s="1"/>
  <c r="AA33" i="7" s="1"/>
  <c r="AC33" i="7" s="1"/>
  <c r="AE33" i="7" s="1"/>
  <c r="AG33" i="7" s="1"/>
  <c r="T635" i="3"/>
  <c r="AF635" i="3" s="1"/>
  <c r="E40" i="7" s="1"/>
  <c r="K40" i="7" s="1"/>
  <c r="E58" i="7"/>
  <c r="H108" i="4"/>
  <c r="H30" i="4" s="1"/>
  <c r="H38" i="4" s="1"/>
  <c r="I108" i="4"/>
  <c r="I30" i="4" s="1"/>
  <c r="E43" i="4"/>
  <c r="R43" i="4" s="1"/>
  <c r="E92" i="4"/>
  <c r="R92" i="4" s="1"/>
  <c r="E90" i="4"/>
  <c r="R90" i="4" s="1"/>
  <c r="E87" i="4"/>
  <c r="R87" i="4" s="1"/>
  <c r="E85" i="4"/>
  <c r="R85" i="4" s="1"/>
  <c r="E80" i="4"/>
  <c r="R80" i="4" s="1"/>
  <c r="E79" i="4"/>
  <c r="R79" i="4" s="1"/>
  <c r="E75" i="4"/>
  <c r="E77" i="4" s="1"/>
  <c r="E66" i="4"/>
  <c r="R66" i="4" s="1"/>
  <c r="E61" i="4"/>
  <c r="R61" i="4" s="1"/>
  <c r="E58" i="4"/>
  <c r="R58" i="4" s="1"/>
  <c r="E56" i="4"/>
  <c r="E50" i="4"/>
  <c r="E48" i="4"/>
  <c r="E47" i="4"/>
  <c r="R47" i="4" s="1"/>
  <c r="E46" i="4"/>
  <c r="R46" i="4" s="1"/>
  <c r="E45" i="4"/>
  <c r="R45" i="4" s="1"/>
  <c r="E41" i="4"/>
  <c r="R41" i="4" s="1"/>
  <c r="E40" i="4"/>
  <c r="E42" i="4" s="1"/>
  <c r="E36" i="4"/>
  <c r="R36" i="4" s="1"/>
  <c r="E35" i="4"/>
  <c r="R35" i="4" s="1"/>
  <c r="E34" i="4"/>
  <c r="R34" i="4" s="1"/>
  <c r="E32" i="4"/>
  <c r="R32" i="4" s="1"/>
  <c r="E31" i="4"/>
  <c r="R31" i="4" s="1"/>
  <c r="C65" i="4"/>
  <c r="B65" i="13" s="1"/>
  <c r="C88" i="4"/>
  <c r="E88" i="4" s="1"/>
  <c r="R88" i="4" s="1"/>
  <c r="C83" i="4"/>
  <c r="C84" i="11" s="1"/>
  <c r="AC895" i="3"/>
  <c r="C91" i="4"/>
  <c r="E91" i="4" s="1"/>
  <c r="R91" i="4" s="1"/>
  <c r="C49" i="4"/>
  <c r="B50" i="11" s="1"/>
  <c r="AA927" i="3"/>
  <c r="AA672" i="3"/>
  <c r="H672" i="3"/>
  <c r="AA664" i="3"/>
  <c r="H664" i="3"/>
  <c r="AA656" i="3"/>
  <c r="H656" i="3"/>
  <c r="H606" i="3"/>
  <c r="AA598" i="3"/>
  <c r="AG457" i="3"/>
  <c r="AG459" i="3" s="1"/>
  <c r="BE24" i="3" s="1"/>
  <c r="Q635" i="3"/>
  <c r="T190" i="3"/>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P21" i="24" a="1"/>
  <c r="P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0" i="24" a="1"/>
  <c r="P20" i="24" s="1"/>
  <c r="AB8" i="24"/>
  <c r="L6" i="24"/>
  <c r="L4" i="24"/>
  <c r="AC211" i="24"/>
  <c r="Y211" i="24"/>
  <c r="U211" i="24"/>
  <c r="O198" i="24"/>
  <c r="AU187" i="24"/>
  <c r="O75" i="24"/>
  <c r="B64" i="24"/>
  <c r="B63" i="24"/>
  <c r="B62"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L44" i="21"/>
  <c r="M44" i="21"/>
  <c r="P44" i="21" s="1" a="1"/>
  <c r="P44" i="21" s="1"/>
  <c r="N44" i="21"/>
  <c r="L45" i="21"/>
  <c r="M45" i="21"/>
  <c r="P45" i="21" s="1" a="1"/>
  <c r="P45" i="21" s="1"/>
  <c r="N45" i="21"/>
  <c r="L46" i="21"/>
  <c r="M46" i="21"/>
  <c r="O46" i="21" s="1"/>
  <c r="N46" i="21"/>
  <c r="L47" i="21"/>
  <c r="M47" i="21"/>
  <c r="T47" i="21" s="1"/>
  <c r="N47" i="21"/>
  <c r="L48" i="21"/>
  <c r="M48" i="21"/>
  <c r="P48" i="21" s="1" a="1"/>
  <c r="P48" i="21" s="1"/>
  <c r="N48" i="21"/>
  <c r="L49" i="21"/>
  <c r="M49" i="21"/>
  <c r="O49" i="21" s="1"/>
  <c r="N49" i="21"/>
  <c r="L50" i="21"/>
  <c r="M50" i="21"/>
  <c r="P50" i="21" s="1" a="1"/>
  <c r="P50" i="21" s="1"/>
  <c r="N50" i="21"/>
  <c r="L51" i="21"/>
  <c r="M51" i="21"/>
  <c r="S51" i="21" s="1"/>
  <c r="N51" i="21"/>
  <c r="L52" i="21"/>
  <c r="M52" i="21"/>
  <c r="R52" i="21" s="1" a="1"/>
  <c r="R52" i="21" s="1"/>
  <c r="N52" i="21"/>
  <c r="L53" i="21"/>
  <c r="M53" i="21"/>
  <c r="P53" i="21" s="1" a="1"/>
  <c r="P53" i="21" s="1"/>
  <c r="N53" i="21"/>
  <c r="L54" i="21"/>
  <c r="M54" i="21"/>
  <c r="S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T212" i="3"/>
  <c r="BA1051" i="3" s="1"/>
  <c r="CG726" i="3"/>
  <c r="CI726" i="3" s="1"/>
  <c r="BA1047" i="3"/>
  <c r="AZ1057" i="3"/>
  <c r="BA1061" i="3"/>
  <c r="BH256" i="3"/>
  <c r="G100" i="21"/>
  <c r="B96" i="21"/>
  <c r="B81" i="21"/>
  <c r="B106" i="21"/>
  <c r="B49" i="21"/>
  <c r="B58" i="21"/>
  <c r="P18" i="21"/>
  <c r="AG453" i="3"/>
  <c r="AG450" i="3"/>
  <c r="BN150" i="3"/>
  <c r="C177" i="20"/>
  <c r="U387" i="20"/>
  <c r="AJ724" i="20"/>
  <c r="L90" i="21"/>
  <c r="X760" i="3"/>
  <c r="AH760" i="3"/>
  <c r="BF759" i="3"/>
  <c r="BS759" i="3"/>
  <c r="BS760" i="3"/>
  <c r="BF748" i="3"/>
  <c r="AH759" i="3"/>
  <c r="AH750" i="3"/>
  <c r="AY1036" i="3"/>
  <c r="G761" i="3"/>
  <c r="E104" i="20" s="1"/>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I28" i="8"/>
  <c r="I29" i="8"/>
  <c r="I30" i="8"/>
  <c r="I31" i="8"/>
  <c r="I32" i="8"/>
  <c r="I33" i="8"/>
  <c r="I34" i="8"/>
  <c r="I35" i="8"/>
  <c r="I36" i="8"/>
  <c r="I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I38" i="8"/>
  <c r="I27" i="8"/>
  <c r="I26" i="8"/>
  <c r="I25" i="8"/>
  <c r="I24" i="8"/>
  <c r="I23" i="8"/>
  <c r="I22" i="8"/>
  <c r="I21" i="8"/>
  <c r="I20" i="8"/>
  <c r="I19" i="8"/>
  <c r="I18" i="8"/>
  <c r="I17" i="8"/>
  <c r="I16" i="8"/>
  <c r="I15" i="8"/>
  <c r="I14" i="8"/>
  <c r="I13" i="8"/>
  <c r="I12" i="8"/>
  <c r="I11" i="8"/>
  <c r="I10"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CZ726" i="3"/>
  <c r="FJ726" i="3" s="1"/>
  <c r="CZ727" i="3"/>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51" i="3"/>
  <c r="FJ751" i="3" s="1"/>
  <c r="CZ752" i="3"/>
  <c r="FJ752" i="3" s="1"/>
  <c r="CZ753" i="3"/>
  <c r="FJ753" i="3" s="1"/>
  <c r="CZ754" i="3"/>
  <c r="FJ754" i="3" s="1"/>
  <c r="CZ755" i="3"/>
  <c r="FJ755" i="3" s="1"/>
  <c r="CZ756" i="3"/>
  <c r="FJ756" i="3" s="1"/>
  <c r="CZ757" i="3"/>
  <c r="FJ757" i="3" s="1"/>
  <c r="CZ758" i="3"/>
  <c r="FJ758" i="3" s="1"/>
  <c r="CZ760" i="3"/>
  <c r="FJ760" i="3" s="1"/>
  <c r="DE750" i="3"/>
  <c r="FO750" i="3" s="1"/>
  <c r="DJ750" i="3"/>
  <c r="FT750" i="3" s="1"/>
  <c r="DO750" i="3"/>
  <c r="FY750" i="3" s="1"/>
  <c r="CP751" i="3"/>
  <c r="EZ751" i="3" s="1"/>
  <c r="CU751" i="3"/>
  <c r="FE751" i="3" s="1"/>
  <c r="DE751" i="3"/>
  <c r="FO751" i="3" s="1"/>
  <c r="DJ751" i="3"/>
  <c r="FT751" i="3" s="1"/>
  <c r="DO751" i="3"/>
  <c r="FY751" i="3" s="1"/>
  <c r="CP752" i="3"/>
  <c r="EZ752" i="3" s="1"/>
  <c r="CU752" i="3"/>
  <c r="FE752" i="3" s="1"/>
  <c r="DE752" i="3"/>
  <c r="FO752" i="3" s="1"/>
  <c r="DJ752" i="3"/>
  <c r="FT752" i="3" s="1"/>
  <c r="DO752" i="3"/>
  <c r="FY752" i="3" s="1"/>
  <c r="CP753" i="3"/>
  <c r="EZ753" i="3" s="1"/>
  <c r="CU753" i="3"/>
  <c r="FE753" i="3" s="1"/>
  <c r="DE753" i="3"/>
  <c r="FO753" i="3" s="1"/>
  <c r="DJ753" i="3"/>
  <c r="FT753" i="3" s="1"/>
  <c r="DO753" i="3"/>
  <c r="FY753" i="3" s="1"/>
  <c r="CP754" i="3"/>
  <c r="EZ754" i="3" s="1"/>
  <c r="CU754" i="3"/>
  <c r="FE754" i="3" s="1"/>
  <c r="DE754" i="3"/>
  <c r="FO754" i="3" s="1"/>
  <c r="DJ754" i="3"/>
  <c r="FT754" i="3" s="1"/>
  <c r="DO754" i="3"/>
  <c r="FY754" i="3" s="1"/>
  <c r="DO726" i="3"/>
  <c r="DO727" i="3"/>
  <c r="FY727" i="3" s="1"/>
  <c r="DO728" i="3"/>
  <c r="FY728" i="3" s="1"/>
  <c r="DO729" i="3"/>
  <c r="FY729" i="3" s="1"/>
  <c r="DO730" i="3"/>
  <c r="FY730" i="3" s="1"/>
  <c r="DO731" i="3"/>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55" i="3"/>
  <c r="FY755" i="3" s="1"/>
  <c r="DO756" i="3"/>
  <c r="FY756" i="3" s="1"/>
  <c r="DO757" i="3"/>
  <c r="FY757" i="3" s="1"/>
  <c r="DO758" i="3"/>
  <c r="FY758" i="3" s="1"/>
  <c r="DO760" i="3"/>
  <c r="FY760" i="3" s="1"/>
  <c r="CP755" i="3"/>
  <c r="EZ755" i="3" s="1"/>
  <c r="CU755" i="3"/>
  <c r="FE755" i="3" s="1"/>
  <c r="DE755" i="3"/>
  <c r="FO755" i="3" s="1"/>
  <c r="DJ755" i="3"/>
  <c r="FT755" i="3" s="1"/>
  <c r="CP756" i="3"/>
  <c r="EZ756" i="3" s="1"/>
  <c r="CU756" i="3"/>
  <c r="FE756" i="3" s="1"/>
  <c r="DE756" i="3"/>
  <c r="FO756" i="3" s="1"/>
  <c r="DJ756" i="3"/>
  <c r="FT756" i="3" s="1"/>
  <c r="CP757" i="3"/>
  <c r="EZ757" i="3" s="1"/>
  <c r="CU757" i="3"/>
  <c r="FE757" i="3" s="1"/>
  <c r="DE757" i="3"/>
  <c r="FO757" i="3" s="1"/>
  <c r="DJ757" i="3"/>
  <c r="FT757" i="3" s="1"/>
  <c r="CP758" i="3"/>
  <c r="EZ758" i="3" s="1"/>
  <c r="CU758" i="3"/>
  <c r="FE758" i="3" s="1"/>
  <c r="DE758" i="3"/>
  <c r="FO758" i="3" s="1"/>
  <c r="DJ758" i="3"/>
  <c r="FT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AP306" i="20"/>
  <c r="AP307" i="20"/>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T25" i="15"/>
  <c r="AD7" i="15" s="1"/>
  <c r="DG122" i="3"/>
  <c r="R998"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FY726" i="3"/>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38"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E69" i="3" s="1"/>
  <c r="BG235" i="3"/>
  <c r="BG236" i="3"/>
  <c r="BG237" i="3"/>
  <c r="BG238" i="3"/>
  <c r="BG239" i="3"/>
  <c r="BG241" i="3"/>
  <c r="BG242" i="3"/>
  <c r="BG243" i="3"/>
  <c r="BG245" i="3"/>
  <c r="BG246" i="3"/>
  <c r="BG247" i="3"/>
  <c r="BG248" i="3"/>
  <c r="BG249" i="3"/>
  <c r="BG250" i="3"/>
  <c r="M241" i="3"/>
  <c r="O805" i="3"/>
  <c r="C806" i="3" s="1"/>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G151" i="21"/>
  <c r="E153" i="21" s="1"/>
  <c r="C26" i="4"/>
  <c r="B26" i="13" s="1"/>
  <c r="G86" i="21"/>
  <c r="G92" i="21" s="1"/>
  <c r="G123" i="21"/>
  <c r="M20" i="21"/>
  <c r="T20" i="21" s="1"/>
  <c r="M21" i="21"/>
  <c r="T21" i="21" s="1"/>
  <c r="M22" i="21"/>
  <c r="T22" i="21" s="1"/>
  <c r="M23" i="21"/>
  <c r="U23" i="21" s="1"/>
  <c r="M24" i="21"/>
  <c r="U24" i="21" s="1"/>
  <c r="O24" i="21" s="1"/>
  <c r="M25" i="21"/>
  <c r="T25" i="21" s="1"/>
  <c r="L25" i="21"/>
  <c r="M26" i="21"/>
  <c r="R26" i="21" s="1" a="1"/>
  <c r="R26" i="21" s="1"/>
  <c r="M27" i="21"/>
  <c r="T27" i="21" s="1"/>
  <c r="M28" i="21"/>
  <c r="P28" i="21" s="1" a="1"/>
  <c r="P28" i="21" s="1"/>
  <c r="O28" i="21"/>
  <c r="M29" i="21"/>
  <c r="O29" i="21" s="1"/>
  <c r="M30" i="21"/>
  <c r="U30" i="21" s="1"/>
  <c r="M31" i="21"/>
  <c r="O31" i="21" s="1"/>
  <c r="M32" i="21"/>
  <c r="O32" i="21" s="1"/>
  <c r="M33" i="21"/>
  <c r="S33" i="21" s="1"/>
  <c r="M34" i="21"/>
  <c r="O34" i="21" s="1"/>
  <c r="M35" i="21"/>
  <c r="S35" i="21" s="1"/>
  <c r="M36" i="21"/>
  <c r="P36" i="21" s="1" a="1"/>
  <c r="P36" i="21" s="1"/>
  <c r="M37" i="21"/>
  <c r="T37" i="21" s="1"/>
  <c r="M38" i="21"/>
  <c r="P38" i="21" s="1" a="1"/>
  <c r="P38" i="21" s="1"/>
  <c r="M39" i="21"/>
  <c r="S39" i="21" s="1"/>
  <c r="M40" i="21"/>
  <c r="O40" i="21" s="1"/>
  <c r="M41" i="21"/>
  <c r="O41" i="21" s="1"/>
  <c r="M42" i="21"/>
  <c r="S42" i="21" s="1"/>
  <c r="M43" i="21"/>
  <c r="O43" i="21" s="1"/>
  <c r="R43" i="21" a="1"/>
  <c r="R43" i="21" s="1"/>
  <c r="L87" i="21"/>
  <c r="L88" i="21"/>
  <c r="L89" i="21"/>
  <c r="L91" i="21"/>
  <c r="L92" i="21"/>
  <c r="L93" i="21"/>
  <c r="L94" i="21"/>
  <c r="L20" i="21"/>
  <c r="L21" i="21"/>
  <c r="L22" i="21"/>
  <c r="L23" i="21"/>
  <c r="L24"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10" i="8"/>
  <c r="G10" i="8" s="1"/>
  <c r="E102" i="21"/>
  <c r="E93" i="21"/>
  <c r="B35" i="21"/>
  <c r="B20" i="21"/>
  <c r="B24" i="4"/>
  <c r="B36" i="4"/>
  <c r="B66" i="4"/>
  <c r="B67" i="4"/>
  <c r="B68" i="4"/>
  <c r="B69" i="4"/>
  <c r="R67" i="4"/>
  <c r="R68" i="4"/>
  <c r="A104" i="11"/>
  <c r="C101" i="11"/>
  <c r="B101" i="11"/>
  <c r="C102" i="11"/>
  <c r="C103" i="11"/>
  <c r="C104" i="11"/>
  <c r="B102" i="11"/>
  <c r="B103" i="11"/>
  <c r="B104" i="11"/>
  <c r="C85" i="11"/>
  <c r="C86" i="11"/>
  <c r="C88" i="11"/>
  <c r="C91" i="11"/>
  <c r="C93" i="11"/>
  <c r="C94" i="11"/>
  <c r="C95" i="11"/>
  <c r="C96" i="11"/>
  <c r="B96" i="11"/>
  <c r="B85" i="11"/>
  <c r="B86" i="11"/>
  <c r="B84" i="11"/>
  <c r="B88" i="11"/>
  <c r="B91" i="11"/>
  <c r="B93" i="11"/>
  <c r="B94" i="11"/>
  <c r="B95" i="11"/>
  <c r="A70" i="11"/>
  <c r="C67" i="11"/>
  <c r="C68" i="11"/>
  <c r="C69" i="11"/>
  <c r="C70" i="11"/>
  <c r="B67" i="11"/>
  <c r="B68" i="11"/>
  <c r="B69" i="11"/>
  <c r="B70" i="11"/>
  <c r="A62" i="11"/>
  <c r="A54" i="11"/>
  <c r="A38" i="11"/>
  <c r="A26" i="11"/>
  <c r="C32" i="11"/>
  <c r="B32" i="11"/>
  <c r="C33" i="11"/>
  <c r="C35" i="11"/>
  <c r="C36" i="11"/>
  <c r="B36" i="11"/>
  <c r="C37" i="11"/>
  <c r="C38" i="11"/>
  <c r="B33" i="11"/>
  <c r="B35" i="11"/>
  <c r="B37" i="11"/>
  <c r="B38" i="11"/>
  <c r="C24" i="11"/>
  <c r="C25" i="11"/>
  <c r="C26" i="11"/>
  <c r="B25" i="11"/>
  <c r="B26" i="11"/>
  <c r="D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c r="AH736" i="3"/>
  <c r="X736" i="3"/>
  <c r="AB244" i="20"/>
  <c r="AB246" i="20" s="1"/>
  <c r="AB232" i="20"/>
  <c r="AB231" i="20"/>
  <c r="AB230" i="20"/>
  <c r="AB229" i="20"/>
  <c r="AB228" i="20"/>
  <c r="AB227" i="20"/>
  <c r="AB226" i="20"/>
  <c r="AB225" i="20"/>
  <c r="AB223" i="20"/>
  <c r="AB224"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0" i="20"/>
  <c r="AP371" i="20"/>
  <c r="AP372" i="20"/>
  <c r="AP373" i="20"/>
  <c r="AJ794" i="20"/>
  <c r="AJ778" i="20"/>
  <c r="AJ766" i="20"/>
  <c r="AJ750" i="20"/>
  <c r="AJ700" i="20"/>
  <c r="AJ653" i="20"/>
  <c r="A3" i="15"/>
  <c r="T11" i="4"/>
  <c r="R10" i="4"/>
  <c r="R84" i="4"/>
  <c r="B59" i="4"/>
  <c r="C80" i="11"/>
  <c r="C81" i="11"/>
  <c r="B80" i="11"/>
  <c r="B81" i="11"/>
  <c r="I96" i="13"/>
  <c r="J96" i="13"/>
  <c r="J81" i="13"/>
  <c r="I81" i="13"/>
  <c r="G81" i="13"/>
  <c r="F81" i="13"/>
  <c r="D81" i="13"/>
  <c r="C81" i="13"/>
  <c r="H80" i="13"/>
  <c r="E80" i="13"/>
  <c r="B80" i="13"/>
  <c r="D81" i="4"/>
  <c r="F81" i="4"/>
  <c r="G81" i="4"/>
  <c r="H81" i="4"/>
  <c r="I81" i="4"/>
  <c r="J81" i="4"/>
  <c r="K81" i="4"/>
  <c r="M81" i="4"/>
  <c r="N81" i="4"/>
  <c r="O81" i="4"/>
  <c r="P81" i="4"/>
  <c r="Q81" i="4"/>
  <c r="T81" i="4"/>
  <c r="H81" i="13" s="1"/>
  <c r="C81" i="4"/>
  <c r="B81" i="13" s="1"/>
  <c r="B80" i="4"/>
  <c r="A76" i="13"/>
  <c r="A61" i="13"/>
  <c r="A37" i="13"/>
  <c r="A25" i="13"/>
  <c r="A103" i="13"/>
  <c r="A95" i="13"/>
  <c r="A94" i="13"/>
  <c r="A93" i="13"/>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9" i="13"/>
  <c r="E84" i="13"/>
  <c r="E53" i="13"/>
  <c r="E52" i="13"/>
  <c r="E51" i="13"/>
  <c r="E50" i="13"/>
  <c r="E49" i="13"/>
  <c r="E48" i="13"/>
  <c r="E47" i="13"/>
  <c r="E46" i="13"/>
  <c r="E37" i="13"/>
  <c r="E34" i="13"/>
  <c r="E27" i="13"/>
  <c r="E25" i="13"/>
  <c r="E23" i="13"/>
  <c r="E22" i="13"/>
  <c r="E21" i="13"/>
  <c r="E20" i="13"/>
  <c r="E19" i="13"/>
  <c r="E18" i="13"/>
  <c r="E17" i="13"/>
  <c r="E15" i="13"/>
  <c r="E14" i="13"/>
  <c r="E13" i="13"/>
  <c r="E10" i="13"/>
  <c r="B99" i="13"/>
  <c r="B95" i="13"/>
  <c r="B94" i="13"/>
  <c r="B93" i="13"/>
  <c r="B92" i="13"/>
  <c r="B90" i="13"/>
  <c r="B87" i="13"/>
  <c r="B85" i="13"/>
  <c r="B84" i="13"/>
  <c r="B83" i="13"/>
  <c r="B79" i="13"/>
  <c r="B76" i="13"/>
  <c r="B75" i="13"/>
  <c r="B74" i="13"/>
  <c r="B73" i="13"/>
  <c r="B72" i="13"/>
  <c r="B61" i="13"/>
  <c r="B60" i="13"/>
  <c r="B59" i="13"/>
  <c r="B58" i="13"/>
  <c r="B57" i="13"/>
  <c r="B56" i="13"/>
  <c r="B53" i="13"/>
  <c r="B51" i="13"/>
  <c r="B50" i="13"/>
  <c r="B49" i="13"/>
  <c r="B48" i="13"/>
  <c r="B47" i="13"/>
  <c r="B46" i="13"/>
  <c r="B45"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D8" i="13"/>
  <c r="D11" i="13"/>
  <c r="D26" i="13"/>
  <c r="D38" i="13"/>
  <c r="D42" i="13"/>
  <c r="D54" i="13"/>
  <c r="D62" i="13"/>
  <c r="C70" i="13"/>
  <c r="C62" i="13"/>
  <c r="J54" i="13"/>
  <c r="I54" i="13"/>
  <c r="G54" i="13"/>
  <c r="F54" i="13"/>
  <c r="C54" i="13"/>
  <c r="J42" i="13"/>
  <c r="I42" i="13"/>
  <c r="G42" i="13"/>
  <c r="F42" i="13"/>
  <c r="F26" i="13"/>
  <c r="F38" i="13"/>
  <c r="C42" i="13"/>
  <c r="J38" i="13"/>
  <c r="I38" i="13"/>
  <c r="G38" i="13"/>
  <c r="C38" i="13"/>
  <c r="J26" i="13"/>
  <c r="I26" i="13"/>
  <c r="I11" i="13"/>
  <c r="G26" i="13"/>
  <c r="C26" i="13"/>
  <c r="J11" i="13"/>
  <c r="C11" i="13"/>
  <c r="C8" i="13"/>
  <c r="T104" i="4"/>
  <c r="H104" i="13" s="1"/>
  <c r="R103" i="4"/>
  <c r="R102" i="4"/>
  <c r="R101" i="4"/>
  <c r="R95" i="4"/>
  <c r="R94" i="4"/>
  <c r="R93" i="4"/>
  <c r="R76" i="4"/>
  <c r="R73" i="4"/>
  <c r="R74" i="4"/>
  <c r="R69" i="4"/>
  <c r="R60" i="4"/>
  <c r="R59" i="4"/>
  <c r="R53" i="4"/>
  <c r="R51" i="4"/>
  <c r="R37" i="4"/>
  <c r="R29" i="4"/>
  <c r="R27" i="4"/>
  <c r="R25" i="4"/>
  <c r="R23" i="4"/>
  <c r="R22" i="4"/>
  <c r="R21" i="4"/>
  <c r="R20" i="4"/>
  <c r="R17" i="4"/>
  <c r="R18" i="4"/>
  <c r="R19"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1" i="11"/>
  <c r="B52" i="11"/>
  <c r="C48" i="11"/>
  <c r="C49" i="11"/>
  <c r="C50" i="11"/>
  <c r="C51" i="11"/>
  <c r="C52" i="11"/>
  <c r="B57" i="11"/>
  <c r="C57" i="11"/>
  <c r="B58" i="11"/>
  <c r="C58" i="11"/>
  <c r="C59" i="11"/>
  <c r="C60" i="11"/>
  <c r="C61" i="11"/>
  <c r="C62" i="11"/>
  <c r="B59" i="11"/>
  <c r="B60" i="11"/>
  <c r="B61" i="11"/>
  <c r="B62" i="11"/>
  <c r="B73" i="11"/>
  <c r="C73" i="11"/>
  <c r="B74" i="11"/>
  <c r="C74" i="11"/>
  <c r="B75" i="11"/>
  <c r="C75" i="11"/>
  <c r="C76" i="11"/>
  <c r="C77" i="11"/>
  <c r="B76" i="11"/>
  <c r="B77" i="11"/>
  <c r="B100" i="11"/>
  <c r="C100"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62" i="4"/>
  <c r="D62" i="4"/>
  <c r="C77" i="4"/>
  <c r="B77" i="13" s="1"/>
  <c r="D8" i="4"/>
  <c r="D11" i="4"/>
  <c r="D26" i="4"/>
  <c r="D42" i="4"/>
  <c r="D54" i="4"/>
  <c r="D77" i="4"/>
  <c r="D96" i="4"/>
  <c r="D104" i="4"/>
  <c r="F2" i="4"/>
  <c r="G2" i="4"/>
  <c r="H2" i="4"/>
  <c r="I2" i="4"/>
  <c r="J2" i="4"/>
  <c r="K2" i="4"/>
  <c r="L2" i="4"/>
  <c r="M2" i="4"/>
  <c r="N2" i="4"/>
  <c r="O2" i="4"/>
  <c r="P2" i="4"/>
  <c r="Q2" i="4"/>
  <c r="B4" i="4"/>
  <c r="BE23" i="3" s="1"/>
  <c r="B5" i="4"/>
  <c r="B6" i="4"/>
  <c r="B7" i="4"/>
  <c r="E8" i="4"/>
  <c r="F8" i="4"/>
  <c r="F11" i="4"/>
  <c r="G8" i="4"/>
  <c r="G11" i="4"/>
  <c r="H8" i="4"/>
  <c r="H11" i="4"/>
  <c r="I8" i="4"/>
  <c r="I11" i="4"/>
  <c r="J8" i="4"/>
  <c r="J11" i="4"/>
  <c r="J26" i="4"/>
  <c r="J42" i="4"/>
  <c r="J54" i="4"/>
  <c r="J62" i="4"/>
  <c r="J70" i="4"/>
  <c r="J77" i="4"/>
  <c r="J96" i="4"/>
  <c r="K8" i="4"/>
  <c r="K11" i="4"/>
  <c r="M8" i="4"/>
  <c r="M11" i="4"/>
  <c r="N8" i="4"/>
  <c r="N11" i="4"/>
  <c r="N26" i="4"/>
  <c r="N38" i="4"/>
  <c r="N42" i="4"/>
  <c r="N54" i="4"/>
  <c r="N62" i="4"/>
  <c r="N70" i="4"/>
  <c r="N77" i="4"/>
  <c r="N96" i="4"/>
  <c r="N104" i="4"/>
  <c r="O8" i="4"/>
  <c r="Q8" i="4"/>
  <c r="Q11" i="4"/>
  <c r="B9" i="4"/>
  <c r="B10" i="4"/>
  <c r="E11" i="4"/>
  <c r="F26" i="4"/>
  <c r="F42" i="4"/>
  <c r="F62" i="4"/>
  <c r="O11" i="4"/>
  <c r="B13" i="4"/>
  <c r="B14" i="4"/>
  <c r="B15" i="4"/>
  <c r="AD209" i="20" s="1"/>
  <c r="B17" i="4"/>
  <c r="B18" i="4"/>
  <c r="B19" i="4"/>
  <c r="B20" i="4"/>
  <c r="B21" i="4"/>
  <c r="B22" i="4"/>
  <c r="B23" i="4"/>
  <c r="B25" i="4"/>
  <c r="E26" i="4"/>
  <c r="G26" i="4"/>
  <c r="H26" i="4"/>
  <c r="I26" i="4"/>
  <c r="I42" i="4"/>
  <c r="I54" i="4"/>
  <c r="I38" i="4"/>
  <c r="I62" i="4"/>
  <c r="I70" i="4"/>
  <c r="I77" i="4"/>
  <c r="I96" i="4"/>
  <c r="I104" i="4"/>
  <c r="K26" i="4"/>
  <c r="M26" i="4"/>
  <c r="M38" i="4"/>
  <c r="M42" i="4"/>
  <c r="M54" i="4"/>
  <c r="M62" i="4"/>
  <c r="M70" i="4"/>
  <c r="M77" i="4"/>
  <c r="M96" i="4"/>
  <c r="M104" i="4"/>
  <c r="O26" i="4"/>
  <c r="P26" i="4"/>
  <c r="Q26" i="4"/>
  <c r="B27" i="4"/>
  <c r="B29" i="4"/>
  <c r="B31" i="4"/>
  <c r="B32" i="4"/>
  <c r="B34" i="4"/>
  <c r="B35" i="4"/>
  <c r="O38" i="4"/>
  <c r="P38" i="4"/>
  <c r="P42" i="4"/>
  <c r="P54" i="4"/>
  <c r="P62" i="4"/>
  <c r="P70" i="4"/>
  <c r="P77" i="4"/>
  <c r="P96" i="4"/>
  <c r="P104" i="4"/>
  <c r="Q38" i="4"/>
  <c r="B40" i="4"/>
  <c r="B41" i="4"/>
  <c r="H42" i="4"/>
  <c r="K42" i="4"/>
  <c r="O42" i="4"/>
  <c r="Q42" i="4"/>
  <c r="B43" i="4"/>
  <c r="B45" i="4"/>
  <c r="B46" i="4"/>
  <c r="B47" i="4"/>
  <c r="B48" i="4"/>
  <c r="R48" i="4"/>
  <c r="B49" i="4"/>
  <c r="B50" i="4"/>
  <c r="R50" i="4"/>
  <c r="B51" i="4"/>
  <c r="B53" i="4"/>
  <c r="G54" i="4"/>
  <c r="H54" i="4"/>
  <c r="K54" i="4"/>
  <c r="O54" i="4"/>
  <c r="Q54" i="4"/>
  <c r="B56" i="4"/>
  <c r="B57" i="4"/>
  <c r="B58" i="4"/>
  <c r="B60" i="4"/>
  <c r="B61" i="4"/>
  <c r="G62" i="4"/>
  <c r="H62" i="4"/>
  <c r="K62" i="4"/>
  <c r="O62" i="4"/>
  <c r="O70" i="4"/>
  <c r="O77" i="4"/>
  <c r="O96" i="4"/>
  <c r="O104" i="4"/>
  <c r="Q62" i="4"/>
  <c r="F70" i="4"/>
  <c r="G70" i="4"/>
  <c r="H70" i="4"/>
  <c r="K70" i="4"/>
  <c r="Q70" i="4"/>
  <c r="B72" i="4"/>
  <c r="R72" i="4"/>
  <c r="B73" i="4"/>
  <c r="B74" i="4"/>
  <c r="B75" i="4"/>
  <c r="B76" i="4"/>
  <c r="F77" i="4"/>
  <c r="G77" i="4"/>
  <c r="H77" i="4"/>
  <c r="K77" i="4"/>
  <c r="Q77" i="4"/>
  <c r="B79" i="4"/>
  <c r="B83" i="4"/>
  <c r="B84" i="4"/>
  <c r="B85" i="4"/>
  <c r="AF1036" i="3" s="1"/>
  <c r="AJ1034" i="3" s="1"/>
  <c r="R86" i="4"/>
  <c r="B87" i="4"/>
  <c r="B90" i="4"/>
  <c r="B91" i="4"/>
  <c r="B92" i="4"/>
  <c r="B93" i="4"/>
  <c r="B94" i="4"/>
  <c r="B95" i="4"/>
  <c r="F96" i="4"/>
  <c r="G96" i="4"/>
  <c r="H96" i="4"/>
  <c r="K96" i="4"/>
  <c r="Q96" i="4"/>
  <c r="B101" i="4"/>
  <c r="B102" i="4"/>
  <c r="B103" i="4"/>
  <c r="Q104" i="4"/>
  <c r="F108" i="4"/>
  <c r="F99" i="4" s="1"/>
  <c r="F104" i="4" s="1"/>
  <c r="G108" i="4"/>
  <c r="M108" i="4"/>
  <c r="N108" i="4"/>
  <c r="O108" i="4"/>
  <c r="P108" i="4"/>
  <c r="Q108" i="4"/>
  <c r="B131" i="4"/>
  <c r="I184" i="3"/>
  <c r="W427" i="3"/>
  <c r="AF427" i="3"/>
  <c r="AP595" i="20" s="1"/>
  <c r="AP600"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U730" i="3"/>
  <c r="DU731" i="3"/>
  <c r="DU732" i="3"/>
  <c r="DU733" i="3"/>
  <c r="DU734" i="3"/>
  <c r="DU735" i="3"/>
  <c r="DU736" i="3"/>
  <c r="DU737" i="3"/>
  <c r="DU738" i="3"/>
  <c r="DU739" i="3"/>
  <c r="DU740" i="3"/>
  <c r="DU741" i="3"/>
  <c r="DU742" i="3"/>
  <c r="DU743" i="3"/>
  <c r="DU744" i="3"/>
  <c r="DU745" i="3"/>
  <c r="DU746" i="3"/>
  <c r="DU747" i="3"/>
  <c r="DU748" i="3"/>
  <c r="DU760" i="3"/>
  <c r="DZ729" i="3"/>
  <c r="EE729" i="3"/>
  <c r="EJ729" i="3"/>
  <c r="EO729" i="3"/>
  <c r="ET729" i="3"/>
  <c r="DZ730" i="3"/>
  <c r="EE730" i="3"/>
  <c r="EJ730" i="3"/>
  <c r="EO730" i="3"/>
  <c r="ET730" i="3"/>
  <c r="DZ731" i="3"/>
  <c r="EE731" i="3"/>
  <c r="EJ731" i="3"/>
  <c r="EO731" i="3"/>
  <c r="ET731" i="3"/>
  <c r="G617" i="3"/>
  <c r="Z617" i="3"/>
  <c r="DZ732" i="3"/>
  <c r="EE732" i="3"/>
  <c r="EJ732" i="3"/>
  <c r="EO732" i="3"/>
  <c r="ET732" i="3"/>
  <c r="DZ733" i="3"/>
  <c r="EE733" i="3"/>
  <c r="EJ733" i="3"/>
  <c r="EO733" i="3"/>
  <c r="ET733" i="3"/>
  <c r="DZ734" i="3"/>
  <c r="EE734" i="3"/>
  <c r="EJ734" i="3"/>
  <c r="EO734" i="3"/>
  <c r="ET734" i="3"/>
  <c r="DZ735" i="3"/>
  <c r="EE735" i="3"/>
  <c r="EJ735" i="3"/>
  <c r="EO735" i="3"/>
  <c r="ET735" i="3"/>
  <c r="DZ736" i="3"/>
  <c r="EE736" i="3"/>
  <c r="EJ736" i="3"/>
  <c r="EJ737" i="3"/>
  <c r="EJ738" i="3"/>
  <c r="EJ739" i="3"/>
  <c r="EJ740" i="3"/>
  <c r="EJ741" i="3"/>
  <c r="EJ742" i="3"/>
  <c r="EJ743" i="3"/>
  <c r="EJ744" i="3"/>
  <c r="EJ745" i="3"/>
  <c r="EJ746" i="3"/>
  <c r="EJ747" i="3"/>
  <c r="EJ748" i="3"/>
  <c r="EJ760" i="3"/>
  <c r="EO736" i="3"/>
  <c r="ET736" i="3"/>
  <c r="DZ737" i="3"/>
  <c r="EE737" i="3"/>
  <c r="EO737" i="3"/>
  <c r="ET737" i="3"/>
  <c r="DZ738" i="3"/>
  <c r="EE738" i="3"/>
  <c r="EO738" i="3"/>
  <c r="EO739" i="3"/>
  <c r="EO740" i="3"/>
  <c r="EO741" i="3"/>
  <c r="EO742" i="3"/>
  <c r="EO743" i="3"/>
  <c r="EO744" i="3"/>
  <c r="EO745" i="3"/>
  <c r="EO746" i="3"/>
  <c r="EO747" i="3"/>
  <c r="EO748" i="3"/>
  <c r="EO760" i="3"/>
  <c r="ET738" i="3"/>
  <c r="DZ739" i="3"/>
  <c r="EE739" i="3"/>
  <c r="ET739" i="3"/>
  <c r="DZ740" i="3"/>
  <c r="EE740" i="3"/>
  <c r="ET740" i="3"/>
  <c r="DZ741" i="3"/>
  <c r="EE741" i="3"/>
  <c r="ET741" i="3"/>
  <c r="DZ742" i="3"/>
  <c r="EE742" i="3"/>
  <c r="ET742" i="3"/>
  <c r="DZ743" i="3"/>
  <c r="EE743" i="3"/>
  <c r="ET743" i="3"/>
  <c r="DZ744" i="3"/>
  <c r="EE744" i="3"/>
  <c r="ET744" i="3"/>
  <c r="DZ745" i="3"/>
  <c r="EE745" i="3"/>
  <c r="ET745" i="3"/>
  <c r="DZ746" i="3"/>
  <c r="EE746" i="3"/>
  <c r="ET746" i="3"/>
  <c r="DZ747" i="3"/>
  <c r="EE747" i="3"/>
  <c r="ET747" i="3"/>
  <c r="DZ748" i="3"/>
  <c r="EE748" i="3"/>
  <c r="ET748" i="3"/>
  <c r="DZ760" i="3"/>
  <c r="EE760" i="3"/>
  <c r="ET760" i="3"/>
  <c r="G651" i="3"/>
  <c r="Z651" i="3"/>
  <c r="G659" i="3"/>
  <c r="Z659" i="3"/>
  <c r="G667" i="3"/>
  <c r="Z667" i="3"/>
  <c r="G675" i="3"/>
  <c r="Z675" i="3"/>
  <c r="G683" i="3"/>
  <c r="Z683" i="3"/>
  <c r="G691" i="3"/>
  <c r="Z691" i="3"/>
  <c r="X726" i="3"/>
  <c r="X727" i="3"/>
  <c r="X728" i="3"/>
  <c r="X729" i="3"/>
  <c r="X730" i="3"/>
  <c r="AH730" i="3" s="1"/>
  <c r="X731" i="3"/>
  <c r="X732" i="3"/>
  <c r="AH732" i="3"/>
  <c r="X738" i="3"/>
  <c r="X739" i="3"/>
  <c r="X740" i="3"/>
  <c r="X741" i="3"/>
  <c r="X742" i="3"/>
  <c r="X743" i="3"/>
  <c r="X744" i="3"/>
  <c r="X745" i="3"/>
  <c r="X746" i="3"/>
  <c r="X747" i="3"/>
  <c r="X748" i="3"/>
  <c r="X749" i="3"/>
  <c r="M840" i="3"/>
  <c r="Q840" i="3"/>
  <c r="U840" i="3"/>
  <c r="Y840" i="3"/>
  <c r="AC840" i="3"/>
  <c r="AG840" i="3"/>
  <c r="Z911" i="3"/>
  <c r="F38" i="4"/>
  <c r="K38" i="4"/>
  <c r="J104" i="4"/>
  <c r="R56" i="4"/>
  <c r="H104" i="4"/>
  <c r="U28" i="21"/>
  <c r="R30" i="21" a="1"/>
  <c r="R30" i="21" s="1"/>
  <c r="U40" i="21"/>
  <c r="T31" i="21"/>
  <c r="AA29" i="7"/>
  <c r="O29" i="7"/>
  <c r="G40" i="7"/>
  <c r="K29" i="7"/>
  <c r="S29" i="7"/>
  <c r="M28" i="7"/>
  <c r="K28" i="7"/>
  <c r="AG40" i="7"/>
  <c r="AC40" i="7"/>
  <c r="P43" i="21" a="1"/>
  <c r="P43" i="21" s="1"/>
  <c r="Q40" i="7"/>
  <c r="U40" i="7"/>
  <c r="Q29" i="7"/>
  <c r="AE40" i="7"/>
  <c r="W40" i="7"/>
  <c r="W29" i="7"/>
  <c r="O40" i="7"/>
  <c r="F54" i="4"/>
  <c r="G38" i="4"/>
  <c r="G42" i="4"/>
  <c r="G104" i="4"/>
  <c r="AJ634" i="20"/>
  <c r="G108" i="21"/>
  <c r="S27" i="21"/>
  <c r="P31" i="21" a="1"/>
  <c r="P31" i="21" s="1"/>
  <c r="S30" i="21"/>
  <c r="S28" i="21"/>
  <c r="BE77" i="3"/>
  <c r="Y64" i="15"/>
  <c r="E70" i="7"/>
  <c r="AP105" i="20"/>
  <c r="S40" i="7"/>
  <c r="AA40" i="7"/>
  <c r="E43" i="7"/>
  <c r="Y40" i="7"/>
  <c r="AE29" i="7" l="1"/>
  <c r="B91" i="13"/>
  <c r="R41" i="21" a="1"/>
  <c r="R41" i="21" s="1"/>
  <c r="R31" i="21" a="1"/>
  <c r="R31" i="21" s="1"/>
  <c r="BE7" i="3"/>
  <c r="B26" i="4"/>
  <c r="D81" i="11"/>
  <c r="BE8" i="3"/>
  <c r="BE9" i="3" s="1"/>
  <c r="D61" i="11"/>
  <c r="D28" i="11"/>
  <c r="U20" i="21"/>
  <c r="U39" i="21"/>
  <c r="S26" i="21"/>
  <c r="T39" i="21"/>
  <c r="S43" i="21"/>
  <c r="D85" i="11"/>
  <c r="S46" i="21"/>
  <c r="D14" i="11"/>
  <c r="C12" i="13"/>
  <c r="L12" i="4"/>
  <c r="T28" i="21"/>
  <c r="U26" i="21"/>
  <c r="R28" i="21" a="1"/>
  <c r="R28" i="21" s="1"/>
  <c r="T29" i="21"/>
  <c r="U41" i="21"/>
  <c r="P41" i="21" a="1"/>
  <c r="P41" i="21" s="1"/>
  <c r="U43" i="21"/>
  <c r="S29" i="21"/>
  <c r="T43" i="21"/>
  <c r="R29" i="21" a="1"/>
  <c r="R29" i="21" s="1"/>
  <c r="P29" i="21" a="1"/>
  <c r="P29" i="21" s="1"/>
  <c r="R39" i="21" a="1"/>
  <c r="R39" i="21" s="1"/>
  <c r="O26" i="21"/>
  <c r="S41" i="21"/>
  <c r="C12" i="11"/>
  <c r="AH731" i="3"/>
  <c r="O27" i="21"/>
  <c r="U54" i="21"/>
  <c r="D7" i="11"/>
  <c r="R46" i="21" a="1"/>
  <c r="R46" i="21" s="1"/>
  <c r="D88" i="11"/>
  <c r="D5" i="11"/>
  <c r="E12" i="4"/>
  <c r="D44" i="11"/>
  <c r="I63" i="13"/>
  <c r="J6" i="8"/>
  <c r="D52" i="11"/>
  <c r="D19" i="11"/>
  <c r="D51" i="11"/>
  <c r="C12" i="4"/>
  <c r="B12" i="13" s="1"/>
  <c r="D62" i="11"/>
  <c r="D48" i="11"/>
  <c r="C765" i="3"/>
  <c r="AG454" i="3"/>
  <c r="E49" i="4"/>
  <c r="R49" i="4" s="1"/>
  <c r="AG927" i="3"/>
  <c r="R40" i="21" a="1"/>
  <c r="R40" i="21" s="1"/>
  <c r="D91" i="11"/>
  <c r="P40" i="21" a="1"/>
  <c r="P40" i="21" s="1"/>
  <c r="E65" i="4"/>
  <c r="R65" i="4" s="1"/>
  <c r="R70" i="4" s="1"/>
  <c r="O12" i="4"/>
  <c r="Y43" i="7"/>
  <c r="S50" i="21"/>
  <c r="R27" i="21" a="1"/>
  <c r="R27" i="21" s="1"/>
  <c r="T42" i="21"/>
  <c r="D12" i="4"/>
  <c r="W43" i="7"/>
  <c r="D49" i="11"/>
  <c r="D30" i="11"/>
  <c r="D6" i="11"/>
  <c r="D101" i="11"/>
  <c r="AK182" i="20"/>
  <c r="S45" i="21"/>
  <c r="U44" i="21"/>
  <c r="T45" i="21"/>
  <c r="U45" i="21"/>
  <c r="AB29" i="24"/>
  <c r="AH729" i="3"/>
  <c r="CZ785" i="3"/>
  <c r="DD786" i="3" s="1"/>
  <c r="AH728" i="3"/>
  <c r="R38" i="21" a="1"/>
  <c r="R38" i="21" s="1"/>
  <c r="G43" i="7"/>
  <c r="D22" i="11"/>
  <c r="D86" i="11"/>
  <c r="O38" i="21"/>
  <c r="P26" i="21" a="1"/>
  <c r="P26" i="21" s="1"/>
  <c r="T26" i="21"/>
  <c r="U31" i="21"/>
  <c r="S37" i="21"/>
  <c r="DE785" i="3"/>
  <c r="DI786" i="3" s="1"/>
  <c r="R11" i="4"/>
  <c r="T38" i="21"/>
  <c r="S38" i="21"/>
  <c r="D10" i="11"/>
  <c r="S42" i="4"/>
  <c r="E42" i="13" s="1"/>
  <c r="U38" i="21"/>
  <c r="P27" i="21" a="1"/>
  <c r="P27" i="21" s="1"/>
  <c r="D75" i="11"/>
  <c r="D26" i="11"/>
  <c r="AA928" i="3"/>
  <c r="S70" i="4"/>
  <c r="E70" i="13" s="1"/>
  <c r="S31" i="21"/>
  <c r="R995" i="3"/>
  <c r="AF1023" i="3"/>
  <c r="B104" i="4"/>
  <c r="C92" i="11"/>
  <c r="P24" i="21" a="1"/>
  <c r="P24" i="21" s="1"/>
  <c r="J5" i="8"/>
  <c r="W870" i="3"/>
  <c r="E18" i="7" s="1"/>
  <c r="G18" i="7" s="1"/>
  <c r="I18" i="7" s="1"/>
  <c r="K18" i="7" s="1"/>
  <c r="M18" i="7" s="1"/>
  <c r="O18" i="7" s="1"/>
  <c r="Q18" i="7" s="1"/>
  <c r="S18" i="7" s="1"/>
  <c r="U18" i="7" s="1"/>
  <c r="W18" i="7" s="1"/>
  <c r="Y18" i="7" s="1"/>
  <c r="AA18" i="7" s="1"/>
  <c r="AC18" i="7" s="1"/>
  <c r="AE18" i="7" s="1"/>
  <c r="AG18" i="7" s="1"/>
  <c r="B77" i="4"/>
  <c r="D80" i="11"/>
  <c r="T46" i="21"/>
  <c r="E79" i="13"/>
  <c r="R48" i="21" a="1"/>
  <c r="R48" i="21" s="1"/>
  <c r="T32" i="21"/>
  <c r="T34" i="21"/>
  <c r="P32" i="21" a="1"/>
  <c r="P32" i="21" s="1"/>
  <c r="U27" i="21"/>
  <c r="AD68" i="15"/>
  <c r="D100" i="11"/>
  <c r="B81" i="4"/>
  <c r="U48" i="21"/>
  <c r="T50" i="21"/>
  <c r="AC785" i="3"/>
  <c r="R22" i="21" a="1"/>
  <c r="R22" i="21" s="1"/>
  <c r="AG43" i="7"/>
  <c r="D25" i="11"/>
  <c r="Y68" i="15"/>
  <c r="T48" i="21"/>
  <c r="B33" i="4"/>
  <c r="Q12" i="4"/>
  <c r="D33" i="11"/>
  <c r="D95" i="11"/>
  <c r="B9" i="11"/>
  <c r="U34" i="21"/>
  <c r="R40" i="4"/>
  <c r="R42" i="4" s="1"/>
  <c r="E26" i="21"/>
  <c r="P63" i="4"/>
  <c r="P97" i="4" s="1"/>
  <c r="P105" i="4" s="1"/>
  <c r="U29" i="21"/>
  <c r="D47" i="11"/>
  <c r="P30" i="21" a="1"/>
  <c r="P30" i="21" s="1"/>
  <c r="T41" i="21"/>
  <c r="T30" i="21"/>
  <c r="D77" i="11"/>
  <c r="D58" i="11"/>
  <c r="AP388" i="20"/>
  <c r="AQ388" i="20" s="1"/>
  <c r="B92" i="11"/>
  <c r="AO71" i="20"/>
  <c r="J23" i="24"/>
  <c r="Y27" i="15"/>
  <c r="AI27" i="15"/>
  <c r="T27" i="15"/>
  <c r="ET761" i="3"/>
  <c r="E62" i="4"/>
  <c r="B66" i="11"/>
  <c r="B71" i="11" s="1"/>
  <c r="AZ1061" i="3"/>
  <c r="R35" i="21" a="1"/>
  <c r="R35" i="21" s="1"/>
  <c r="AH727" i="3"/>
  <c r="B89" i="13"/>
  <c r="D38" i="11"/>
  <c r="D70" i="11"/>
  <c r="D96" i="11"/>
  <c r="DO805" i="3"/>
  <c r="DS806" i="3" s="1"/>
  <c r="T53" i="21"/>
  <c r="J19" i="24"/>
  <c r="H12" i="4"/>
  <c r="BG252" i="3"/>
  <c r="BO254" i="3" s="1"/>
  <c r="T276" i="3" s="1"/>
  <c r="C66" i="11"/>
  <c r="ET805" i="3"/>
  <c r="U53" i="21"/>
  <c r="AP308" i="20"/>
  <c r="AK351" i="20" s="1"/>
  <c r="T837" i="20" s="1"/>
  <c r="AF837" i="20" s="1"/>
  <c r="BE79" i="3" s="1"/>
  <c r="R997" i="3"/>
  <c r="G153" i="21" s="1"/>
  <c r="G155" i="21" s="1"/>
  <c r="I16" i="21" s="1"/>
  <c r="R21" i="21" a="1"/>
  <c r="R21" i="21" s="1"/>
  <c r="G12" i="4"/>
  <c r="R999" i="3"/>
  <c r="D15" i="11"/>
  <c r="D94" i="11"/>
  <c r="P52" i="21" a="1"/>
  <c r="P52" i="21" s="1"/>
  <c r="T24" i="21"/>
  <c r="D93" i="11"/>
  <c r="U49" i="21"/>
  <c r="V29" i="24"/>
  <c r="AK816" i="20"/>
  <c r="T841" i="20" s="1"/>
  <c r="AF841" i="20" s="1"/>
  <c r="BE82" i="3" s="1"/>
  <c r="U21" i="21"/>
  <c r="O21" i="21" s="1"/>
  <c r="AH726" i="3"/>
  <c r="T44" i="21"/>
  <c r="K12" i="4"/>
  <c r="R49" i="21" a="1"/>
  <c r="R49" i="21" s="1"/>
  <c r="P35" i="21" a="1"/>
  <c r="P35" i="21" s="1"/>
  <c r="K43" i="7"/>
  <c r="D60" i="11"/>
  <c r="F63" i="13"/>
  <c r="F97" i="13" s="1"/>
  <c r="F105" i="13" s="1"/>
  <c r="F107" i="13" s="1"/>
  <c r="D54" i="11"/>
  <c r="AX703" i="20"/>
  <c r="R53" i="21" a="1"/>
  <c r="R53" i="21" s="1"/>
  <c r="AO47" i="20"/>
  <c r="J9" i="8"/>
  <c r="R996" i="3"/>
  <c r="B65" i="4"/>
  <c r="N63" i="4"/>
  <c r="N97" i="4" s="1"/>
  <c r="N105" i="4" s="1"/>
  <c r="S44" i="21"/>
  <c r="T7" i="15"/>
  <c r="D59" i="11"/>
  <c r="C70" i="4"/>
  <c r="B70" i="4" s="1"/>
  <c r="DJ785" i="3"/>
  <c r="DN786" i="3" s="1"/>
  <c r="O44" i="21"/>
  <c r="J4" i="8"/>
  <c r="N12" i="4"/>
  <c r="R34" i="21" a="1"/>
  <c r="R34" i="21" s="1"/>
  <c r="AI7" i="15"/>
  <c r="D63" i="13"/>
  <c r="D97" i="13" s="1"/>
  <c r="D105" i="13" s="1"/>
  <c r="G58" i="7"/>
  <c r="CP785" i="3"/>
  <c r="CT786" i="3" s="1"/>
  <c r="T54" i="21"/>
  <c r="D18" i="11"/>
  <c r="Y7" i="15"/>
  <c r="D21" i="11"/>
  <c r="O52" i="21"/>
  <c r="T35" i="21"/>
  <c r="G113" i="21"/>
  <c r="P34" i="21" a="1"/>
  <c r="P34" i="21" s="1"/>
  <c r="S34" i="21"/>
  <c r="R57" i="4"/>
  <c r="R62" i="4" s="1"/>
  <c r="O53" i="21"/>
  <c r="O54" i="21"/>
  <c r="I63" i="4"/>
  <c r="I97" i="4" s="1"/>
  <c r="I105" i="4" s="1"/>
  <c r="B37" i="4"/>
  <c r="D74" i="11"/>
  <c r="D20" i="11"/>
  <c r="S49" i="21"/>
  <c r="R44" i="21" a="1"/>
  <c r="R44" i="21" s="1"/>
  <c r="I97" i="13"/>
  <c r="I105" i="13" s="1"/>
  <c r="I107" i="13" s="1"/>
  <c r="C43" i="11"/>
  <c r="O33" i="21"/>
  <c r="B27" i="11"/>
  <c r="D104" i="11"/>
  <c r="U33" i="21"/>
  <c r="D42" i="11"/>
  <c r="D73" i="11"/>
  <c r="EO805" i="3"/>
  <c r="DU805" i="3"/>
  <c r="I15" i="7"/>
  <c r="I53" i="7"/>
  <c r="G51" i="21"/>
  <c r="DE805" i="3"/>
  <c r="DI806" i="3" s="1"/>
  <c r="S43" i="7"/>
  <c r="AA28" i="7"/>
  <c r="U25" i="21"/>
  <c r="O25" i="21" s="1"/>
  <c r="P25" i="21" s="1" a="1"/>
  <c r="P25" i="21" s="1"/>
  <c r="J20" i="24"/>
  <c r="E103" i="20"/>
  <c r="T33" i="21"/>
  <c r="M29" i="7"/>
  <c r="O28" i="7"/>
  <c r="Y29" i="7"/>
  <c r="D50" i="11"/>
  <c r="C9" i="11"/>
  <c r="D32" i="11"/>
  <c r="P46" i="21" a="1"/>
  <c r="P46" i="21" s="1"/>
  <c r="U50" i="21"/>
  <c r="R81" i="4"/>
  <c r="D103" i="11"/>
  <c r="DE761" i="3"/>
  <c r="DI763" i="3" s="1"/>
  <c r="D41" i="11"/>
  <c r="B43" i="11"/>
  <c r="H63" i="4"/>
  <c r="H97" i="4" s="1"/>
  <c r="H105" i="4" s="1"/>
  <c r="O63" i="4"/>
  <c r="O97" i="4" s="1"/>
  <c r="O105" i="4" s="1"/>
  <c r="R26" i="4"/>
  <c r="E27" i="21"/>
  <c r="G28" i="7"/>
  <c r="B86" i="4"/>
  <c r="N183" i="24" s="1"/>
  <c r="AC893" i="3"/>
  <c r="E81" i="4"/>
  <c r="J7" i="8"/>
  <c r="P54" i="21" a="1"/>
  <c r="P54" i="21" s="1"/>
  <c r="S52" i="21"/>
  <c r="O35" i="21"/>
  <c r="P37" i="21" a="1"/>
  <c r="P37" i="21" s="1"/>
  <c r="AC29" i="7"/>
  <c r="I28" i="7"/>
  <c r="B86" i="13"/>
  <c r="AB233" i="20"/>
  <c r="AB249" i="20" s="1"/>
  <c r="AB251" i="20" s="1"/>
  <c r="AB253" i="20" s="1"/>
  <c r="AB259" i="20" s="1"/>
  <c r="AD208" i="20" s="1"/>
  <c r="AD210" i="20" s="1"/>
  <c r="U52" i="21"/>
  <c r="U46" i="21"/>
  <c r="AO57" i="20"/>
  <c r="J22" i="24"/>
  <c r="S96" i="4"/>
  <c r="E96" i="13" s="1"/>
  <c r="AA43" i="7"/>
  <c r="B12" i="11"/>
  <c r="U43" i="7"/>
  <c r="AY1012" i="3"/>
  <c r="B62" i="4"/>
  <c r="B52" i="13"/>
  <c r="L63" i="4"/>
  <c r="L97" i="4" s="1"/>
  <c r="L105" i="4" s="1"/>
  <c r="T52" i="21"/>
  <c r="R37" i="21" a="1"/>
  <c r="R37" i="21" s="1"/>
  <c r="U29" i="7"/>
  <c r="W28" i="7"/>
  <c r="U22" i="21"/>
  <c r="O22" i="21" s="1"/>
  <c r="P22" i="21" s="1" a="1"/>
  <c r="P22" i="21" s="1"/>
  <c r="EE761" i="3"/>
  <c r="D23" i="11"/>
  <c r="R8" i="4"/>
  <c r="G77" i="21"/>
  <c r="G79" i="21" s="1"/>
  <c r="AN29" i="24"/>
  <c r="J63" i="13"/>
  <c r="J97" i="13" s="1"/>
  <c r="J105" i="13" s="1"/>
  <c r="J107" i="13" s="1"/>
  <c r="U36" i="21"/>
  <c r="C96" i="4"/>
  <c r="B96" i="4" s="1"/>
  <c r="S36" i="21"/>
  <c r="D36" i="11"/>
  <c r="C105" i="11"/>
  <c r="G29" i="7"/>
  <c r="J8" i="8"/>
  <c r="R24" i="21" a="1"/>
  <c r="R24" i="21" s="1"/>
  <c r="U37" i="21"/>
  <c r="B78" i="11"/>
  <c r="O20" i="21"/>
  <c r="P20" i="21" s="1" a="1"/>
  <c r="P20" i="21" s="1"/>
  <c r="R20" i="21" a="1"/>
  <c r="R20" i="21" s="1"/>
  <c r="CU805" i="3"/>
  <c r="CY806" i="3" s="1"/>
  <c r="O43" i="7"/>
  <c r="D76" i="11"/>
  <c r="AV121" i="20"/>
  <c r="AW118" i="20" s="1"/>
  <c r="D24" i="11"/>
  <c r="R54" i="21" a="1"/>
  <c r="R54" i="21" s="1"/>
  <c r="J108" i="4"/>
  <c r="J30" i="4" s="1"/>
  <c r="C87" i="11"/>
  <c r="B11" i="4"/>
  <c r="R75" i="4"/>
  <c r="R77" i="4" s="1"/>
  <c r="CP805" i="3"/>
  <c r="CT806" i="3" s="1"/>
  <c r="O50" i="21"/>
  <c r="B82" i="11"/>
  <c r="O36" i="21"/>
  <c r="AG29" i="7"/>
  <c r="B63" i="11"/>
  <c r="G63" i="13"/>
  <c r="G97" i="13" s="1"/>
  <c r="G105" i="13" s="1"/>
  <c r="G107" i="13" s="1"/>
  <c r="B42" i="4"/>
  <c r="B87" i="11"/>
  <c r="AD27" i="15"/>
  <c r="AC43" i="7"/>
  <c r="U35" i="21"/>
  <c r="D38" i="4"/>
  <c r="D63" i="4" s="1"/>
  <c r="D97" i="4" s="1"/>
  <c r="D105" i="4" s="1"/>
  <c r="BE68" i="3" s="1"/>
  <c r="D11" i="11"/>
  <c r="D12" i="13"/>
  <c r="T36" i="21"/>
  <c r="BF761" i="3"/>
  <c r="BG729" i="3" s="1"/>
  <c r="BH729" i="3" s="1"/>
  <c r="T831" i="20"/>
  <c r="T830" i="20" s="1"/>
  <c r="AF830" i="20" s="1"/>
  <c r="BE75" i="3" s="1"/>
  <c r="R50" i="21" a="1"/>
  <c r="R50" i="21" s="1"/>
  <c r="B105" i="11"/>
  <c r="E22" i="7"/>
  <c r="E35" i="7" s="1"/>
  <c r="R36" i="21" a="1"/>
  <c r="R36" i="21" s="1"/>
  <c r="B88" i="4"/>
  <c r="K63" i="4"/>
  <c r="K97" i="4" s="1"/>
  <c r="D8" i="11"/>
  <c r="E65" i="13"/>
  <c r="AK548" i="20"/>
  <c r="T835" i="20" s="1"/>
  <c r="FO727" i="3"/>
  <c r="M54" i="7"/>
  <c r="O54" i="7" s="1"/>
  <c r="Q54" i="7" s="1"/>
  <c r="S54" i="7" s="1"/>
  <c r="U54" i="7" s="1"/>
  <c r="W54" i="7" s="1"/>
  <c r="Y54" i="7" s="1"/>
  <c r="AA54" i="7" s="1"/>
  <c r="AC54" i="7" s="1"/>
  <c r="AE54" i="7" s="1"/>
  <c r="AG54" i="7" s="1"/>
  <c r="BE10" i="3"/>
  <c r="BE11" i="3" s="1"/>
  <c r="BE12" i="3" s="1"/>
  <c r="J21" i="24"/>
  <c r="P29" i="24"/>
  <c r="C63" i="11"/>
  <c r="D57" i="11"/>
  <c r="BG737" i="3"/>
  <c r="BH737" i="3" s="1"/>
  <c r="FT743" i="3"/>
  <c r="DJ761" i="3"/>
  <c r="I12" i="4"/>
  <c r="AE43" i="7"/>
  <c r="T23" i="21"/>
  <c r="O23" i="21"/>
  <c r="P23" i="21" s="1" a="1"/>
  <c r="P23" i="21" s="1"/>
  <c r="R23" i="21" a="1"/>
  <c r="R23" i="21" s="1"/>
  <c r="E25" i="21"/>
  <c r="F25" i="21" s="1"/>
  <c r="G25" i="21" s="1"/>
  <c r="M18" i="21"/>
  <c r="C27" i="11"/>
  <c r="F63" i="4"/>
  <c r="F97" i="4" s="1"/>
  <c r="F105" i="4" s="1"/>
  <c r="F12" i="4"/>
  <c r="CI761" i="3"/>
  <c r="DZ761" i="3"/>
  <c r="AP379" i="20"/>
  <c r="AQ379" i="20" s="1"/>
  <c r="DZ805" i="3"/>
  <c r="AH29" i="24"/>
  <c r="G63" i="4"/>
  <c r="G97" i="4" s="1"/>
  <c r="G105" i="4" s="1"/>
  <c r="J12" i="4"/>
  <c r="C82" i="11"/>
  <c r="R25" i="21" a="1"/>
  <c r="R25" i="21" s="1"/>
  <c r="CU785" i="3"/>
  <c r="CY786" i="3" s="1"/>
  <c r="G40" i="8"/>
  <c r="S47" i="21"/>
  <c r="P47" i="21" a="1"/>
  <c r="P47" i="21" s="1"/>
  <c r="R47" i="21" a="1"/>
  <c r="R47" i="21" s="1"/>
  <c r="S38" i="4"/>
  <c r="E28" i="21"/>
  <c r="EO761" i="3"/>
  <c r="M63" i="4"/>
  <c r="M97" i="4" s="1"/>
  <c r="M105" i="4" s="1"/>
  <c r="H11" i="13"/>
  <c r="T63" i="4"/>
  <c r="EJ761" i="3"/>
  <c r="T51" i="21"/>
  <c r="R51" i="21" a="1"/>
  <c r="R51" i="21" s="1"/>
  <c r="P51" i="21" a="1"/>
  <c r="P51" i="21" s="1"/>
  <c r="U51" i="21"/>
  <c r="O51" i="21"/>
  <c r="C38" i="4"/>
  <c r="B30" i="13"/>
  <c r="B30" i="4"/>
  <c r="B31" i="11"/>
  <c r="E24" i="21"/>
  <c r="Q63" i="4"/>
  <c r="Q97" i="4" s="1"/>
  <c r="Q105" i="4" s="1"/>
  <c r="C31" i="11"/>
  <c r="CU761" i="3"/>
  <c r="EC669" i="3" s="1"/>
  <c r="FE726" i="3"/>
  <c r="CZ805" i="3"/>
  <c r="DD806" i="3" s="1"/>
  <c r="M12" i="4"/>
  <c r="D102" i="11"/>
  <c r="B8" i="4"/>
  <c r="B8" i="13"/>
  <c r="O42" i="21"/>
  <c r="P42" i="21" a="1"/>
  <c r="P42" i="21" s="1"/>
  <c r="R42" i="21" a="1"/>
  <c r="R42" i="21" s="1"/>
  <c r="U42" i="21"/>
  <c r="CM761" i="3"/>
  <c r="X1061" i="3" s="1"/>
  <c r="EZ761" i="3"/>
  <c r="G8" i="7"/>
  <c r="E9" i="7"/>
  <c r="U47" i="21"/>
  <c r="P21" i="21" a="1"/>
  <c r="P21" i="21" s="1"/>
  <c r="BD1060" i="3" a="1"/>
  <c r="BD1060" i="3" s="1"/>
  <c r="J28" i="24"/>
  <c r="AG28" i="7"/>
  <c r="Y28" i="7"/>
  <c r="AE28" i="7"/>
  <c r="AC28" i="7"/>
  <c r="U28" i="7"/>
  <c r="Q28" i="7"/>
  <c r="D46" i="11"/>
  <c r="DJ805" i="3"/>
  <c r="DN806" i="3" s="1"/>
  <c r="Q43" i="7"/>
  <c r="EJ805" i="3"/>
  <c r="O47" i="21"/>
  <c r="B62" i="13"/>
  <c r="C78" i="11"/>
  <c r="DO785" i="3"/>
  <c r="C63" i="13"/>
  <c r="C97" i="13" s="1"/>
  <c r="C105" i="13" s="1"/>
  <c r="BS761" i="3"/>
  <c r="AO34" i="20"/>
  <c r="AY1033" i="3"/>
  <c r="AF1026" i="3" s="1"/>
  <c r="J24" i="24"/>
  <c r="P33" i="21" a="1"/>
  <c r="P33" i="21" s="1"/>
  <c r="R33" i="21" a="1"/>
  <c r="R33" i="21" s="1"/>
  <c r="FY731" i="3"/>
  <c r="DO761" i="3"/>
  <c r="EW664" i="3" s="1"/>
  <c r="FJ727" i="3"/>
  <c r="CZ761" i="3"/>
  <c r="EH661" i="3" s="1"/>
  <c r="DU761" i="3"/>
  <c r="D16" i="11"/>
  <c r="U32" i="21"/>
  <c r="S32" i="21"/>
  <c r="R32" i="21" a="1"/>
  <c r="R32" i="21" s="1"/>
  <c r="AC805" i="3"/>
  <c r="Y808" i="3" s="1"/>
  <c r="B53" i="11"/>
  <c r="B55" i="11" s="1"/>
  <c r="C54" i="4"/>
  <c r="E52" i="4"/>
  <c r="C53" i="11"/>
  <c r="E83" i="4"/>
  <c r="O30" i="21"/>
  <c r="CP761" i="3"/>
  <c r="DX657" i="3" s="1"/>
  <c r="D84" i="11"/>
  <c r="S54" i="4"/>
  <c r="E54" i="13" s="1"/>
  <c r="C90" i="11"/>
  <c r="B90" i="11"/>
  <c r="E89" i="4"/>
  <c r="R89" i="4" s="1"/>
  <c r="S40" i="21"/>
  <c r="T40" i="21"/>
  <c r="EE805" i="3"/>
  <c r="P39" i="21" a="1"/>
  <c r="P39" i="21" s="1"/>
  <c r="O39" i="21"/>
  <c r="S48" i="21"/>
  <c r="O48" i="21"/>
  <c r="C89" i="11"/>
  <c r="B89" i="11"/>
  <c r="B88" i="13"/>
  <c r="S104" i="4"/>
  <c r="D35" i="11"/>
  <c r="O37" i="21"/>
  <c r="I40" i="7"/>
  <c r="I43" i="7" s="1"/>
  <c r="M40" i="7"/>
  <c r="M43" i="7" s="1"/>
  <c r="R45" i="21" a="1"/>
  <c r="R45" i="21" s="1"/>
  <c r="P49" i="21" a="1"/>
  <c r="P49" i="21" s="1"/>
  <c r="O45" i="21"/>
  <c r="E33" i="4"/>
  <c r="S53" i="21"/>
  <c r="Y620" i="20"/>
  <c r="T49" i="21"/>
  <c r="B34" i="11"/>
  <c r="C34" i="11"/>
  <c r="EM672" i="3" l="1"/>
  <c r="EM646" i="3"/>
  <c r="AX704" i="20"/>
  <c r="D12" i="11"/>
  <c r="C13" i="11"/>
  <c r="E70" i="4"/>
  <c r="AW116" i="20"/>
  <c r="D66" i="11"/>
  <c r="AW120" i="20"/>
  <c r="AW115" i="20"/>
  <c r="EM648" i="3"/>
  <c r="D87" i="11"/>
  <c r="D63" i="11"/>
  <c r="B70" i="13"/>
  <c r="D9" i="11"/>
  <c r="C71" i="11"/>
  <c r="D71" i="11" s="1"/>
  <c r="R12" i="4"/>
  <c r="BG726" i="3"/>
  <c r="BH726" i="3" s="1"/>
  <c r="D43" i="11"/>
  <c r="BG744" i="3"/>
  <c r="BH744" i="3" s="1"/>
  <c r="Y69" i="15"/>
  <c r="BG732" i="3"/>
  <c r="BH732" i="3" s="1"/>
  <c r="D27" i="11"/>
  <c r="BG742" i="3"/>
  <c r="BH742" i="3" s="1"/>
  <c r="BG748" i="3"/>
  <c r="BH748" i="3" s="1"/>
  <c r="EM673" i="3"/>
  <c r="BG730" i="3"/>
  <c r="BH730" i="3" s="1"/>
  <c r="AC892" i="3"/>
  <c r="AC894" i="3" s="1"/>
  <c r="D92" i="11"/>
  <c r="BG749" i="3"/>
  <c r="BH749" i="3" s="1"/>
  <c r="T838" i="20"/>
  <c r="BG752" i="3"/>
  <c r="BH752" i="3" s="1"/>
  <c r="D82" i="11"/>
  <c r="BG738" i="3"/>
  <c r="BH738" i="3" s="1"/>
  <c r="DE810" i="3"/>
  <c r="AB998" i="3" s="1"/>
  <c r="AJ998" i="3" s="1"/>
  <c r="AO60" i="20"/>
  <c r="AK61" i="20" s="1"/>
  <c r="AK83" i="20" s="1"/>
  <c r="BG751" i="3"/>
  <c r="BH751" i="3" s="1"/>
  <c r="G22" i="7"/>
  <c r="G35" i="7" s="1"/>
  <c r="BG758" i="3"/>
  <c r="BH758" i="3" s="1"/>
  <c r="BG760" i="3"/>
  <c r="BH760" i="3" s="1"/>
  <c r="D105" i="11"/>
  <c r="EW669" i="3"/>
  <c r="EM668" i="3"/>
  <c r="BG741" i="3"/>
  <c r="BH741" i="3" s="1"/>
  <c r="BG731" i="3"/>
  <c r="BH731" i="3" s="1"/>
  <c r="DX675" i="3"/>
  <c r="BG753" i="3"/>
  <c r="BH753" i="3" s="1"/>
  <c r="BG759" i="3"/>
  <c r="BH759" i="3" s="1"/>
  <c r="D78" i="11"/>
  <c r="BG740" i="3"/>
  <c r="BH740" i="3" s="1"/>
  <c r="BG750" i="3"/>
  <c r="BH750" i="3" s="1"/>
  <c r="BG756" i="3"/>
  <c r="BH756" i="3" s="1"/>
  <c r="EM667" i="3"/>
  <c r="EM645" i="3"/>
  <c r="EM675" i="3"/>
  <c r="EM676" i="3"/>
  <c r="EM656" i="3"/>
  <c r="BG739" i="3"/>
  <c r="BH739" i="3" s="1"/>
  <c r="AW117" i="20"/>
  <c r="EM669" i="3"/>
  <c r="EM671" i="3"/>
  <c r="BG745" i="3"/>
  <c r="BH745" i="3" s="1"/>
  <c r="BG754" i="3"/>
  <c r="BH754" i="3" s="1"/>
  <c r="EM652" i="3"/>
  <c r="EM653" i="3"/>
  <c r="EM643" i="3"/>
  <c r="DU807" i="3"/>
  <c r="EH654" i="3"/>
  <c r="DU808" i="3"/>
  <c r="EM654" i="3"/>
  <c r="EM657" i="3"/>
  <c r="EM677" i="3"/>
  <c r="J40" i="8"/>
  <c r="M969" i="3" s="1"/>
  <c r="M970" i="3" s="1"/>
  <c r="EH671" i="3"/>
  <c r="EH666" i="3"/>
  <c r="EM655" i="3"/>
  <c r="BG757" i="3"/>
  <c r="BH757" i="3" s="1"/>
  <c r="BG746" i="3"/>
  <c r="BH746" i="3" s="1"/>
  <c r="EM650" i="3"/>
  <c r="EM661" i="3"/>
  <c r="BG736" i="3"/>
  <c r="BH736" i="3" s="1"/>
  <c r="BG728" i="3"/>
  <c r="BH728" i="3" s="1"/>
  <c r="EM644" i="3"/>
  <c r="AW119" i="20"/>
  <c r="K53" i="7"/>
  <c r="I58" i="7"/>
  <c r="B13" i="11"/>
  <c r="J38" i="4"/>
  <c r="J63" i="4" s="1"/>
  <c r="J97" i="4" s="1"/>
  <c r="J105" i="4" s="1"/>
  <c r="E30" i="4"/>
  <c r="R30" i="4" s="1"/>
  <c r="EW673" i="3"/>
  <c r="B39" i="11"/>
  <c r="B64" i="11" s="1"/>
  <c r="DX653" i="3"/>
  <c r="EW663" i="3"/>
  <c r="ET807" i="3"/>
  <c r="I22" i="7"/>
  <c r="I35" i="7" s="1"/>
  <c r="K15" i="7"/>
  <c r="EW674" i="3"/>
  <c r="FO761" i="3"/>
  <c r="I1057" i="3"/>
  <c r="I1061" i="3"/>
  <c r="AY1015" i="3" s="1"/>
  <c r="EW671" i="3"/>
  <c r="DX647" i="3"/>
  <c r="EM647" i="3"/>
  <c r="EM660" i="3"/>
  <c r="EM674" i="3"/>
  <c r="EM658" i="3"/>
  <c r="EM649" i="3"/>
  <c r="EM651" i="3"/>
  <c r="EM659" i="3"/>
  <c r="EM665" i="3"/>
  <c r="EM666" i="3"/>
  <c r="EM670" i="3"/>
  <c r="EM663" i="3"/>
  <c r="EW652" i="3"/>
  <c r="B96" i="13"/>
  <c r="EM664" i="3"/>
  <c r="EW647" i="3"/>
  <c r="D34" i="11"/>
  <c r="BG727" i="3"/>
  <c r="BH727" i="3" s="1"/>
  <c r="BG733" i="3"/>
  <c r="BH733" i="3" s="1"/>
  <c r="BG747" i="3"/>
  <c r="BH747" i="3" s="1"/>
  <c r="BG755" i="3"/>
  <c r="BH755" i="3" s="1"/>
  <c r="BG735" i="3"/>
  <c r="BH735" i="3" s="1"/>
  <c r="BG734" i="3"/>
  <c r="BH734" i="3" s="1"/>
  <c r="BG743" i="3"/>
  <c r="BH743" i="3" s="1"/>
  <c r="EM662" i="3"/>
  <c r="BA1048" i="3"/>
  <c r="BA1057" i="3" s="1" a="1"/>
  <c r="BA1057" i="3" s="1"/>
  <c r="X1057" i="3"/>
  <c r="FT761" i="3"/>
  <c r="ER660" i="3"/>
  <c r="E29" i="21"/>
  <c r="F24" i="21"/>
  <c r="B38" i="13"/>
  <c r="B38" i="4"/>
  <c r="C63" i="4"/>
  <c r="B97" i="11"/>
  <c r="D90" i="11"/>
  <c r="S63" i="4"/>
  <c r="E38" i="13"/>
  <c r="Y809" i="3"/>
  <c r="N184" i="24"/>
  <c r="N190" i="24" s="1"/>
  <c r="B12" i="4"/>
  <c r="ER675" i="3"/>
  <c r="ER670" i="3"/>
  <c r="ER674" i="3"/>
  <c r="DN763" i="3"/>
  <c r="ER665" i="3"/>
  <c r="ER666" i="3"/>
  <c r="ER672" i="3"/>
  <c r="ER649" i="3"/>
  <c r="ER653" i="3"/>
  <c r="ER655" i="3"/>
  <c r="ER643" i="3"/>
  <c r="ER667" i="3"/>
  <c r="ER652" i="3"/>
  <c r="ER671" i="3"/>
  <c r="ER661" i="3"/>
  <c r="ER646" i="3"/>
  <c r="ER659" i="3"/>
  <c r="ER650" i="3"/>
  <c r="ER657" i="3"/>
  <c r="AX705" i="20"/>
  <c r="ER645" i="3"/>
  <c r="ER656" i="3"/>
  <c r="ER648" i="3"/>
  <c r="ER644" i="3"/>
  <c r="ER664" i="3"/>
  <c r="ER677" i="3"/>
  <c r="ER654" i="3"/>
  <c r="DJ810" i="3"/>
  <c r="ER647" i="3"/>
  <c r="ER669" i="3"/>
  <c r="T18" i="21"/>
  <c r="G60" i="21" s="1"/>
  <c r="G42" i="21" a="1"/>
  <c r="G42" i="21" s="1"/>
  <c r="G43" i="21" s="1"/>
  <c r="ER662" i="3"/>
  <c r="I8" i="7"/>
  <c r="G9" i="7"/>
  <c r="EW650" i="3"/>
  <c r="R33" i="4"/>
  <c r="ER651" i="3"/>
  <c r="C97" i="11"/>
  <c r="D89" i="11"/>
  <c r="BT738" i="3"/>
  <c r="BU738" i="3" s="1"/>
  <c r="BT736" i="3"/>
  <c r="BU736" i="3" s="1"/>
  <c r="BT760" i="3"/>
  <c r="BU760" i="3" s="1"/>
  <c r="BT746" i="3"/>
  <c r="BU746" i="3" s="1"/>
  <c r="BT729" i="3"/>
  <c r="BU729" i="3" s="1"/>
  <c r="BT748" i="3"/>
  <c r="BU748" i="3" s="1"/>
  <c r="BT750" i="3"/>
  <c r="BU750" i="3" s="1"/>
  <c r="BT759" i="3"/>
  <c r="BU759" i="3" s="1"/>
  <c r="BT743" i="3"/>
  <c r="BU743" i="3" s="1"/>
  <c r="BT731" i="3"/>
  <c r="BU731" i="3" s="1"/>
  <c r="BT733" i="3"/>
  <c r="BU733" i="3" s="1"/>
  <c r="BT753" i="3"/>
  <c r="BU753" i="3" s="1"/>
  <c r="BT756" i="3"/>
  <c r="BU756" i="3" s="1"/>
  <c r="BT754" i="3"/>
  <c r="BU754" i="3" s="1"/>
  <c r="BT740" i="3"/>
  <c r="BU740" i="3" s="1"/>
  <c r="BT739" i="3"/>
  <c r="BU739" i="3" s="1"/>
  <c r="BT728" i="3"/>
  <c r="BU728" i="3" s="1"/>
  <c r="BT734" i="3"/>
  <c r="BU734" i="3" s="1"/>
  <c r="BT741" i="3"/>
  <c r="BU741" i="3" s="1"/>
  <c r="BT744" i="3"/>
  <c r="BU744" i="3" s="1"/>
  <c r="BT737" i="3"/>
  <c r="BU737" i="3" s="1"/>
  <c r="BT727" i="3"/>
  <c r="BU727" i="3" s="1"/>
  <c r="BT745" i="3"/>
  <c r="BU745" i="3" s="1"/>
  <c r="BT751" i="3"/>
  <c r="BU751" i="3" s="1"/>
  <c r="BT757" i="3"/>
  <c r="BU757" i="3" s="1"/>
  <c r="BT747" i="3"/>
  <c r="BU747" i="3" s="1"/>
  <c r="BT755" i="3"/>
  <c r="BU755" i="3" s="1"/>
  <c r="BT735" i="3"/>
  <c r="BU735" i="3" s="1"/>
  <c r="BT758" i="3"/>
  <c r="BU758" i="3" s="1"/>
  <c r="BT730" i="3"/>
  <c r="BU730" i="3" s="1"/>
  <c r="BT749" i="3"/>
  <c r="BU749" i="3" s="1"/>
  <c r="BT732" i="3"/>
  <c r="BU732" i="3" s="1"/>
  <c r="BT752" i="3"/>
  <c r="BU752" i="3" s="1"/>
  <c r="BT726" i="3"/>
  <c r="BT742" i="3"/>
  <c r="BU742" i="3" s="1"/>
  <c r="BE13" i="3"/>
  <c r="BE14" i="3" s="1"/>
  <c r="EW648" i="3"/>
  <c r="FY761" i="3"/>
  <c r="D53" i="11"/>
  <c r="C55" i="11"/>
  <c r="D55" i="11" s="1"/>
  <c r="ER658" i="3"/>
  <c r="EW672" i="3"/>
  <c r="EH655" i="3"/>
  <c r="E54" i="4"/>
  <c r="R52" i="4"/>
  <c r="R54" i="4" s="1"/>
  <c r="EW660" i="3"/>
  <c r="EC648" i="3"/>
  <c r="EC657" i="3"/>
  <c r="EC662" i="3"/>
  <c r="CU810" i="3"/>
  <c r="AB996" i="3" s="1"/>
  <c r="AJ996" i="3" s="1"/>
  <c r="EC673" i="3"/>
  <c r="EC646" i="3"/>
  <c r="EC655" i="3"/>
  <c r="EC651" i="3"/>
  <c r="EC645" i="3"/>
  <c r="EC652" i="3"/>
  <c r="EC663" i="3"/>
  <c r="EC674" i="3"/>
  <c r="EC649" i="3"/>
  <c r="EC670" i="3"/>
  <c r="EC653" i="3"/>
  <c r="CY763" i="3"/>
  <c r="EC672" i="3"/>
  <c r="EC654" i="3"/>
  <c r="EC671" i="3"/>
  <c r="EC668" i="3"/>
  <c r="EC650" i="3"/>
  <c r="EC665" i="3"/>
  <c r="EC647" i="3"/>
  <c r="EC658" i="3"/>
  <c r="EC676" i="3"/>
  <c r="EC677" i="3"/>
  <c r="EC659" i="3"/>
  <c r="EC660" i="3"/>
  <c r="EC656" i="3"/>
  <c r="EC667" i="3"/>
  <c r="EC644" i="3"/>
  <c r="EC661" i="3"/>
  <c r="EC675" i="3"/>
  <c r="EC666" i="3"/>
  <c r="EC664" i="3"/>
  <c r="EW662" i="3"/>
  <c r="EH645" i="3"/>
  <c r="AG1058" i="3"/>
  <c r="DX659" i="3"/>
  <c r="DX643" i="3"/>
  <c r="DX658" i="3"/>
  <c r="DX677" i="3"/>
  <c r="DX662" i="3"/>
  <c r="CP810" i="3"/>
  <c r="AB995" i="3" s="1"/>
  <c r="DX670" i="3"/>
  <c r="DX650" i="3"/>
  <c r="DX664" i="3"/>
  <c r="DX672" i="3"/>
  <c r="DX667" i="3"/>
  <c r="DX661" i="3"/>
  <c r="DX652" i="3"/>
  <c r="DX651" i="3"/>
  <c r="CT763" i="3"/>
  <c r="DX673" i="3"/>
  <c r="DX648" i="3"/>
  <c r="DX668" i="3"/>
  <c r="DX645" i="3"/>
  <c r="DX663" i="3"/>
  <c r="DX671" i="3"/>
  <c r="DX669" i="3"/>
  <c r="DX666" i="3"/>
  <c r="DO762" i="3"/>
  <c r="DX676" i="3"/>
  <c r="DX655" i="3"/>
  <c r="DX649" i="3"/>
  <c r="DX644" i="3"/>
  <c r="DX674" i="3"/>
  <c r="DX646" i="3"/>
  <c r="DX660" i="3"/>
  <c r="DX656" i="3"/>
  <c r="DX654" i="3"/>
  <c r="ER673" i="3"/>
  <c r="AS375" i="20"/>
  <c r="AS371" i="20" s="1"/>
  <c r="AK482" i="20" s="1"/>
  <c r="T839" i="20" s="1"/>
  <c r="AF839" i="20" s="1"/>
  <c r="BE80" i="3" s="1"/>
  <c r="AS373" i="20"/>
  <c r="T97" i="4"/>
  <c r="H63" i="13"/>
  <c r="ER663" i="3"/>
  <c r="BA1067" i="3"/>
  <c r="E104" i="13"/>
  <c r="EH675" i="3"/>
  <c r="EH660" i="3"/>
  <c r="EH673" i="3"/>
  <c r="EH656" i="3"/>
  <c r="DD763" i="3"/>
  <c r="EH648" i="3"/>
  <c r="EH650" i="3"/>
  <c r="EH652" i="3"/>
  <c r="EH672" i="3"/>
  <c r="EH663" i="3"/>
  <c r="EH674" i="3"/>
  <c r="EH667" i="3"/>
  <c r="EH669" i="3"/>
  <c r="EH670" i="3"/>
  <c r="EH662" i="3"/>
  <c r="EH643" i="3"/>
  <c r="EH653" i="3"/>
  <c r="EH646" i="3"/>
  <c r="EH677" i="3"/>
  <c r="EH649" i="3"/>
  <c r="EH658" i="3"/>
  <c r="EH668" i="3"/>
  <c r="CZ810" i="3"/>
  <c r="AB997" i="3" s="1"/>
  <c r="AJ997" i="3" s="1"/>
  <c r="EH659" i="3"/>
  <c r="EH657" i="3"/>
  <c r="EH665" i="3"/>
  <c r="EH664" i="3"/>
  <c r="EH644" i="3"/>
  <c r="AX706" i="20"/>
  <c r="EW653" i="3"/>
  <c r="EW668" i="3"/>
  <c r="EW676" i="3"/>
  <c r="EW643" i="3"/>
  <c r="EW644" i="3"/>
  <c r="EW649" i="3"/>
  <c r="EW658" i="3"/>
  <c r="DS763" i="3"/>
  <c r="EW665" i="3"/>
  <c r="EW646" i="3"/>
  <c r="EW675" i="3"/>
  <c r="EW645" i="3"/>
  <c r="EW667" i="3"/>
  <c r="EW659" i="3"/>
  <c r="EW654" i="3"/>
  <c r="EW661" i="3"/>
  <c r="EW670" i="3"/>
  <c r="EW657" i="3"/>
  <c r="EW656" i="3"/>
  <c r="EW651" i="3"/>
  <c r="EW655" i="3"/>
  <c r="EW666" i="3"/>
  <c r="EW677" i="3"/>
  <c r="E96" i="4"/>
  <c r="R83" i="4"/>
  <c r="R96" i="4" s="1"/>
  <c r="FE761" i="3"/>
  <c r="EC643" i="3"/>
  <c r="EH647" i="3"/>
  <c r="ER668" i="3"/>
  <c r="B54" i="13"/>
  <c r="B54" i="4"/>
  <c r="DX665" i="3"/>
  <c r="D31" i="11"/>
  <c r="C39" i="11"/>
  <c r="ER676" i="3"/>
  <c r="EH676" i="3"/>
  <c r="EH651" i="3"/>
  <c r="DO810" i="3"/>
  <c r="DS786" i="3"/>
  <c r="DU786" i="3" s="1"/>
  <c r="FJ761" i="3"/>
  <c r="DU785" i="3"/>
  <c r="J29" i="24"/>
  <c r="AT28" i="24" s="1"/>
  <c r="D13" i="11" l="1"/>
  <c r="B98" i="11"/>
  <c r="B106" i="11" s="1"/>
  <c r="R38" i="4"/>
  <c r="R63" i="4" s="1"/>
  <c r="R97" i="4" s="1"/>
  <c r="Z817" i="3"/>
  <c r="E6" i="7" s="1"/>
  <c r="E7" i="7" s="1"/>
  <c r="T826" i="20"/>
  <c r="AF826" i="20" s="1"/>
  <c r="AW121" i="20"/>
  <c r="G37" i="21"/>
  <c r="S25" i="21" s="1"/>
  <c r="E38" i="4"/>
  <c r="E63" i="4" s="1"/>
  <c r="E97" i="4" s="1"/>
  <c r="B63" i="4"/>
  <c r="EM678" i="3"/>
  <c r="T129" i="20" s="1"/>
  <c r="T132" i="20" s="1"/>
  <c r="T135" i="20" s="1"/>
  <c r="AX707" i="20"/>
  <c r="AY708" i="20" s="1"/>
  <c r="AO708" i="20" s="1"/>
  <c r="G6" i="7"/>
  <c r="I6" i="7" s="1"/>
  <c r="AB999" i="3"/>
  <c r="AJ999" i="3" s="1"/>
  <c r="D97" i="11"/>
  <c r="EC678" i="3"/>
  <c r="J129" i="20" s="1"/>
  <c r="J132" i="20" s="1"/>
  <c r="J135" i="20" s="1"/>
  <c r="ER678" i="3"/>
  <c r="Y129" i="20" s="1"/>
  <c r="Y132" i="20" s="1"/>
  <c r="Y135" i="20" s="1"/>
  <c r="BG761" i="3"/>
  <c r="BH761" i="3"/>
  <c r="AC761" i="3" s="1"/>
  <c r="E92" i="20" s="1"/>
  <c r="E93" i="20" s="1"/>
  <c r="E94" i="20" s="1"/>
  <c r="AP94" i="20" s="1"/>
  <c r="AK108" i="20" s="1"/>
  <c r="T828" i="20" s="1"/>
  <c r="AF828" i="20" s="1"/>
  <c r="BE73" i="3" s="1"/>
  <c r="M53" i="7"/>
  <c r="K58" i="7"/>
  <c r="M15" i="7"/>
  <c r="K22" i="7"/>
  <c r="K35" i="7" s="1"/>
  <c r="S97" i="4"/>
  <c r="E63" i="13"/>
  <c r="H97" i="13"/>
  <c r="AZ1056" i="3"/>
  <c r="T105" i="4"/>
  <c r="BU726" i="3"/>
  <c r="BU761" i="3" s="1"/>
  <c r="AH761" i="3" s="1"/>
  <c r="BE43" i="3" s="1"/>
  <c r="BT761" i="3"/>
  <c r="BB6" i="24" a="1"/>
  <c r="BB6" i="24" s="1"/>
  <c r="F27" i="21"/>
  <c r="G61" i="21"/>
  <c r="G63" i="21" s="1"/>
  <c r="G65" i="21" s="1"/>
  <c r="E13" i="21" s="1"/>
  <c r="G52" i="21"/>
  <c r="G54" i="21" s="1"/>
  <c r="G56" i="21" s="1"/>
  <c r="E12" i="21" s="1"/>
  <c r="F28" i="21"/>
  <c r="G28" i="21" s="1"/>
  <c r="AT21" i="24"/>
  <c r="I9" i="7"/>
  <c r="K8" i="7"/>
  <c r="BE15" i="3"/>
  <c r="AJ995" i="3"/>
  <c r="B63" i="13"/>
  <c r="C97" i="4"/>
  <c r="BB4" i="24" a="1"/>
  <c r="BB4" i="24" s="1"/>
  <c r="EW678" i="3"/>
  <c r="AD129" i="20" s="1"/>
  <c r="AD132" i="20" s="1"/>
  <c r="AD135" i="20" s="1"/>
  <c r="DU763" i="3"/>
  <c r="EH678" i="3"/>
  <c r="O129" i="20" s="1"/>
  <c r="O132" i="20" s="1"/>
  <c r="O135" i="20" s="1"/>
  <c r="BE71" i="3"/>
  <c r="AG1054" i="3"/>
  <c r="AY1014" i="3"/>
  <c r="DX678" i="3"/>
  <c r="E129" i="20" s="1"/>
  <c r="E132" i="20" s="1"/>
  <c r="E135" i="20" s="1"/>
  <c r="G24" i="21"/>
  <c r="D39" i="11"/>
  <c r="C64" i="11"/>
  <c r="S22" i="21"/>
  <c r="S23" i="21"/>
  <c r="AY47" i="24"/>
  <c r="AT27" i="24"/>
  <c r="AY37" i="24"/>
  <c r="AY38" i="24"/>
  <c r="AY36" i="24"/>
  <c r="AY44" i="24"/>
  <c r="AT23" i="24"/>
  <c r="AY39" i="24"/>
  <c r="AT26" i="24"/>
  <c r="AT29" i="24"/>
  <c r="AT25" i="24"/>
  <c r="AY46" i="24"/>
  <c r="AT20" i="24"/>
  <c r="AY40" i="24"/>
  <c r="AY41" i="24"/>
  <c r="AY45" i="24"/>
  <c r="AY42" i="24"/>
  <c r="AT22" i="24"/>
  <c r="AY43" i="24"/>
  <c r="AT19" i="24"/>
  <c r="AT24" i="24"/>
  <c r="AK190" i="20"/>
  <c r="T833" i="20" s="1"/>
  <c r="AF833" i="20" s="1"/>
  <c r="BE76" i="3" s="1"/>
  <c r="T827" i="20"/>
  <c r="AF827" i="20" s="1"/>
  <c r="BE72" i="3" s="1"/>
  <c r="E4" i="7"/>
  <c r="Z826" i="3"/>
  <c r="BB5" i="24" a="1"/>
  <c r="BB5" i="24" s="1"/>
  <c r="C39" i="21" l="1"/>
  <c r="G159" i="21"/>
  <c r="I17" i="21" s="1"/>
  <c r="S24" i="21"/>
  <c r="S20" i="21"/>
  <c r="S21" i="21"/>
  <c r="AJ1001" i="3"/>
  <c r="AJ1022" i="3" s="1"/>
  <c r="AB1000" i="3"/>
  <c r="E102" i="20"/>
  <c r="E105" i="20" s="1"/>
  <c r="BE42" i="3"/>
  <c r="AX708" i="20"/>
  <c r="G7" i="7"/>
  <c r="O15" i="7"/>
  <c r="M22" i="7"/>
  <c r="M35" i="7" s="1"/>
  <c r="O53" i="7"/>
  <c r="M58" i="7"/>
  <c r="AJ1054" i="3"/>
  <c r="AP565" i="20" s="1"/>
  <c r="E11" i="21"/>
  <c r="P430" i="3"/>
  <c r="O764" i="3"/>
  <c r="DU810" i="3"/>
  <c r="U386" i="20" s="1"/>
  <c r="G27" i="21"/>
  <c r="F26" i="21"/>
  <c r="C98" i="11"/>
  <c r="D64" i="11"/>
  <c r="AJ1041" i="3"/>
  <c r="AP563" i="20"/>
  <c r="AJ1025" i="3"/>
  <c r="AJ1003" i="3"/>
  <c r="AJ1029" i="3"/>
  <c r="H105" i="13"/>
  <c r="T107" i="4"/>
  <c r="H107" i="13" s="1"/>
  <c r="AP718" i="20"/>
  <c r="AP719" i="20"/>
  <c r="E137" i="20"/>
  <c r="E138" i="20" s="1"/>
  <c r="AK142" i="20" s="1"/>
  <c r="T829" i="20" s="1"/>
  <c r="AF829" i="20" s="1"/>
  <c r="I7" i="7"/>
  <c r="K6" i="7"/>
  <c r="K9" i="7"/>
  <c r="M8" i="7"/>
  <c r="B97" i="4"/>
  <c r="C105" i="4"/>
  <c r="B97" i="13"/>
  <c r="S105" i="4"/>
  <c r="E97" i="13"/>
  <c r="AZ1055" i="3"/>
  <c r="G4" i="7"/>
  <c r="E5" i="7"/>
  <c r="E11" i="7" s="1"/>
  <c r="E37" i="7" s="1"/>
  <c r="AJ1058" i="3"/>
  <c r="AP566" i="20" s="1"/>
  <c r="AP567" i="20" l="1"/>
  <c r="G45" i="21"/>
  <c r="G47" i="21" s="1"/>
  <c r="E10" i="21" s="1"/>
  <c r="Q53" i="7"/>
  <c r="O58" i="7"/>
  <c r="O22" i="7"/>
  <c r="O35" i="7" s="1"/>
  <c r="Q15" i="7"/>
  <c r="O8" i="7"/>
  <c r="M9" i="7"/>
  <c r="C106" i="11"/>
  <c r="D106" i="11" s="1"/>
  <c r="D98" i="11"/>
  <c r="E45" i="7"/>
  <c r="E49" i="7"/>
  <c r="G5" i="7"/>
  <c r="G11" i="7" s="1"/>
  <c r="G37" i="7" s="1"/>
  <c r="I4" i="7"/>
  <c r="AZ1060" i="3"/>
  <c r="BA1065" i="3"/>
  <c r="BE74" i="3"/>
  <c r="B105" i="4"/>
  <c r="AM568" i="3" s="1"/>
  <c r="AM574" i="3" s="1"/>
  <c r="B105" i="13"/>
  <c r="AG268" i="20"/>
  <c r="BE101" i="3"/>
  <c r="AC464" i="3"/>
  <c r="AJ1045" i="3"/>
  <c r="AJ1062" i="3" s="1"/>
  <c r="I15" i="21"/>
  <c r="K7" i="7"/>
  <c r="M6" i="7"/>
  <c r="G26" i="21"/>
  <c r="F29" i="21"/>
  <c r="G29" i="21"/>
  <c r="S107" i="4"/>
  <c r="E105" i="13"/>
  <c r="I9" i="21"/>
  <c r="AI11" i="15"/>
  <c r="AI23" i="15" s="1"/>
  <c r="AI26" i="15" s="1"/>
  <c r="AI28" i="15" s="1"/>
  <c r="AD11" i="15"/>
  <c r="AD23" i="15" s="1"/>
  <c r="AD26" i="15" s="1"/>
  <c r="AD28" i="15" s="1"/>
  <c r="BA1064" i="3" l="1"/>
  <c r="BA1068" i="3" s="1"/>
  <c r="Q22" i="7"/>
  <c r="Q35" i="7" s="1"/>
  <c r="S15" i="7"/>
  <c r="S53" i="7"/>
  <c r="Q58" i="7"/>
  <c r="T24" i="15"/>
  <c r="AP570" i="20"/>
  <c r="AP569" i="20" s="1"/>
  <c r="AP572" i="20" s="1"/>
  <c r="AF565" i="20" s="1"/>
  <c r="AE707" i="3"/>
  <c r="AA1065" i="3"/>
  <c r="AA1066" i="3" s="1"/>
  <c r="G1067" i="3" s="1"/>
  <c r="E107" i="13"/>
  <c r="AC465" i="3"/>
  <c r="AF564" i="20"/>
  <c r="E48" i="7"/>
  <c r="E60" i="7"/>
  <c r="E47" i="7"/>
  <c r="G93" i="21"/>
  <c r="G94" i="21" s="1"/>
  <c r="E15" i="21" s="1"/>
  <c r="G31" i="21"/>
  <c r="G33" i="21" s="1"/>
  <c r="E9" i="21" s="1"/>
  <c r="G110" i="21"/>
  <c r="G125" i="21"/>
  <c r="G102" i="21"/>
  <c r="G104" i="21" s="1"/>
  <c r="E16" i="21" s="1"/>
  <c r="G49" i="7"/>
  <c r="G45" i="7"/>
  <c r="I5" i="7"/>
  <c r="K4" i="7"/>
  <c r="I11" i="7"/>
  <c r="I37" i="7" s="1"/>
  <c r="O6" i="7"/>
  <c r="M7" i="7"/>
  <c r="O9" i="7"/>
  <c r="Q8" i="7"/>
  <c r="BE22" i="3"/>
  <c r="AC463" i="3"/>
  <c r="BE44" i="3" s="1"/>
  <c r="AB265" i="20"/>
  <c r="AG267" i="20" s="1"/>
  <c r="AG269" i="20" s="1"/>
  <c r="AK272" i="20" s="1"/>
  <c r="T834" i="20" s="1"/>
  <c r="AO640" i="3"/>
  <c r="AB47" i="15"/>
  <c r="N180" i="24"/>
  <c r="G166" i="21"/>
  <c r="G165" i="21"/>
  <c r="AF566" i="20" l="1"/>
  <c r="AK572" i="20" s="1"/>
  <c r="T840" i="20" s="1"/>
  <c r="AF840" i="20" s="1"/>
  <c r="S58" i="7"/>
  <c r="U53" i="7"/>
  <c r="U15" i="7"/>
  <c r="S22" i="7"/>
  <c r="S35" i="7" s="1"/>
  <c r="Q6" i="7"/>
  <c r="O7" i="7"/>
  <c r="E62" i="7"/>
  <c r="E72" i="7" s="1"/>
  <c r="I45" i="7"/>
  <c r="I49" i="7"/>
  <c r="M4" i="7"/>
  <c r="K5" i="7"/>
  <c r="K11" i="7" s="1"/>
  <c r="K37" i="7" s="1"/>
  <c r="G47" i="7"/>
  <c r="G48" i="7"/>
  <c r="G60" i="7"/>
  <c r="AO647" i="3"/>
  <c r="K108" i="4"/>
  <c r="K99" i="4" s="1"/>
  <c r="Q9" i="7"/>
  <c r="S8" i="7"/>
  <c r="N191" i="24"/>
  <c r="N181" i="24"/>
  <c r="BE81" i="3"/>
  <c r="AF843" i="20"/>
  <c r="BE70" i="3" s="1"/>
  <c r="T11" i="15"/>
  <c r="T23" i="15" s="1"/>
  <c r="T26" i="15" s="1"/>
  <c r="T28" i="15" s="1"/>
  <c r="Y11" i="15"/>
  <c r="Y23" i="15" s="1"/>
  <c r="Y26" i="15" s="1"/>
  <c r="Y28" i="15" s="1"/>
  <c r="G127" i="21"/>
  <c r="G111" i="21"/>
  <c r="G115" i="21"/>
  <c r="U58" i="7" l="1"/>
  <c r="W53" i="7"/>
  <c r="W15" i="7"/>
  <c r="U22" i="7"/>
  <c r="U35" i="7" s="1"/>
  <c r="Y38" i="15"/>
  <c r="Y40" i="15" s="1"/>
  <c r="K49" i="7"/>
  <c r="K45" i="7"/>
  <c r="G67" i="7"/>
  <c r="G66" i="7"/>
  <c r="G70" i="7" s="1"/>
  <c r="G62" i="7"/>
  <c r="E99" i="4"/>
  <c r="K104" i="4"/>
  <c r="K105" i="4" s="1"/>
  <c r="G129" i="21"/>
  <c r="E17" i="21" s="1"/>
  <c r="E14" i="21" s="1"/>
  <c r="E18" i="21" s="1"/>
  <c r="H3" i="21" s="1"/>
  <c r="T29" i="15"/>
  <c r="O4" i="7"/>
  <c r="M5" i="7"/>
  <c r="M11" i="7" s="1"/>
  <c r="M37" i="7" s="1"/>
  <c r="Q7" i="7"/>
  <c r="S6" i="7"/>
  <c r="AB48" i="15"/>
  <c r="AB49" i="15" s="1"/>
  <c r="AO649" i="3"/>
  <c r="I47" i="7"/>
  <c r="I60" i="7"/>
  <c r="I48" i="7"/>
  <c r="U8" i="7"/>
  <c r="S9" i="7"/>
  <c r="AD38" i="15"/>
  <c r="AD40" i="15" s="1"/>
  <c r="Y41" i="15" l="1"/>
  <c r="G72" i="7"/>
  <c r="W58" i="7"/>
  <c r="Y53" i="7"/>
  <c r="Y15" i="7"/>
  <c r="W22" i="7"/>
  <c r="W35" i="7" s="1"/>
  <c r="M45" i="7"/>
  <c r="M49" i="7"/>
  <c r="Q4" i="7"/>
  <c r="O5" i="7"/>
  <c r="O11" i="7" s="1"/>
  <c r="O37" i="7" s="1"/>
  <c r="U9" i="7"/>
  <c r="W8" i="7"/>
  <c r="R99" i="4"/>
  <c r="R104" i="4" s="1"/>
  <c r="R105" i="4" s="1"/>
  <c r="E104" i="4"/>
  <c r="E105" i="4" s="1"/>
  <c r="I62" i="7"/>
  <c r="I67" i="7"/>
  <c r="I66" i="7"/>
  <c r="K47" i="7"/>
  <c r="K60" i="7"/>
  <c r="K48" i="7"/>
  <c r="AB50" i="15"/>
  <c r="BE62" i="3" s="1"/>
  <c r="S7" i="7"/>
  <c r="U6" i="7"/>
  <c r="I70" i="7" l="1"/>
  <c r="I72" i="7" s="1"/>
  <c r="AA15" i="7"/>
  <c r="Y22" i="7"/>
  <c r="Y35" i="7" s="1"/>
  <c r="Y58" i="7"/>
  <c r="AA53" i="7"/>
  <c r="O45" i="7"/>
  <c r="O49" i="7"/>
  <c r="AB54" i="15"/>
  <c r="AB55" i="15" s="1"/>
  <c r="AB56" i="15" s="1"/>
  <c r="W6" i="7"/>
  <c r="U7" i="7"/>
  <c r="Q5" i="7"/>
  <c r="Q11" i="7" s="1"/>
  <c r="Q37" i="7" s="1"/>
  <c r="S4" i="7"/>
  <c r="Y8" i="7"/>
  <c r="W9" i="7"/>
  <c r="K67" i="7"/>
  <c r="K66" i="7"/>
  <c r="K70" i="7" s="1"/>
  <c r="K62" i="7"/>
  <c r="M48" i="7"/>
  <c r="M60" i="7"/>
  <c r="M47" i="7"/>
  <c r="K72" i="7" l="1"/>
  <c r="AC53" i="7"/>
  <c r="AA58" i="7"/>
  <c r="AA22" i="7"/>
  <c r="AA35" i="7" s="1"/>
  <c r="AC15" i="7"/>
  <c r="Q49" i="7"/>
  <c r="Q45" i="7"/>
  <c r="Y9" i="7"/>
  <c r="AA8" i="7"/>
  <c r="U4" i="7"/>
  <c r="S5" i="7"/>
  <c r="S11" i="7" s="1"/>
  <c r="S37" i="7" s="1"/>
  <c r="Y6" i="7"/>
  <c r="W7" i="7"/>
  <c r="M66" i="7"/>
  <c r="M67" i="7"/>
  <c r="M62" i="7"/>
  <c r="AB57" i="15"/>
  <c r="M26" i="3"/>
  <c r="O48" i="7"/>
  <c r="O60" i="7"/>
  <c r="O47" i="7"/>
  <c r="AC22" i="7" l="1"/>
  <c r="AC35" i="7" s="1"/>
  <c r="AE15" i="7"/>
  <c r="AE53" i="7"/>
  <c r="AC58" i="7"/>
  <c r="O66" i="7"/>
  <c r="O62" i="7"/>
  <c r="O67" i="7"/>
  <c r="P204" i="3"/>
  <c r="BE19" i="3"/>
  <c r="S49" i="7"/>
  <c r="S45" i="7"/>
  <c r="AB59" i="15"/>
  <c r="AB77" i="15" s="1"/>
  <c r="AB78" i="15" s="1"/>
  <c r="M70" i="7"/>
  <c r="M72" i="7" s="1"/>
  <c r="AA6" i="7"/>
  <c r="Y7" i="7"/>
  <c r="U5" i="7"/>
  <c r="U11" i="7" s="1"/>
  <c r="U37" i="7" s="1"/>
  <c r="W4" i="7"/>
  <c r="AA9" i="7"/>
  <c r="AC8" i="7"/>
  <c r="Q60" i="7"/>
  <c r="Q47" i="7"/>
  <c r="Q48" i="7"/>
  <c r="AG15" i="7" l="1"/>
  <c r="AG22" i="7" s="1"/>
  <c r="AG35" i="7" s="1"/>
  <c r="AE22" i="7"/>
  <c r="AE35" i="7" s="1"/>
  <c r="AE58" i="7"/>
  <c r="AG53" i="7"/>
  <c r="AG58" i="7" s="1"/>
  <c r="U45" i="7"/>
  <c r="U49" i="7"/>
  <c r="AC6" i="7"/>
  <c r="AA7" i="7"/>
  <c r="S60" i="7"/>
  <c r="S47" i="7"/>
  <c r="S48" i="7"/>
  <c r="AB79" i="15"/>
  <c r="AB81" i="15" s="1"/>
  <c r="J82" i="15" s="1"/>
  <c r="M27" i="3"/>
  <c r="I10" i="21"/>
  <c r="I11" i="21" s="1"/>
  <c r="I18" i="21" s="1"/>
  <c r="H4" i="21" s="1"/>
  <c r="H5" i="21" s="1"/>
  <c r="BE83" i="3" s="1"/>
  <c r="O70" i="7"/>
  <c r="O72" i="7" s="1"/>
  <c r="Q62" i="7"/>
  <c r="Q67" i="7"/>
  <c r="Q66" i="7"/>
  <c r="Q70" i="7" s="1"/>
  <c r="AE8" i="7"/>
  <c r="AC9" i="7"/>
  <c r="W5" i="7"/>
  <c r="W11" i="7"/>
  <c r="W37" i="7" s="1"/>
  <c r="Y4" i="7"/>
  <c r="Q72" i="7" l="1"/>
  <c r="AE9" i="7"/>
  <c r="AG8" i="7"/>
  <c r="AG9" i="7" s="1"/>
  <c r="BE20" i="3"/>
  <c r="P205" i="3"/>
  <c r="S66" i="7"/>
  <c r="S62" i="7"/>
  <c r="S67" i="7"/>
  <c r="Y5" i="7"/>
  <c r="Y11" i="7" s="1"/>
  <c r="Y37" i="7" s="1"/>
  <c r="AA4" i="7"/>
  <c r="W45" i="7"/>
  <c r="W49" i="7"/>
  <c r="AE6" i="7"/>
  <c r="AC7" i="7"/>
  <c r="U48" i="7"/>
  <c r="U47" i="7"/>
  <c r="U60" i="7"/>
  <c r="AG6" i="7" l="1"/>
  <c r="AG7" i="7" s="1"/>
  <c r="AE7" i="7"/>
  <c r="W47" i="7"/>
  <c r="W48" i="7"/>
  <c r="W60" i="7"/>
  <c r="AC4" i="7"/>
  <c r="AA5" i="7"/>
  <c r="AA11" i="7" s="1"/>
  <c r="AA37" i="7" s="1"/>
  <c r="U62" i="7"/>
  <c r="U66" i="7"/>
  <c r="U67" i="7"/>
  <c r="Y45" i="7"/>
  <c r="Y49" i="7"/>
  <c r="S70" i="7"/>
  <c r="S72" i="7" s="1"/>
  <c r="AA49" i="7" l="1"/>
  <c r="AA45" i="7"/>
  <c r="U70" i="7"/>
  <c r="U72" i="7" s="1"/>
  <c r="W66" i="7"/>
  <c r="W67" i="7"/>
  <c r="W62" i="7"/>
  <c r="Y48" i="7"/>
  <c r="Y60" i="7"/>
  <c r="Y47" i="7"/>
  <c r="AC5" i="7"/>
  <c r="AC11" i="7" s="1"/>
  <c r="AC37" i="7" s="1"/>
  <c r="AE4" i="7"/>
  <c r="W70" i="7" l="1"/>
  <c r="W72" i="7" s="1"/>
  <c r="AG4" i="7"/>
  <c r="AE5" i="7"/>
  <c r="AE11" i="7"/>
  <c r="AE37" i="7" s="1"/>
  <c r="AC45" i="7"/>
  <c r="AC49" i="7"/>
  <c r="Y67" i="7"/>
  <c r="Y66" i="7"/>
  <c r="Y70" i="7" s="1"/>
  <c r="Y62" i="7"/>
  <c r="AA48" i="7"/>
  <c r="AA60" i="7"/>
  <c r="AA47" i="7"/>
  <c r="Y72" i="7" l="1"/>
  <c r="AC48" i="7"/>
  <c r="AC60" i="7"/>
  <c r="AC47" i="7"/>
  <c r="AA67" i="7"/>
  <c r="AA62" i="7"/>
  <c r="AA66" i="7"/>
  <c r="AA70" i="7" s="1"/>
  <c r="AA72" i="7" s="1"/>
  <c r="AE45" i="7"/>
  <c r="AE49" i="7"/>
  <c r="AG5" i="7"/>
  <c r="AG11" i="7" s="1"/>
  <c r="AG37" i="7" s="1"/>
  <c r="AG45" i="7" l="1"/>
  <c r="AG49" i="7"/>
  <c r="AE47" i="7"/>
  <c r="AE48" i="7"/>
  <c r="AE60" i="7"/>
  <c r="AC66" i="7"/>
  <c r="AC62" i="7"/>
  <c r="AC67" i="7"/>
  <c r="AC70" i="7" l="1"/>
  <c r="AC72" i="7" s="1"/>
  <c r="AE67" i="7"/>
  <c r="AE62" i="7"/>
  <c r="AE66" i="7"/>
  <c r="AE70" i="7" s="1"/>
  <c r="AE72" i="7"/>
  <c r="AG47" i="7"/>
  <c r="AG60" i="7"/>
  <c r="AG48" i="7"/>
  <c r="AG62" i="7" l="1"/>
  <c r="AG67" i="7"/>
  <c r="AG66" i="7"/>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<sst xmlns="http://schemas.openxmlformats.org/spreadsheetml/2006/main" count="5066" uniqueCount="2768">
  <si>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</si>
  <si>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</si>
  <si>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</si>
  <si>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</si>
  <si>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</si>
  <si>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</si>
  <si>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</si>
  <si>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</si>
  <si>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</si>
  <si>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</si>
  <si>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</si>
  <si>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</si>
  <si>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</si>
  <si>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</si>
  <si>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</si>
  <si>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</si>
  <si>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</si>
  <si>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</si>
  <si>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</si>
  <si>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</si>
  <si>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</si>
  <si>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</si>
  <si>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</si>
  <si>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</si>
  <si>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</si>
  <si>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</si>
  <si>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</si>
  <si>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</si>
  <si>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</si>
  <si>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</si>
  <si>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</si>
  <si>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</si>
  <si>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</si>
  <si>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</si>
  <si>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</si>
  <si>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</si>
  <si>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</si>
  <si>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</si>
  <si>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</si>
  <si>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</si>
  <si>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</si>
  <si>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</si>
  <si>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</si>
  <si>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</si>
  <si>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</si>
  <si>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</si>
  <si>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</si>
  <si>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</si>
  <si>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</si>
  <si>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</si>
  <si>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</si>
  <si>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</si>
  <si>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</si>
  <si>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</si>
  <si>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</si>
  <si>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</si>
  <si>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</si>
  <si>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</si>
  <si>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</si>
  <si>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</si>
  <si>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</si>
  <si>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</si>
  <si>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</si>
  <si>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</si>
  <si>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</si>
  <si>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</si>
  <si>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</si>
  <si>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</si>
  <si>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</si>
  <si>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</si>
  <si>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</si>
  <si>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</si>
  <si>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</si>
  <si>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</si>
  <si>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</si>
  <si>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</si>
  <si>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</si>
  <si>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</si>
  <si>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</si>
  <si>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</si>
  <si>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</si>
  <si>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</si>
  <si>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</si>
  <si>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</si>
  <si>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</si>
  <si>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</si>
  <si>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</si>
  <si>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</si>
  <si>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</si>
  <si>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</si>
  <si>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</si>
  <si>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</si>
  <si>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</si>
  <si>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</si>
  <si>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</si>
  <si>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</si>
  <si>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</si>
  <si>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</si>
  <si>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</si>
  <si>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</si>
  <si>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</si>
  <si>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</si>
  <si>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</si>
  <si>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</si>
  <si>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</si>
  <si>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</si>
  <si>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</si>
  <si>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</si>
  <si>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</si>
  <si>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</si>
  <si>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</si>
  <si>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</si>
  <si>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</si>
  <si>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</si>
  <si>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</si>
  <si>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</si>
  <si>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</si>
  <si>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</si>
  <si>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</si>
  <si>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</si>
  <si>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</si>
  <si>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</si>
  <si>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</si>
  <si>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</si>
  <si>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</si>
  <si>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</si>
  <si>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</si>
  <si>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</si>
  <si>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</si>
  <si>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</si>
  <si>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</si>
  <si>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</si>
  <si>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</si>
  <si>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</si>
  <si>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</si>
  <si>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</si>
  <si>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</si>
  <si>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</si>
  <si>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</si>
  <si>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</si>
  <si>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</si>
  <si>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</si>
  <si>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</si>
  <si>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</si>
  <si>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</si>
  <si>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</si>
  <si>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</si>
  <si>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</si>
  <si>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</si>
  <si>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</si>
  <si>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</si>
  <si>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</si>
  <si>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</si>
  <si>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</si>
  <si>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</si>
  <si>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</si>
  <si>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</si>
  <si>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</si>
  <si>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</si>
  <si>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</si>
  <si>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</si>
  <si>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</si>
  <si>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</si>
  <si>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</si>
  <si>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</si>
  <si>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</si>
  <si>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</si>
  <si>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</si>
  <si>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</si>
  <si>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</si>
  <si>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</si>
  <si>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</si>
  <si>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</si>
  <si>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</si>
  <si>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</si>
  <si>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</si>
  <si>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</si>
  <si>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</si>
  <si>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</si>
  <si>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</si>
  <si>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</si>
  <si>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</si>
  <si>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</si>
  <si>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</si>
  <si>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</si>
  <si>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</si>
  <si>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</si>
  <si>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</si>
  <si>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</si>
  <si>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</si>
  <si>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</si>
  <si>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</si>
  <si>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</si>
  <si>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</si>
  <si>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</si>
  <si>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</si>
  <si>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</si>
  <si>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</si>
  <si>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</si>
  <si>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</si>
  <si>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</si>
  <si>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</si>
  <si>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</si>
  <si>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</si>
  <si>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</si>
  <si>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</si>
  <si>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</si>
  <si>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</si>
  <si>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</si>
  <si>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</si>
  <si>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</si>
  <si>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</si>
  <si>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</si>
  <si>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</si>
  <si>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</si>
  <si>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</si>
  <si>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</si>
  <si>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</si>
  <si>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</si>
  <si>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</si>
  <si>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</si>
  <si>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</si>
  <si>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</si>
  <si>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</si>
  <si>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</si>
  <si>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</si>
  <si>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</si>
  <si>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</si>
  <si>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</si>
  <si>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</si>
  <si>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</si>
  <si>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</si>
  <si>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</si>
  <si>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</si>
  <si>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</si>
  <si>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</si>
  <si>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</si>
  <si>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</si>
  <si>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</si>
  <si>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</si>
  <si>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</si>
  <si>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</si>
  <si>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</si>
  <si>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</si>
  <si>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</si>
  <si>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</si>
  <si>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</si>
  <si>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</si>
  <si>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</si>
  <si>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</si>
  <si>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</si>
  <si>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</si>
  <si>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</si>
  <si>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</si>
  <si>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</si>
  <si>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</si>
  <si>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</si>
  <si>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</si>
  <si>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</si>
  <si>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</si>
  <si>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</si>
  <si>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</si>
  <si>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</si>
  <si>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</si>
  <si>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</si>
  <si>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</si>
  <si>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</si>
  <si>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</si>
  <si>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</si>
  <si>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</si>
  <si>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</si>
  <si>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</si>
  <si>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</si>
  <si>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</si>
  <si>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</si>
  <si>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</si>
  <si>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</si>
  <si>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</si>
  <si>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</si>
  <si>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</si>
  <si>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</si>
  <si>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</si>
  <si>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</si>
  <si>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</si>
  <si>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</si>
  <si>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</si>
  <si>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</si>
  <si>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</si>
  <si>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</si>
  <si>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</si>
  <si>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</si>
  <si>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</si>
  <si>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</si>
  <si>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</si>
  <si>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</si>
  <si>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</si>
  <si>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</si>
  <si>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</si>
  <si>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</si>
  <si>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</si>
  <si>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</si>
  <si>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</si>
  <si>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</si>
  <si>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</si>
  <si>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</si>
  <si>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</si>
  <si>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</si>
  <si>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</si>
  <si>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</si>
  <si>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</si>
  <si>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</si>
  <si>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</si>
  <si>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</si>
  <si>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</si>
  <si>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</si>
  <si>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</si>
  <si>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</si>
  <si>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</si>
  <si>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</si>
  <si>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</si>
  <si>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</si>
  <si>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</si>
  <si>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</si>
  <si>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</si>
  <si>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</si>
  <si>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</si>
  <si>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</si>
  <si>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</si>
  <si>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</si>
  <si>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</si>
  <si>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</si>
  <si>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</si>
  <si>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</si>
  <si>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</si>
  <si>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</si>
  <si>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</si>
  <si>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</si>
  <si>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</si>
  <si>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</si>
  <si>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</si>
  <si>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</si>
  <si>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</si>
  <si>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</si>
  <si>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</si>
  <si>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</si>
  <si>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</si>
  <si>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</si>
  <si>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</si>
  <si>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</si>
  <si>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</si>
  <si>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</si>
  <si>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</si>
  <si>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</si>
  <si>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</si>
  <si>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</si>
  <si>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</si>
  <si>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</si>
  <si>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</si>
  <si>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</si>
  <si>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</si>
  <si>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</si>
  <si>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</si>
  <si>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</si>
  <si>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</si>
  <si>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</si>
  <si>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</si>
  <si>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</si>
  <si>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</si>
  <si>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</si>
  <si>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</si>
  <si>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</si>
  <si>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</si>
  <si>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</si>
  <si>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</si>
  <si>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</si>
  <si>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</si>
  <si>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</si>
  <si>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</si>
  <si>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</si>
  <si>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</si>
  <si>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</si>
  <si>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</si>
  <si>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</si>
  <si>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</si>
  <si>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</si>
  <si>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</si>
  <si>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</si>
  <si>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</si>
  <si>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</si>
  <si>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</si>
  <si>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</si>
  <si>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</si>
  <si>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</si>
  <si>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</si>
  <si>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</si>
  <si>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</si>
  <si>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</si>
  <si>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</si>
  <si>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</si>
  <si>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</si>
  <si>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</si>
  <si>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</si>
  <si>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</si>
  <si>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</si>
  <si>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</si>
  <si>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</si>
  <si>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</si>
  <si>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</si>
  <si>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</si>
  <si>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</si>
  <si>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</si>
  <si>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</si>
  <si>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</si>
  <si>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</si>
  <si>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</si>
  <si>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</si>
  <si>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</si>
  <si>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</si>
  <si>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</si>
  <si>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</si>
  <si>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</si>
  <si>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</si>
  <si>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</si>
  <si>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</si>
  <si>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</si>
  <si>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</si>
  <si>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</si>
  <si>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</si>
  <si>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</si>
  <si>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</si>
  <si>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</si>
  <si>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</si>
  <si>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</si>
  <si>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</si>
  <si>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</si>
  <si>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</si>
  <si>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</si>
  <si>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</si>
  <si>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</si>
  <si>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</si>
  <si>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</si>
  <si>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</si>
  <si>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</si>
  <si>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</si>
  <si>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</si>
  <si>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</si>
  <si>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</si>
  <si>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</si>
  <si>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</si>
  <si>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</si>
  <si>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</si>
  <si>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</si>
  <si>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</si>
  <si>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</si>
  <si>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</si>
  <si>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</si>
  <si>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</si>
  <si>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</si>
  <si>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</si>
  <si>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</si>
  <si>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</si>
  <si>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</si>
  <si>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</si>
  <si>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</si>
  <si>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</si>
  <si>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</si>
  <si>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</si>
  <si>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</si>
  <si>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</si>
  <si>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</si>
  <si>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</si>
  <si>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</si>
  <si>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</si>
  <si>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</si>
  <si>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</si>
  <si>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</si>
  <si>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</si>
  <si>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</si>
  <si>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</si>
  <si>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</si>
  <si>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</si>
  <si>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</si>
  <si>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</si>
  <si>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</si>
  <si>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</si>
  <si>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</si>
  <si>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</si>
  <si>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</si>
  <si>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</si>
  <si>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</si>
  <si>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</si>
  <si>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</si>
  <si>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</si>
  <si>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</si>
  <si>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</si>
  <si>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</si>
  <si>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</si>
  <si>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</si>
  <si>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</si>
  <si>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</si>
  <si>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</si>
  <si>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</si>
  <si>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</si>
  <si>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</si>
  <si>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</si>
  <si>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</si>
  <si>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</si>
  <si>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</si>
  <si>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</si>
  <si>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</si>
  <si>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</si>
  <si>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</si>
  <si>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</si>
  <si>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</si>
  <si>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</si>
  <si>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</si>
  <si>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</si>
  <si>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</si>
  <si>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</si>
  <si>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</si>
  <si>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</si>
  <si>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</si>
  <si>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</si>
  <si>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</si>
  <si>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</si>
  <si>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</si>
  <si>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</si>
  <si>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</si>
  <si>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</si>
  <si>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</si>
  <si>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</si>
  <si>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</si>
  <si>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</si>
  <si>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</si>
  <si>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</si>
  <si>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</si>
  <si>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</si>
  <si>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</si>
  <si>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</si>
  <si>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</si>
  <si>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</si>
  <si>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</si>
  <si>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</si>
  <si>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</si>
  <si>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</si>
  <si>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</si>
  <si>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</si>
  <si>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</si>
  <si>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</si>
  <si>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</si>
  <si>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</si>
  <si>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</si>
  <si>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</si>
  <si>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</si>
  <si>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</si>
  <si>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</si>
  <si>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</si>
  <si>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</si>
  <si>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</si>
  <si>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</si>
  <si>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</si>
  <si>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</si>
  <si>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</si>
  <si>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</si>
  <si>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</si>
  <si>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</si>
  <si>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</si>
  <si>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</si>
  <si>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</si>
  <si>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</si>
  <si>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</si>
  <si>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</si>
  <si>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</si>
  <si>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</si>
  <si>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</si>
  <si>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</si>
  <si>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</si>
  <si>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</si>
  <si>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</si>
  <si>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</si>
  <si>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</si>
  <si>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</si>
  <si>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</si>
  <si>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</si>
  <si>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</si>
  <si>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</si>
  <si>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</si>
  <si>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</si>
  <si>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</si>
  <si>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</si>
  <si>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</si>
  <si>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</si>
  <si>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</si>
  <si>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</si>
  <si>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</si>
  <si>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</si>
  <si>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</si>
  <si>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</si>
  <si>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</si>
  <si>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</si>
  <si>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</si>
  <si>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</si>
  <si>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</si>
  <si>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</si>
  <si>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</si>
  <si>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</si>
  <si>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</si>
  <si>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</si>
  <si>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</si>
  <si>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</si>
  <si>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</si>
  <si>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</si>
  <si>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</si>
  <si>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</si>
  <si>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</si>
  <si>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</si>
  <si>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</si>
  <si>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</si>
  <si>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</si>
  <si>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</si>
  <si>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</si>
  <si>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</si>
  <si>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</si>
  <si>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</si>
  <si>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</si>
  <si>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</si>
  <si>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</si>
  <si>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</si>
  <si>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</si>
  <si>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</si>
  <si>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</si>
  <si>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</si>
  <si>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</si>
  <si>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</si>
  <si>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</si>
  <si>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</si>
  <si>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</si>
  <si>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</si>
  <si>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</si>
  <si>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</si>
  <si>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</si>
  <si>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</si>
  <si>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</si>
  <si>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</si>
  <si>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</si>
  <si>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</si>
  <si>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</si>
  <si>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</si>
  <si>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</si>
  <si>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</si>
  <si>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</si>
  <si>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</si>
  <si>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</si>
  <si>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</si>
  <si>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</si>
  <si>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</si>
  <si>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</si>
  <si>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</si>
  <si>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</si>
  <si>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</si>
  <si>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</si>
  <si>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</si>
  <si>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</si>
  <si>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</si>
  <si>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</si>
  <si>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</si>
  <si>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</si>
  <si>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</si>
  <si>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</si>
  <si>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</si>
  <si>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</si>
  <si>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</si>
  <si>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</si>
  <si>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</si>
  <si>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</si>
  <si>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</si>
  <si>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</si>
  <si>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</si>
  <si>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</si>
  <si>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</si>
  <si>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</si>
  <si>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</si>
  <si>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</si>
  <si>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</si>
  <si>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</si>
  <si>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</si>
  <si>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</si>
  <si>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</si>
  <si>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</si>
  <si>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</si>
  <si>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</si>
  <si>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</si>
  <si>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</si>
  <si>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</si>
  <si>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</si>
  <si>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</si>
  <si>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</si>
  <si>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</si>
  <si>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</si>
  <si>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</si>
  <si>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</si>
  <si>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</si>
  <si>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</si>
  <si>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</si>
  <si>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</si>
  <si>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</si>
  <si>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</si>
  <si>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</si>
  <si>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</si>
  <si>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</si>
  <si>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</si>
  <si>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</si>
  <si>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</si>
  <si>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</si>
  <si>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</si>
  <si>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</si>
  <si>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</si>
  <si>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</si>
  <si>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</si>
  <si>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</si>
  <si>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</si>
  <si>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</si>
  <si>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</si>
  <si>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</si>
  <si>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</si>
  <si>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</si>
  <si>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</si>
  <si>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</si>
  <si>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</si>
  <si>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</si>
  <si>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</si>
  <si>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</si>
  <si>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</si>
  <si>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</si>
  <si>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</si>
  <si>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</si>
  <si>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</si>
  <si>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</si>
  <si>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</si>
  <si>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</si>
  <si>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</si>
  <si>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</si>
  <si>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</si>
  <si>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</si>
  <si>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</si>
  <si>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</si>
  <si>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</si>
  <si>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</si>
  <si>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</si>
  <si>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</si>
  <si>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</si>
  <si>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</si>
  <si>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</si>
  <si>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</si>
  <si>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</si>
  <si>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</si>
  <si>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</si>
  <si>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</si>
  <si>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</si>
  <si>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</si>
  <si>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</si>
  <si>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</si>
  <si>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</si>
  <si>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</si>
  <si>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</si>
  <si>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</si>
  <si>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</si>
  <si>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</si>
  <si>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</si>
  <si>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</si>
  <si>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</si>
  <si>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</si>
  <si>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</si>
  <si>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</si>
  <si>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</si>
  <si>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</si>
  <si>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</si>
  <si>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</si>
  <si>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</si>
  <si>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</si>
  <si>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</si>
  <si>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</si>
  <si>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</si>
  <si>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</si>
  <si>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</si>
  <si>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</si>
  <si>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</si>
  <si>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</si>
  <si>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</si>
  <si>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</si>
  <si>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</si>
  <si>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</si>
  <si>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</si>
  <si>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</si>
  <si>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</si>
  <si>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</si>
  <si>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</si>
  <si>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</si>
  <si>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</si>
  <si>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</si>
  <si>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</si>
  <si>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</si>
  <si>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</si>
  <si>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</si>
  <si>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</si>
  <si>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</si>
  <si>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</si>
  <si>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</si>
  <si>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</si>
  <si>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</si>
  <si>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</si>
  <si>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</si>
  <si>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</si>
  <si>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</si>
  <si>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</si>
  <si>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</si>
  <si>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</si>
  <si>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</si>
  <si>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</si>
  <si>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</si>
  <si>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</si>
  <si>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</si>
  <si>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</si>
  <si>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</si>
  <si>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</si>
  <si>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</si>
  <si>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</si>
  <si>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</si>
  <si>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</si>
  <si>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</si>
  <si>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</si>
  <si>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</si>
  <si>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</si>
  <si>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</si>
  <si>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</si>
  <si>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</si>
  <si>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</si>
  <si>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</si>
  <si>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</si>
  <si>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</si>
  <si>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</si>
  <si>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</si>
  <si>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</si>
  <si>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</si>
  <si>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</si>
  <si>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</si>
  <si>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</si>
  <si>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</si>
  <si>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</si>
  <si>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</si>
  <si>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</si>
  <si>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</si>
  <si>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</si>
  <si>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</si>
  <si>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</si>
  <si>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</si>
  <si>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</si>
  <si>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</si>
  <si>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</si>
  <si>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</si>
  <si>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</si>
  <si>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</si>
  <si>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</si>
  <si>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</si>
  <si>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</si>
  <si>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</si>
  <si>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</si>
  <si>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</si>
  <si>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</si>
  <si>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</si>
  <si>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</si>
  <si>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</si>
  <si>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</si>
  <si>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</si>
  <si>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</si>
  <si>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</si>
  <si>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</si>
  <si>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</si>
  <si>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</si>
  <si>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</si>
  <si>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</si>
  <si>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</si>
  <si>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</si>
  <si>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</si>
  <si>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</si>
  <si>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</si>
  <si>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</si>
  <si>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</si>
  <si>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</si>
  <si>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</si>
  <si>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</si>
  <si>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</si>
  <si>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</si>
  <si>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</si>
  <si>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</si>
  <si>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</si>
  <si>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</si>
  <si>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</si>
  <si>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</si>
  <si>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</si>
  <si>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</si>
  <si>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</si>
  <si>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</si>
  <si>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</si>
  <si>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</si>
  <si>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</si>
  <si>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</si>
  <si>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</si>
  <si>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</si>
  <si>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</si>
  <si>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</si>
  <si>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</si>
  <si>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</si>
  <si>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</si>
  <si>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</si>
  <si>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</si>
  <si>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</si>
  <si>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</si>
  <si>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</si>
  <si>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</si>
  <si>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</si>
  <si>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</si>
  <si>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</si>
  <si>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</si>
  <si>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</si>
  <si>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</si>
  <si>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</si>
  <si>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</si>
  <si>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</si>
  <si>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</si>
  <si>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</si>
  <si>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</si>
  <si>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</si>
  <si>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</si>
  <si>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</si>
  <si>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</si>
  <si>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</si>
  <si>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</si>
  <si>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</si>
  <si>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</si>
  <si>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</si>
  <si>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</si>
  <si>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</si>
  <si>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</si>
  <si>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</si>
  <si>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</si>
  <si>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</si>
  <si>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</si>
  <si>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</si>
  <si>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</si>
  <si>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</si>
  <si>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</si>
  <si>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</si>
  <si>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</si>
  <si>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</si>
  <si>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</si>
  <si>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</si>
  <si>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</si>
  <si>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</si>
  <si>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</si>
  <si>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</si>
  <si>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</si>
  <si>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</si>
  <si>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</si>
  <si>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</si>
  <si>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</si>
  <si>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</si>
  <si>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</si>
  <si>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</si>
  <si>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</si>
  <si>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</si>
  <si>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</si>
  <si>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</si>
  <si>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</si>
  <si>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</si>
  <si>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</si>
  <si>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</si>
  <si>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</si>
  <si>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</si>
  <si>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</si>
  <si>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</si>
  <si>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</si>
  <si>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</si>
  <si>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</si>
  <si>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</si>
  <si>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</si>
  <si>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</si>
  <si>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</si>
  <si>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</si>
  <si>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</si>
  <si>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</si>
  <si>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</si>
  <si>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</si>
  <si>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</si>
  <si>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</si>
  <si>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</si>
  <si>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</si>
  <si>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</si>
  <si>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</si>
  <si>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</si>
  <si>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</si>
  <si>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</si>
  <si>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</si>
  <si>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</si>
  <si>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</si>
  <si>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</si>
  <si>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</si>
  <si>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</si>
  <si>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</si>
  <si>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</si>
  <si>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</si>
  <si>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</si>
  <si>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</si>
  <si>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</si>
  <si>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</si>
  <si>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</si>
  <si>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</si>
  <si>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</si>
  <si>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</si>
  <si>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</si>
  <si>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</si>
  <si>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</si>
  <si>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</si>
  <si>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</si>
  <si>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</si>
  <si>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</si>
  <si>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</si>
  <si>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</si>
  <si>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</si>
  <si>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</si>
  <si>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</si>
  <si>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</si>
  <si>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</si>
  <si>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</si>
  <si>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</si>
  <si>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</si>
  <si>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</si>
  <si>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</si>
  <si>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</si>
  <si>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</si>
  <si>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</si>
  <si>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</si>
  <si>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</si>
  <si>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</si>
  <si>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</si>
  <si>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</si>
  <si>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</si>
  <si>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</si>
  <si>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</si>
  <si>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</si>
  <si>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</si>
  <si>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</si>
  <si>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</si>
  <si>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</si>
  <si>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</si>
  <si>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</si>
  <si>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</si>
  <si>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</si>
  <si>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</si>
  <si>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</si>
  <si>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</si>
  <si>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</si>
  <si>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</si>
  <si>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</si>
  <si>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</si>
  <si>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</si>
  <si>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</si>
  <si>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</si>
  <si>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</si>
  <si>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</si>
  <si>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</si>
  <si>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</si>
  <si>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</si>
  <si>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</si>
  <si>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</si>
  <si>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</si>
  <si>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</si>
  <si>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</si>
  <si>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</si>
  <si>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</si>
  <si>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</si>
  <si>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</si>
  <si>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</si>
  <si>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</si>
  <si>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</si>
  <si>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</si>
  <si>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</si>
  <si>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</si>
  <si>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</si>
  <si>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</si>
  <si>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</si>
  <si>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</si>
  <si>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</si>
  <si>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</si>
  <si>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</si>
  <si>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</si>
  <si>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</si>
  <si>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</si>
  <si>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</si>
  <si>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</si>
  <si>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</si>
  <si>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</si>
  <si>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</si>
  <si>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</si>
  <si>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</si>
  <si>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</si>
  <si>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</si>
  <si>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</si>
  <si>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</si>
  <si>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</si>
  <si>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</si>
  <si>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</si>
  <si>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</si>
  <si>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</si>
  <si>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</si>
  <si>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</si>
  <si>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</si>
  <si>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</si>
  <si>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</si>
  <si>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</si>
  <si>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</si>
  <si>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</si>
  <si>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</si>
  <si>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</si>
  <si>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</si>
  <si>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</si>
  <si>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</si>
  <si>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</si>
  <si>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</si>
  <si>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</si>
  <si>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</si>
  <si>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</si>
  <si>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</si>
  <si>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</si>
  <si>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</si>
  <si>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</si>
  <si>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</si>
  <si>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</si>
  <si>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</si>
  <si>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</si>
  <si>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</si>
  <si>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</si>
  <si>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</si>
  <si>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</si>
  <si>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</si>
  <si>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</si>
  <si>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</si>
  <si>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</si>
  <si>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</si>
  <si>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</si>
  <si>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</si>
  <si>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</si>
  <si>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</si>
  <si>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</si>
  <si>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</si>
  <si>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</si>
  <si>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</si>
  <si>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</si>
  <si>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</si>
  <si>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</si>
  <si>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</si>
  <si>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</si>
  <si>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</si>
  <si>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</si>
  <si>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</si>
  <si>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</si>
  <si>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</si>
  <si>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</si>
  <si>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</si>
  <si>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</si>
  <si>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</si>
  <si>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</si>
  <si>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</si>
  <si>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</si>
  <si>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</si>
  <si>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</si>
  <si>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</si>
  <si>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</si>
  <si>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</si>
  <si>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</si>
  <si>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</si>
  <si>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</si>
  <si>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</si>
  <si>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</si>
  <si>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</si>
  <si>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</si>
  <si>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</si>
  <si>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</si>
  <si>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</si>
  <si>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</si>
  <si>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</si>
  <si>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</si>
  <si>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</si>
  <si>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</si>
  <si>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</si>
  <si>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</si>
  <si>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</si>
  <si>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</si>
  <si>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</si>
  <si>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</si>
  <si>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</si>
  <si>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</si>
  <si>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</si>
  <si>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</si>
  <si>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</si>
  <si>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</si>
  <si>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</si>
  <si>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</si>
  <si>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</si>
  <si>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</si>
  <si>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</si>
  <si>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</si>
  <si>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</si>
  <si>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</si>
  <si>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</si>
  <si>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</si>
  <si>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</si>
  <si>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</si>
  <si>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</si>
  <si>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</si>
  <si>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</si>
  <si>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</si>
  <si>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</si>
  <si>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</si>
  <si>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</si>
  <si>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</si>
  <si>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</si>
  <si>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</si>
  <si>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</si>
  <si>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</si>
  <si>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</si>
  <si>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</si>
  <si>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</si>
  <si>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</si>
  <si>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</si>
  <si>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</si>
  <si>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</si>
  <si>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</si>
  <si>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</si>
  <si>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</si>
  <si>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</si>
  <si>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</si>
  <si>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</si>
  <si>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</si>
  <si>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</si>
  <si>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</si>
  <si>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</si>
  <si>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</si>
  <si>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</si>
  <si>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</si>
  <si>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</si>
  <si>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</si>
  <si>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</si>
  <si>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</si>
  <si>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</si>
  <si>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</si>
  <si>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</si>
  <si>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</si>
  <si>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</si>
  <si>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</si>
  <si>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</si>
  <si>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</si>
  <si>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</si>
  <si>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</si>
  <si>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</si>
  <si>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</si>
  <si>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</si>
  <si>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</si>
  <si>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</si>
  <si>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</si>
  <si>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</si>
  <si>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</si>
  <si>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</si>
  <si>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</si>
  <si>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</si>
  <si>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</si>
  <si>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</si>
  <si>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</si>
  <si>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</si>
  <si>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</si>
  <si>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</si>
  <si>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</si>
  <si>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</si>
  <si>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</si>
  <si>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</si>
  <si>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</si>
  <si>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</si>
  <si>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</si>
  <si>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</si>
  <si>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</si>
  <si>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</si>
  <si>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</si>
  <si>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</si>
  <si>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</si>
  <si>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</si>
  <si>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</si>
  <si>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</si>
  <si>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</si>
  <si>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</si>
  <si>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</si>
  <si>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</si>
  <si>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</si>
  <si>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</si>
  <si>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</si>
  <si>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</si>
  <si>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</si>
  <si>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</si>
  <si>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</si>
  <si>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</si>
  <si>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</si>
  <si>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</si>
  <si>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</si>
  <si>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</si>
  <si>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</si>
  <si>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</si>
  <si>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</si>
  <si>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</si>
  <si>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</si>
  <si>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</si>
  <si>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</si>
  <si>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</si>
  <si>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</si>
  <si>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</si>
  <si>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</si>
  <si>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</si>
  <si>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</si>
  <si>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</si>
  <si>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</si>
  <si>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</si>
  <si>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</si>
  <si>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</si>
  <si>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</si>
  <si>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</si>
  <si>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</si>
  <si>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</si>
  <si>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</si>
  <si>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</si>
  <si>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</si>
  <si>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</si>
  <si>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</si>
  <si>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</si>
  <si>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</si>
  <si>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</si>
  <si>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</si>
  <si>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</si>
  <si>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</si>
  <si>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</si>
  <si>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</si>
  <si>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</si>
  <si>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</si>
  <si>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</si>
  <si>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</si>
  <si>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</si>
  <si>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</si>
  <si>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</si>
  <si>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</si>
  <si>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</si>
  <si>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</si>
  <si>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</si>
  <si>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</si>
  <si>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</si>
  <si>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</si>
  <si>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</si>
  <si>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</si>
  <si>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</si>
  <si>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</si>
  <si>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</si>
  <si>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</si>
  <si>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</si>
  <si>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</si>
  <si>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</si>
  <si>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</si>
  <si>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</si>
  <si>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</si>
  <si>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</si>
  <si>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</si>
  <si>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</si>
  <si>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</si>
  <si>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</si>
  <si>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</si>
  <si>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</si>
  <si>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</si>
  <si>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</si>
  <si>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</si>
  <si>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</si>
  <si>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</si>
  <si>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</si>
  <si>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</si>
  <si>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</si>
  <si>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</si>
  <si>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</si>
  <si>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</si>
  <si>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</si>
  <si>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</si>
  <si>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</si>
  <si>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</si>
  <si>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</si>
  <si>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</si>
  <si>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</si>
  <si>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</si>
  <si>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</si>
  <si>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</si>
  <si>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</si>
  <si>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</si>
  <si>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</si>
  <si>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</si>
  <si>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</si>
  <si>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</si>
  <si>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</si>
  <si>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</si>
  <si>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</si>
  <si>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</si>
  <si>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</si>
  <si>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</si>
  <si>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</si>
  <si>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</si>
  <si>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</si>
  <si>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</si>
  <si>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</si>
  <si>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</si>
  <si>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</si>
  <si>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</si>
  <si>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</si>
  <si>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</si>
  <si>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</si>
  <si>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</si>
  <si>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</si>
  <si>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</si>
  <si>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</si>
  <si>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</si>
  <si>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</si>
  <si>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</si>
  <si>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</si>
  <si>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</si>
  <si>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</si>
  <si>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</si>
  <si>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</si>
  <si>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</si>
  <si>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</si>
  <si>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</si>
  <si>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</si>
  <si>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</si>
  <si>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</si>
  <si>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</si>
  <si>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</si>
  <si>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</si>
  <si>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</si>
  <si>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</si>
  <si>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</si>
  <si>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</si>
  <si>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</si>
  <si>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</si>
  <si>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</si>
  <si>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</si>
  <si>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</si>
  <si>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</si>
  <si>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</si>
  <si>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</si>
  <si>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</si>
  <si>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</si>
  <si>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</si>
  <si>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</si>
  <si>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</si>
  <si>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</si>
  <si>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</si>
  <si>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</si>
  <si>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</si>
  <si>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</si>
  <si>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</si>
  <si>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</si>
  <si>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</si>
  <si>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</si>
  <si>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</si>
  <si>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</si>
  <si>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</si>
  <si>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</si>
  <si>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</si>
  <si>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</si>
  <si>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</si>
  <si>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</si>
  <si>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</si>
  <si>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</si>
  <si>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</si>
  <si>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</si>
  <si>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</si>
  <si>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</si>
  <si>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</si>
  <si>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</si>
  <si>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</si>
  <si>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</si>
  <si>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</si>
  <si>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</si>
  <si>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</si>
  <si>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</si>
  <si>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</si>
  <si>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</si>
  <si>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</si>
  <si>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</si>
  <si>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</si>
  <si>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</si>
  <si>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</si>
  <si>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</si>
  <si>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</si>
  <si>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</si>
  <si>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</si>
  <si>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</si>
  <si>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</si>
  <si>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</si>
  <si>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</si>
  <si>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</si>
  <si>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</si>
  <si>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</si>
  <si>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</si>
  <si>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</si>
  <si>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</si>
  <si>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</si>
  <si>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</si>
  <si>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</si>
  <si>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</si>
  <si>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</si>
  <si>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</si>
  <si>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</si>
  <si>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</si>
  <si>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</si>
  <si>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</si>
  <si>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</si>
  <si>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</si>
  <si>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</si>
  <si>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</si>
  <si>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</si>
  <si>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</si>
  <si>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</si>
  <si>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</si>
  <si>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</si>
  <si>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</si>
  <si>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</si>
  <si>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</si>
  <si>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</si>
  <si>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</si>
  <si>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</si>
  <si>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</si>
  <si>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</si>
  <si>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</si>
  <si>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</si>
  <si>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</si>
  <si>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</si>
  <si>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</si>
  <si>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</si>
  <si>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</si>
  <si>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</si>
  <si>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</si>
  <si>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</si>
  <si>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</si>
  <si>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</si>
  <si>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</si>
  <si>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</si>
  <si>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</si>
  <si>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</si>
  <si>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</si>
  <si>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</si>
  <si>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</si>
  <si>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</si>
  <si>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</si>
  <si>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</si>
  <si>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</si>
  <si>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</si>
  <si>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</si>
  <si>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</si>
  <si>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</si>
  <si>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</si>
  <si>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</si>
  <si>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</si>
  <si>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</si>
  <si>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</si>
  <si>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</si>
  <si>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</si>
  <si>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</si>
  <si>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</si>
  <si>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</si>
  <si>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</si>
  <si>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</si>
  <si>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</si>
  <si>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</si>
  <si>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</si>
  <si>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</si>
  <si>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</si>
  <si>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</si>
  <si>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</si>
  <si>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</si>
  <si>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</si>
  <si>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</si>
  <si>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</si>
  <si>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</si>
  <si>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</si>
  <si>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</si>
  <si>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</si>
  <si>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</si>
  <si>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</si>
  <si>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</si>
  <si>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</si>
  <si>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</si>
  <si>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</si>
  <si>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</si>
  <si>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</si>
  <si>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</si>
  <si>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</si>
  <si>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</si>
  <si>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</si>
  <si>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</si>
  <si>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</si>
  <si>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</si>
  <si>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</si>
  <si>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</si>
  <si>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</si>
  <si>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</si>
  <si>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</si>
  <si>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</si>
  <si>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</si>
  <si>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</si>
  <si>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</si>
  <si>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</si>
  <si>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</si>
  <si>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</si>
  <si>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</si>
  <si>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</si>
  <si>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</si>
  <si>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</si>
  <si>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</si>
  <si>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</si>
  <si>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</si>
  <si>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</si>
  <si>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</si>
  <si>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</si>
  <si>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</si>
  <si>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</si>
  <si>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</si>
  <si>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</si>
  <si>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</si>
  <si>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</si>
  <si>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</si>
  <si>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</si>
  <si>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</si>
  <si>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</si>
  <si>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</si>
  <si>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</si>
  <si>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</si>
  <si>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</si>
  <si>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</si>
  <si>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</si>
  <si>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</si>
  <si>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</si>
  <si>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</si>
  <si>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</si>
  <si>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</si>
  <si>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</si>
  <si>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</si>
  <si>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</si>
  <si>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</si>
  <si>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</si>
  <si>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</si>
  <si>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</si>
  <si>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</si>
  <si>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</si>
  <si>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</si>
  <si>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</si>
  <si>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</si>
  <si>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</si>
  <si>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</si>
  <si>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</si>
  <si>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</si>
  <si>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</si>
  <si>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</si>
  <si>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</si>
  <si>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</si>
  <si>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</si>
  <si>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</si>
  <si>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</si>
  <si>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</si>
  <si>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</si>
  <si>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</si>
  <si>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</si>
  <si>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</si>
  <si>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</si>
  <si>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</si>
  <si>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</si>
  <si>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</si>
  <si>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</si>
  <si>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</si>
  <si>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</si>
  <si>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</si>
  <si>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</si>
  <si>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</si>
  <si>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</si>
  <si>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</si>
  <si>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</si>
  <si>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</si>
  <si>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</si>
  <si>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</si>
  <si>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</si>
  <si>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</si>
  <si>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</si>
  <si>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</si>
  <si>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</si>
  <si>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</si>
  <si>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</si>
  <si>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</si>
  <si>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</si>
  <si>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</si>
  <si>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</si>
  <si>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</si>
  <si>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</si>
  <si>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</si>
  <si>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</si>
  <si>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</si>
  <si>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</si>
  <si>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</si>
  <si>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</si>
  <si>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</si>
  <si>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</si>
  <si>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</si>
  <si>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</si>
  <si>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</si>
  <si>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</si>
  <si>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</si>
  <si>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</si>
  <si>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</si>
  <si>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</si>
  <si>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</si>
  <si>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</si>
  <si>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</si>
  <si>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</si>
  <si>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</si>
  <si>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</si>
  <si>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</si>
  <si>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</si>
  <si>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</si>
  <si>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</si>
  <si>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</si>
  <si>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</si>
  <si>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</si>
  <si>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</si>
  <si>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</si>
  <si>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</si>
  <si>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</si>
  <si>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</si>
  <si>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</si>
  <si>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</si>
  <si>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</si>
  <si>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</si>
  <si>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</si>
  <si>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</si>
  <si>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</si>
  <si>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</si>
  <si>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</si>
  <si>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</si>
  <si>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</si>
  <si>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</si>
  <si>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</si>
  <si>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</si>
  <si>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</si>
  <si>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</si>
  <si>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</si>
  <si>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</si>
  <si>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</si>
  <si>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</si>
  <si>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</si>
  <si>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</si>
  <si>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</si>
  <si>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</si>
  <si>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</si>
  <si>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</si>
  <si>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</si>
  <si>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</si>
  <si>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</si>
  <si>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</si>
  <si>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</si>
  <si>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</si>
  <si>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</si>
  <si>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</si>
  <si>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</si>
  <si>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</si>
  <si>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</si>
  <si>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</si>
  <si>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</si>
  <si>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</si>
  <si>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</si>
  <si>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</si>
  <si>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</si>
  <si>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</si>
  <si>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</si>
  <si>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</si>
  <si>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</si>
  <si>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</si>
  <si>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</si>
  <si>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</si>
  <si>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</si>
  <si>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</si>
  <si>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</si>
  <si>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</si>
  <si>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</si>
  <si>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</si>
  <si>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</si>
  <si>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</si>
  <si>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</si>
  <si>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</si>
  <si>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</si>
  <si>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</si>
  <si>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</si>
  <si>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</si>
  <si>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</si>
  <si>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</si>
  <si>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</si>
  <si>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</si>
  <si>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</si>
  <si>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</si>
  <si>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</si>
  <si>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</si>
  <si>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</si>
  <si>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</si>
  <si>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</si>
  <si>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</si>
  <si>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</si>
  <si>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</si>
  <si>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</si>
  <si>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</si>
  <si>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</si>
  <si>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</si>
  <si>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</si>
  <si>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</si>
  <si>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</si>
  <si>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</si>
  <si>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</si>
  <si>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</si>
  <si>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</si>
  <si>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</si>
  <si>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</si>
  <si>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</si>
  <si>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</si>
  <si>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</si>
  <si>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</si>
  <si>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</si>
  <si>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</si>
  <si>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</si>
  <si>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</si>
  <si>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</si>
  <si>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</si>
  <si>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</si>
  <si>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</si>
  <si>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</si>
  <si>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</si>
  <si>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</si>
  <si>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</si>
  <si>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</si>
  <si>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</si>
  <si>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</si>
  <si>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</si>
  <si>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</si>
  <si>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</si>
  <si>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</si>
  <si>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</si>
  <si>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</si>
  <si>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</si>
  <si>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</si>
  <si>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</si>
  <si>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</si>
  <si>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</si>
  <si>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</si>
  <si>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</si>
  <si>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</si>
  <si>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</si>
  <si>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</si>
  <si>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</si>
  <si>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</si>
  <si>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</si>
  <si>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</si>
  <si>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</si>
  <si>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</si>
  <si>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</si>
  <si>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</si>
  <si>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</si>
  <si>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</si>
  <si>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</si>
  <si>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</si>
  <si>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</si>
  <si>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</si>
  <si>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</si>
  <si>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</si>
  <si>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</si>
  <si>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</si>
  <si>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</si>
  <si>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</si>
  <si>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</si>
  <si>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</si>
  <si>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</si>
  <si>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</si>
  <si>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</si>
  <si>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</si>
  <si>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</si>
  <si>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</si>
  <si>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</si>
  <si>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</si>
  <si>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</si>
  <si>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</si>
  <si>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</si>
  <si>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</si>
  <si>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</si>
  <si>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</si>
  <si>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</si>
  <si>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</si>
  <si>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</si>
  <si>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</si>
  <si>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</si>
  <si>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</si>
  <si>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</si>
  <si>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</si>
  <si>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</si>
  <si>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</si>
  <si>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</si>
  <si>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</si>
  <si>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</si>
  <si>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</si>
  <si>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</si>
  <si>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</si>
  <si>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</si>
  <si>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</si>
  <si>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</si>
  <si>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</si>
  <si>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</si>
  <si>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</si>
  <si>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</si>
  <si>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</si>
  <si>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</si>
  <si>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</si>
  <si>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</si>
  <si>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</si>
  <si>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</si>
  <si>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</si>
  <si>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</si>
  <si>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</si>
  <si>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</si>
  <si>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</si>
  <si>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</si>
  <si>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</si>
  <si>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</si>
  <si>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</si>
  <si>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</si>
  <si>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</si>
  <si>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</si>
  <si>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</si>
  <si>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</si>
  <si>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</si>
  <si>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</si>
  <si>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</si>
  <si>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</si>
  <si>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</si>
  <si>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</si>
  <si>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</si>
  <si>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</si>
  <si>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</si>
  <si>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</si>
  <si>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</si>
  <si>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</si>
  <si>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</si>
  <si>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</si>
  <si>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</si>
  <si>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</si>
  <si>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</si>
  <si>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</si>
  <si>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</si>
  <si>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</si>
  <si>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</si>
  <si>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</si>
  <si>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</si>
  <si>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</si>
  <si>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</si>
  <si>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</si>
  <si>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</si>
  <si>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</si>
  <si>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</si>
  <si>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</si>
  <si>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</si>
  <si>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</si>
  <si>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</si>
  <si>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</si>
  <si>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</si>
  <si>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</si>
  <si>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</si>
  <si>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</si>
  <si>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</si>
  <si>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</si>
  <si>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</si>
  <si>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</si>
  <si>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</si>
  <si>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</si>
  <si>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</si>
  <si>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</si>
  <si>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</si>
  <si>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</si>
  <si>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</si>
  <si>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</si>
  <si>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</si>
  <si>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</si>
  <si>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</si>
  <si>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</si>
  <si>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</si>
  <si>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</si>
  <si>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</si>
  <si>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</si>
  <si>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</si>
  <si>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</si>
  <si>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</si>
  <si>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</si>
  <si>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</si>
  <si>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</si>
  <si>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</si>
  <si>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</si>
  <si>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</si>
  <si>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</si>
  <si>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</si>
  <si>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</si>
  <si>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</si>
  <si>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</si>
  <si>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</si>
  <si>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</si>
  <si>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</si>
  <si>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</si>
  <si>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</si>
  <si>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</si>
  <si>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</si>
  <si>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</si>
  <si>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</si>
  <si>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</si>
  <si>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</si>
  <si>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</si>
  <si>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</si>
  <si>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</si>
  <si>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</si>
  <si>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</si>
  <si>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</si>
  <si>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</si>
  <si>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</si>
  <si>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</si>
  <si>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</si>
  <si>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</si>
  <si>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</si>
  <si>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</si>
  <si>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</si>
  <si>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</si>
  <si>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</si>
  <si>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</si>
  <si>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</si>
  <si>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</si>
  <si>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</si>
  <si>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</si>
  <si>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</si>
  <si>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</si>
  <si>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</si>
  <si>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</si>
  <si>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</si>
  <si>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</si>
  <si>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</si>
  <si>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</si>
  <si>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</si>
  <si>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</si>
  <si>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</si>
  <si>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</si>
  <si>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</si>
  <si>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</si>
  <si>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</si>
  <si>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</si>
  <si>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</si>
  <si>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</si>
  <si>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</si>
  <si>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</si>
  <si>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</si>
  <si>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</si>
  <si>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</si>
  <si>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</si>
  <si>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</si>
  <si>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</si>
  <si>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</si>
  <si>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</si>
  <si>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</si>
  <si>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</si>
  <si>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</si>
  <si>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</si>
  <si>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</si>
  <si>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</si>
  <si>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</si>
  <si>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</si>
  <si>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</si>
  <si>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</si>
  <si>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</si>
  <si>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</si>
  <si>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</si>
  <si>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</si>
  <si>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</si>
  <si>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</si>
  <si>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</si>
  <si>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</si>
  <si>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</si>
  <si>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</si>
  <si>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</si>
  <si>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</si>
  <si>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</si>
  <si>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</si>
  <si>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</si>
  <si>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</si>
  <si>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</si>
  <si>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</si>
  <si>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</si>
  <si>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</si>
  <si>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</si>
  <si>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</si>
  <si>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</si>
  <si>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</si>
  <si>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</si>
  <si>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</si>
  <si>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</si>
  <si>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</si>
  <si>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</si>
  <si>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</si>
  <si>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</si>
  <si>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</si>
  <si>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</si>
  <si>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</si>
  <si>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</si>
  <si>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</si>
  <si>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</si>
  <si>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</si>
  <si>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</si>
  <si>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</si>
  <si>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</si>
  <si>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</si>
  <si>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</si>
  <si>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</si>
  <si>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</si>
  <si>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</si>
  <si>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</si>
  <si>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</si>
  <si>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</si>
  <si>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</si>
  <si>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</si>
  <si>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</si>
  <si>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</si>
  <si>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</si>
  <si>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</si>
  <si>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</si>
  <si>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</si>
  <si>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</si>
  <si>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</si>
  <si>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</si>
  <si>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</si>
  <si>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</si>
  <si>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</si>
  <si>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</si>
  <si>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</si>
  <si>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</si>
  <si>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</si>
  <si>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</si>
  <si>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</si>
  <si>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</si>
  <si>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</si>
  <si>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</si>
  <si>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</si>
  <si>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</si>
  <si>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</si>
  <si>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</si>
  <si>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</si>
  <si>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</si>
  <si>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</si>
  <si>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</si>
  <si>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</si>
  <si>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</si>
  <si>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</si>
  <si>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</si>
  <si>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</si>
  <si>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</si>
  <si>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</si>
  <si>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</si>
  <si>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</si>
  <si>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</si>
  <si>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</si>
  <si>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</si>
  <si>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</si>
  <si>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</si>
  <si>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</si>
  <si>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</si>
  <si>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</si>
  <si>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</si>
  <si>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</si>
  <si>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</si>
  <si>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</si>
  <si>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</si>
  <si>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</si>
  <si>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</si>
  <si>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</si>
  <si>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</si>
  <si>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</si>
  <si>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</si>
  <si>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</si>
  <si>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</si>
  <si>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</si>
  <si>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</si>
  <si>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</si>
  <si>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</si>
  <si>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</si>
  <si>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</si>
  <si>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</si>
  <si>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</si>
  <si>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</si>
  <si>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</si>
  <si>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</si>
  <si>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</si>
  <si>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</si>
  <si>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</si>
  <si>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</si>
  <si>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</si>
  <si>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</si>
  <si>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</si>
  <si>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</si>
  <si>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</si>
  <si>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</si>
  <si>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</si>
  <si>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</si>
  <si>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</si>
  <si>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</si>
  <si>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</si>
  <si>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</si>
  <si>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</si>
  <si>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</si>
  <si>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</si>
  <si>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</si>
  <si>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</si>
  <si>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</si>
  <si>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</si>
  <si>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</si>
  <si>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</si>
  <si>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</si>
  <si>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</si>
  <si>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</si>
  <si>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</si>
  <si>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</si>
  <si>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</si>
  <si>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</si>
  <si>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</si>
  <si>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</si>
  <si>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</si>
  <si>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</si>
  <si>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</si>
  <si>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</si>
  <si>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</si>
  <si>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</si>
  <si>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</si>
  <si>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</si>
  <si>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</si>
  <si>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</si>
  <si>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</si>
  <si>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</si>
  <si>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</si>
  <si>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</si>
  <si>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</si>
  <si>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</si>
  <si>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</si>
  <si>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</si>
  <si>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</si>
  <si>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</si>
  <si>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</si>
  <si>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</si>
  <si>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</si>
  <si>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</si>
  <si>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</si>
  <si>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</si>
  <si>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</si>
  <si>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</si>
  <si>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</si>
  <si>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</si>
  <si>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</si>
  <si>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</si>
  <si>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</si>
  <si>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</si>
  <si>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</si>
  <si>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</si>
  <si>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</si>
  <si>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</si>
  <si>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</si>
  <si>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</si>
  <si>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</si>
  <si>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</si>
  <si>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</si>
  <si>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</si>
  <si>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</si>
  <si>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</si>
  <si>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</si>
  <si>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</si>
  <si>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</si>
  <si>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</si>
  <si>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</si>
  <si>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</si>
  <si>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</si>
  <si>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</si>
  <si>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</si>
  <si>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</si>
  <si>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</si>
  <si>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</si>
  <si>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</si>
  <si>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</si>
  <si>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</si>
  <si>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</si>
  <si>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</si>
  <si>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</si>
  <si>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</si>
  <si>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</si>
  <si>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</si>
  <si>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</si>
  <si>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</si>
  <si>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</si>
  <si>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</si>
  <si>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</si>
  <si>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</si>
  <si>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</si>
  <si>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</si>
  <si>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</si>
  <si>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</si>
  <si>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</si>
  <si>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</si>
  <si>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</si>
  <si>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</si>
  <si>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</si>
  <si>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</si>
  <si>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</si>
  <si>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</si>
  <si>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</si>
  <si>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</si>
  <si>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</si>
  <si>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</si>
  <si>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</si>
  <si>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</si>
  <si>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</si>
  <si>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</si>
  <si>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</si>
  <si>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</si>
  <si>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</si>
  <si>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</si>
  <si>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</si>
  <si>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</si>
  <si>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</si>
  <si>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</si>
  <si>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</si>
  <si>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</si>
  <si>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</si>
  <si>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</si>
  <si>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</si>
  <si>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</si>
  <si>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</si>
  <si>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</si>
  <si>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</si>
  <si>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</si>
  <si>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</si>
  <si>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</si>
  <si>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</si>
  <si>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</si>
  <si>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</si>
  <si>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</si>
  <si>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</si>
  <si>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</si>
  <si>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</si>
  <si>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</si>
  <si>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</si>
  <si>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</si>
  <si>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</si>
  <si>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</si>
  <si>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</si>
  <si>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</si>
  <si>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</si>
  <si>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</si>
  <si>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</si>
  <si>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</si>
  <si>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</si>
  <si>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</si>
  <si>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</si>
  <si>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</si>
  <si>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</si>
  <si>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</si>
  <si>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</si>
  <si>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</si>
  <si>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</si>
  <si>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</si>
  <si>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</si>
  <si>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</si>
  <si>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</si>
  <si>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</si>
  <si>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</si>
  <si>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</si>
  <si>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</si>
  <si>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</si>
  <si>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</si>
  <si>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</si>
  <si>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</si>
  <si>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</si>
  <si>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</si>
  <si>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</si>
  <si>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</si>
  <si>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</si>
  <si>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</si>
  <si>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</si>
  <si>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</si>
  <si>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</si>
  <si>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</si>
  <si>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</si>
  <si>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</si>
  <si>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</si>
  <si>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</si>
  <si>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</si>
  <si>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</si>
  <si>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</si>
  <si>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</si>
  <si>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</si>
  <si>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</si>
  <si>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</si>
  <si>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</si>
  <si>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</si>
  <si>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</si>
  <si>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</si>
  <si>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</si>
  <si>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</si>
  <si>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</si>
  <si>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</si>
  <si>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</si>
  <si>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</si>
  <si>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</si>
  <si>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</si>
  <si>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</si>
  <si>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</si>
  <si>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</si>
  <si>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</si>
  <si>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</si>
  <si>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</si>
  <si>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</si>
  <si>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</si>
  <si>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</si>
  <si>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</si>
  <si>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</si>
  <si>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</si>
  <si>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</si>
  <si>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</si>
  <si>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</si>
  <si>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</si>
  <si>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</si>
  <si>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</si>
  <si>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</si>
  <si>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</si>
  <si>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</si>
  <si>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</si>
  <si>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</si>
  <si>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</si>
  <si>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</si>
  <si>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</si>
  <si>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</si>
  <si>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</si>
  <si>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</si>
  <si>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</si>
  <si>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</si>
  <si>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</si>
  <si>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</si>
  <si>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</si>
  <si>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</si>
  <si>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</si>
  <si>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</si>
  <si>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</si>
  <si>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</si>
  <si>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</si>
  <si>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</si>
  <si>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</si>
  <si>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</si>
  <si>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</si>
  <si>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</si>
  <si>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</si>
  <si>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</si>
  <si>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</si>
  <si>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</si>
  <si>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</si>
  <si>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</si>
  <si>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</si>
  <si>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</si>
  <si>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</si>
  <si>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</si>
  <si>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</si>
  <si>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</si>
  <si>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</si>
  <si>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</si>
  <si>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</si>
  <si>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</si>
  <si>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</si>
  <si>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</si>
  <si>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</si>
  <si>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</si>
  <si>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</si>
  <si>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</si>
  <si>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</si>
  <si>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</si>
  <si>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</si>
  <si>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</si>
  <si>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</si>
  <si>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</si>
  <si>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</si>
  <si>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</si>
  <si>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</si>
  <si>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</si>
  <si>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</si>
  <si>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</si>
  <si>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</si>
  <si>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</si>
  <si>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</si>
  <si>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</si>
  <si>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</si>
  <si>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</si>
  <si>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</si>
  <si>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</si>
  <si>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</si>
  <si>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</si>
  <si>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</si>
  <si>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</si>
  <si>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</si>
  <si>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</si>
  <si>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</si>
  <si>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</si>
  <si>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</si>
  <si>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</si>
  <si>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</si>
  <si>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</si>
  <si>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</si>
  <si>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</si>
  <si>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</si>
  <si>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</si>
  <si>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</si>
  <si>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</si>
  <si>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</si>
  <si>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</si>
  <si>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</si>
  <si>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</si>
  <si>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</si>
  <si>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</si>
  <si>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</si>
  <si>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</si>
  <si>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</si>
  <si>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</si>
  <si>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</si>
  <si>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</si>
  <si>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</si>
  <si>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</si>
  <si>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</si>
  <si>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</si>
  <si>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</si>
  <si>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</si>
  <si>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</si>
  <si>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</si>
  <si>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</si>
  <si>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</si>
  <si>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</si>
  <si>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</si>
  <si>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</si>
  <si>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</si>
  <si>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</si>
  <si>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</si>
  <si>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</si>
  <si>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</si>
  <si>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</si>
  <si>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</si>
  <si>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</si>
  <si>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</si>
  <si>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</si>
  <si>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</si>
  <si>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</si>
  <si>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</si>
  <si>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</si>
  <si>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</si>
  <si>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</si>
  <si>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</si>
  <si>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</si>
  <si>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</si>
  <si>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</si>
  <si>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</si>
  <si>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</si>
  <si>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</si>
  <si>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</si>
  <si>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</si>
  <si>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</si>
  <si>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</si>
  <si>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</si>
  <si>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</si>
  <si>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</si>
  <si>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</si>
  <si>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</si>
  <si>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</si>
  <si>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</si>
  <si>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</si>
  <si>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</si>
  <si>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</si>
  <si>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</si>
  <si>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</si>
  <si>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</si>
  <si>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</si>
  <si>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</si>
  <si>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</si>
  <si>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</si>
  <si>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</si>
  <si>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</si>
  <si>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</si>
  <si>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</si>
  <si>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</si>
  <si>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</si>
  <si>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</si>
  <si>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</si>
  <si>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</si>
  <si>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</si>
  <si>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</si>
  <si>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</si>
  <si>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</si>
  <si>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</si>
  <si>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</si>
  <si>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</si>
  <si>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</si>
  <si>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</si>
  <si>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</si>
  <si>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</si>
  <si>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</si>
  <si>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</si>
  <si>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</si>
  <si>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</si>
  <si>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</si>
  <si>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</si>
  <si>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</si>
  <si>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</si>
  <si>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</si>
  <si>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</si>
  <si>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</si>
  <si>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</si>
  <si>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</si>
  <si>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</si>
  <si>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</si>
  <si>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</si>
  <si>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</si>
  <si>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</si>
  <si>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U.S.VETS - WLAVA Buildling 13</t>
  </si>
  <si>
    <t>U.S.VETS Housing Corporation</t>
  </si>
  <si>
    <t>800 W 6th Street</t>
  </si>
  <si>
    <t>Los Angeles, CA 90017</t>
  </si>
  <si>
    <t>Lori Allgood</t>
  </si>
  <si>
    <t>40%/60%</t>
  </si>
  <si>
    <t>Hyder Property Management Professionals</t>
  </si>
  <si>
    <t>1649 Capalina Road, Suite 500</t>
  </si>
  <si>
    <t>San Marcos, CA 92069</t>
  </si>
  <si>
    <t>Kyle Beach</t>
  </si>
  <si>
    <t>kbeach@hyderco.com</t>
  </si>
  <si>
    <t>Kingdom Development, Inc.</t>
  </si>
  <si>
    <t>Genslar</t>
  </si>
  <si>
    <t>400 Pershing Avenue</t>
  </si>
  <si>
    <t>U.S.VETS-WLAVA Building 13</t>
  </si>
  <si>
    <t>January</t>
  </si>
  <si>
    <t>4365-008-906 (portion), 4365-007-903 (portion)</t>
  </si>
  <si>
    <t>.</t>
  </si>
  <si>
    <t>95 years</t>
  </si>
  <si>
    <t>Vacant</t>
  </si>
  <si>
    <t>William Leach</t>
  </si>
  <si>
    <t>Not Applicable</t>
  </si>
  <si>
    <t>County of Los Angeles</t>
  </si>
  <si>
    <t>Lynn Katano</t>
  </si>
  <si>
    <t>700 W. Main Street</t>
  </si>
  <si>
    <t>Alhambra</t>
  </si>
  <si>
    <t>626-586-1806</t>
  </si>
  <si>
    <t>626-943-3815</t>
  </si>
  <si>
    <t>lynn.katano@lacdc.org</t>
  </si>
  <si>
    <t>800 West 6th Street, Suite 1505</t>
  </si>
  <si>
    <t>CA</t>
  </si>
  <si>
    <t>213-610-7649</t>
  </si>
  <si>
    <t>lallgood@usvets.org</t>
  </si>
  <si>
    <t>Managing GP</t>
  </si>
  <si>
    <t xml:space="preserve">Kingdom Development, Inc. </t>
  </si>
  <si>
    <t xml:space="preserve">6451 Box Springs Blvd. </t>
  </si>
  <si>
    <t>951-966-6935</t>
  </si>
  <si>
    <t>william@kingdomdevelopment.net</t>
  </si>
  <si>
    <t>Managing Member of the MGP and Consultant</t>
  </si>
  <si>
    <t xml:space="preserve">lallgood@usvets.org </t>
  </si>
  <si>
    <t>Novogradac &amp; Company LLP</t>
  </si>
  <si>
    <t>PO Box 7833</t>
  </si>
  <si>
    <t>San Francisco, CA 94120-7833</t>
  </si>
  <si>
    <t>Dat Ksor</t>
  </si>
  <si>
    <t>dat.ksor@novoco.com</t>
  </si>
  <si>
    <t>6451 Box Springs Blvd.</t>
  </si>
  <si>
    <t>Riverside, CA 92507</t>
  </si>
  <si>
    <t>6700 Antioch Rd., Suite 450</t>
  </si>
  <si>
    <t>Merriam, KS 66204</t>
  </si>
  <si>
    <t>Rebecca Arthur</t>
  </si>
  <si>
    <t>rebecca.arthur@novoco.com</t>
  </si>
  <si>
    <t>500 South Figueroa</t>
  </si>
  <si>
    <t>Los Angeles, CA 90071</t>
  </si>
  <si>
    <t>James Kelly</t>
  </si>
  <si>
    <t>james_kelly@gensler.com</t>
  </si>
  <si>
    <t>kelly.powell@novoco.com</t>
  </si>
  <si>
    <t>California Housing Finance Agency</t>
  </si>
  <si>
    <t>500 Capitol Mall Ste. 1400</t>
  </si>
  <si>
    <t>Sacramento, CA 95814</t>
  </si>
  <si>
    <t>Kevin Brown</t>
  </si>
  <si>
    <t>kbrown@calhfa.ca.gov</t>
  </si>
  <si>
    <t>Chief Operating Officer</t>
  </si>
  <si>
    <t>Citibank</t>
  </si>
  <si>
    <t>Deferred Costs &amp; Fees</t>
  </si>
  <si>
    <t>2455 Paces Ferry Road Suite C-17</t>
  </si>
  <si>
    <t>Atlanta, GA 30339</t>
  </si>
  <si>
    <t>Erica Headlee</t>
  </si>
  <si>
    <t>800 W Sixth St, Suite 1505</t>
  </si>
  <si>
    <t>2361 Hylan Blvd.</t>
  </si>
  <si>
    <t>Staten Island, NY 10306</t>
  </si>
  <si>
    <t>Jeanna Dellaragione</t>
  </si>
  <si>
    <t>300 S Grand Ave, Suite 3110</t>
  </si>
  <si>
    <t>Zijian Tu</t>
  </si>
  <si>
    <t>213-486-8917</t>
  </si>
  <si>
    <t>Hard</t>
  </si>
  <si>
    <t>LACDA</t>
  </si>
  <si>
    <t>Project-based vouchers (PBVs)</t>
  </si>
  <si>
    <t>Berman and Allderdice</t>
  </si>
  <si>
    <t>1200 Wilshire Blvd, Suite 610</t>
  </si>
  <si>
    <t>Beth S. Bergman. Esq.</t>
  </si>
  <si>
    <t>213-219-3666</t>
  </si>
  <si>
    <t>bbergman@b-alaw.com</t>
  </si>
  <si>
    <t>Green Dinosaur</t>
  </si>
  <si>
    <t>8695 Washington Blvd, Suite 210</t>
  </si>
  <si>
    <t>Culver City</t>
  </si>
  <si>
    <t>Shane Hansen PE</t>
  </si>
  <si>
    <t>213-455-3311</t>
  </si>
  <si>
    <t>shansen@greendinosaur.org</t>
  </si>
  <si>
    <t xml:space="preserve">R4 Capital </t>
  </si>
  <si>
    <t>Cory Bannister</t>
  </si>
  <si>
    <t>Cbannister@r4cap.com</t>
  </si>
  <si>
    <t>THE UNITED STATES OF AMERICA, ACTIN BY AND THROUGH THE SECRETARY OF VETERANS
AFFAIRS, SUCCESSOR BY INTEREST TO THE NATIONAL HOME FOR DISABLED VOLUNTEER
SOLDIERS, a Corporation</t>
  </si>
  <si>
    <t>Secured by Leasehold Interest</t>
  </si>
  <si>
    <t>Other (Specify below)</t>
  </si>
  <si>
    <t>895 Dove Street, Suite 1830</t>
  </si>
  <si>
    <t>San Diego, CA 92660</t>
  </si>
  <si>
    <t xml:space="preserve">Multi-Family 2 story building with ground access to both stories. All residential units are located on the second floor. </t>
  </si>
  <si>
    <t xml:space="preserve">A portion of the first floor will consist of a grocery store, canteen kitchen, and offices dedicated to VA services offered to Veterans with a total of 13,957 SF of the floor being used. </t>
  </si>
  <si>
    <t>895 Dove Street, Suite 450</t>
  </si>
  <si>
    <t>Newport Beach</t>
  </si>
  <si>
    <t>N/A Utilities Paid by Owner</t>
  </si>
  <si>
    <t>Bond Issuer Fees</t>
  </si>
  <si>
    <t>Office supplies, postage, expenses, copier, software licensing, toner</t>
  </si>
  <si>
    <t>PBV's - LACDA</t>
  </si>
  <si>
    <t>Seismic Upgrading</t>
  </si>
  <si>
    <t>T2T Admin Fee</t>
  </si>
  <si>
    <t>Benefits</t>
  </si>
  <si>
    <t>LACDA - 23 HUD Section 8 PBVASH</t>
  </si>
  <si>
    <t>Stephen Siller Tunnel to Towers Foundation</t>
  </si>
  <si>
    <t>The Home Depot Foundation</t>
  </si>
  <si>
    <t>R4 Capital</t>
  </si>
  <si>
    <t>R4 Capital - Historic Tax Credits</t>
  </si>
  <si>
    <t>Stephen Siller Tunnel to Tower Foundation</t>
  </si>
  <si>
    <t>Fixed</t>
  </si>
  <si>
    <t>Above residual receipts line for cash flow</t>
  </si>
  <si>
    <t>Other: (Commercial Costs)</t>
  </si>
  <si>
    <t>Provided</t>
  </si>
  <si>
    <t>TBD</t>
  </si>
  <si>
    <t>O-S (LA County)</t>
  </si>
  <si>
    <t>30' 1"</t>
  </si>
  <si>
    <t xml:space="preserve">Loan, Residual Reciepts </t>
  </si>
  <si>
    <t>U.S.VETS Initiative</t>
  </si>
  <si>
    <t>Commercial</t>
  </si>
  <si>
    <t>Commercial Income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</si>
</sst>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7229">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7" fillId="0" borderId="0" xfId="0" applyFont="1" applyAlignment="1" applyProtection="1">
      <alignment vertical="top" wrapText="1"/>
      <protection locked="0"/>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27" fillId="0" borderId="11" xfId="0" applyFont="1" applyBorder="1" applyAlignment="1">
      <alignment horizontal="center" vertical="top" wrapText="1"/>
    </xf>
    <xf numFmtId="1" fontId="27" fillId="5" borderId="11" xfId="0" applyNumberFormat="1"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0" fontId="24" fillId="3" borderId="0" xfId="0" applyFont="1" applyFill="1" applyAlignment="1">
      <alignment horizontal="center" vertical="center"/>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8" fillId="5" borderId="11" xfId="0" applyFont="1" applyFill="1" applyBorder="1" applyAlignment="1" applyProtection="1">
      <alignmen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6" fillId="0" borderId="0" xfId="0" applyFont="1" applyAlignment="1">
      <alignment horizontal="center"/>
    </xf>
    <xf numFmtId="166" fontId="27"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4" xfId="0"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6" fontId="27"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7" fillId="2"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45" borderId="11" xfId="0" applyFont="1" applyFill="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0" borderId="3" xfId="0" applyFont="1" applyBorder="1" applyAlignment="1">
      <alignment horizontal="center"/>
    </xf>
    <xf numFmtId="0" fontId="27" fillId="0" borderId="5" xfId="0" applyFont="1" applyBorder="1" applyAlignment="1">
      <alignment horizontal="center"/>
    </xf>
    <xf numFmtId="0" fontId="18" fillId="5" borderId="11" xfId="0" applyFont="1" applyFill="1" applyBorder="1" applyAlignment="1" applyProtection="1">
      <alignment horizontal="left" wrapText="1"/>
      <protection locked="0"/>
    </xf>
    <xf numFmtId="0" fontId="25" fillId="0" borderId="11" xfId="0" applyFont="1" applyBorder="1" applyAlignment="1">
      <alignment horizontal="center" vertical="center" wrapText="1"/>
    </xf>
    <xf numFmtId="0" fontId="18" fillId="0" borderId="11" xfId="0" applyFont="1" applyBorder="1" applyAlignment="1">
      <alignment horizontal="center"/>
    </xf>
    <xf numFmtId="0" fontId="27"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4" xfId="0" applyFont="1" applyBorder="1" applyAlignment="1">
      <alignment horizontal="center"/>
    </xf>
    <xf numFmtId="168" fontId="0" fillId="5" borderId="11" xfId="0" applyNumberFormat="1" applyFill="1" applyBorder="1" applyAlignment="1" applyProtection="1">
      <alignment horizontal="right"/>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82" fontId="26" fillId="43" borderId="11" xfId="8721" applyNumberFormat="1" applyFont="1" applyFill="1" applyBorder="1" applyAlignment="1" applyProtection="1">
      <alignment horizontal="center" vertical="center" wrapText="1"/>
      <protection locked="0"/>
    </xf>
    <xf numFmtId="0" fontId="0" fillId="0" borderId="9" xfId="0" applyBorder="1" applyAlignment="1">
      <alignment horizontal="left"/>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5" fillId="0" borderId="2" xfId="0" applyFont="1" applyBorder="1" applyAlignment="1">
      <alignment horizontal="right"/>
    </xf>
    <xf numFmtId="0" fontId="25" fillId="0" borderId="7" xfId="0" applyFont="1" applyBorder="1" applyAlignment="1">
      <alignment horizontal="right"/>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0" fillId="0" borderId="11" xfId="0" applyNumberFormat="1" applyBorder="1" applyAlignment="1">
      <alignment horizontal="center"/>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center" wrapText="1"/>
    </xf>
    <xf numFmtId="0" fontId="25" fillId="0" borderId="10" xfId="0" applyFont="1" applyBorder="1" applyAlignment="1">
      <alignment horizontal="center" wrapText="1"/>
    </xf>
    <xf numFmtId="0" fontId="27" fillId="0" borderId="3" xfId="0" applyFont="1" applyBorder="1" applyAlignment="1">
      <alignment horizontal="left"/>
    </xf>
    <xf numFmtId="168" fontId="0" fillId="5" borderId="11" xfId="0" applyNumberFormat="1" applyFill="1" applyBorder="1" applyProtection="1">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0" fillId="5" borderId="3" xfId="0" applyNumberFormat="1" applyFill="1" applyBorder="1" applyAlignment="1" applyProtection="1">
      <alignment horizontal="right"/>
      <protection locked="0"/>
    </xf>
    <xf numFmtId="0" fontId="25" fillId="0" borderId="12" xfId="0" applyFont="1" applyBorder="1" applyAlignment="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56" fillId="0" borderId="0" xfId="0" applyNumberFormat="1" applyFont="1" applyAlignment="1">
      <alignment horizontal="center" vertical="center" wrapText="1"/>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18" fillId="0" borderId="1" xfId="0" applyFont="1" applyBorder="1" applyAlignment="1">
      <alignment horizontal="center" vertical="top" wrapText="1"/>
    </xf>
    <xf numFmtId="171" fontId="18"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8" fillId="5" borderId="11" xfId="0" applyFont="1" applyFill="1" applyBorder="1" applyAlignment="1" applyProtection="1">
      <alignment horizontal="left" vertical="center" wrapText="1"/>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6" xfId="0" applyFont="1" applyBorder="1" applyAlignment="1">
      <alignment horizontal="center"/>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7" fillId="0" borderId="11" xfId="0" applyFont="1" applyBorder="1" applyAlignment="1">
      <alignment horizontal="center"/>
    </xf>
    <xf numFmtId="9" fontId="18" fillId="0" borderId="0" xfId="543" applyNumberFormat="1" applyAlignment="1">
      <alignment horizontal="center" vertical="center"/>
    </xf>
    <xf numFmtId="0" fontId="25" fillId="5" borderId="11"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4" xfId="0" applyNumberForma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3" fontId="27" fillId="5" borderId="11" xfId="0" applyNumberFormat="1" applyFont="1" applyFill="1" applyBorder="1" applyAlignment="1" applyProtection="1">
      <alignment horizontal="center"/>
      <protection locked="0"/>
    </xf>
    <xf numFmtId="168" fontId="27" fillId="0" borderId="11" xfId="0" applyNumberFormat="1" applyFont="1" applyBorder="1" applyAlignment="1">
      <alignment horizontal="center"/>
    </xf>
    <xf numFmtId="2" fontId="0" fillId="0" borderId="6" xfId="0" applyNumberFormat="1" applyBorder="1" applyAlignment="1">
      <alignment horizontal="center"/>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25" fillId="0" borderId="9" xfId="0" applyFont="1" applyBorder="1" applyAlignment="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0" borderId="5" xfId="0" applyBorder="1" applyAlignment="1">
      <alignment horizontal="left"/>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27" fillId="5" borderId="11" xfId="0" applyFont="1" applyFill="1" applyBorder="1" applyAlignment="1" applyProtection="1">
      <alignment horizontal="center"/>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wrapText="1"/>
      <protection locked="0"/>
    </xf>
    <xf numFmtId="0" fontId="26" fillId="43" borderId="6" xfId="0" applyFont="1" applyFill="1" applyBorder="1" applyAlignment="1" applyProtection="1">
      <alignment horizontal="left"/>
      <protection locked="0"/>
    </xf>
    <xf numFmtId="0" fontId="18" fillId="5" borderId="6" xfId="0" applyFont="1" applyFill="1" applyBorder="1" applyAlignment="1" applyProtection="1">
      <alignment horizontal="center"/>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3" xfId="0" applyFont="1" applyBorder="1" applyAlignment="1">
      <alignment horizontal="center"/>
    </xf>
    <xf numFmtId="0" fontId="25" fillId="0" borderId="4" xfId="0" applyFont="1" applyBorder="1" applyAlignment="1">
      <alignment horizontal="center"/>
    </xf>
    <xf numFmtId="3" fontId="27" fillId="0" borderId="11" xfId="0" applyNumberFormat="1" applyFont="1" applyBorder="1" applyAlignment="1">
      <alignment horizontal="center"/>
    </xf>
    <xf numFmtId="10" fontId="27" fillId="0" borderId="11" xfId="0" applyNumberFormat="1" applyFont="1" applyBorder="1" applyAlignment="1">
      <alignment horizontal="center"/>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25" fillId="0" borderId="5" xfId="0"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17229">
    <cellStyle name="20% - Accent1" xfId="1" builtinId="30" customBuiltin="1"/>
    <cellStyle name="20% - Accent1 10" xfId="4504" xr:uid="{00000000-0005-0000-0000-000001000000}"/>
    <cellStyle name="20% - Accent1 10 2" xfId="13000" xr:uid="{57A6666D-65A9-45A7-A510-76F3F0611614}"/>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5561" xr:uid="{25700C4E-186D-433E-BABA-B6D6D3813F1C}"/>
    <cellStyle name="20% - Accent1 2 2 2 2 2 3" xfId="11348" xr:uid="{4BEBD390-C450-45AA-94EE-88CF71B95597}"/>
    <cellStyle name="20% - Accent1 2 2 2 2 3" xfId="4921" xr:uid="{00000000-0005-0000-0000-000008000000}"/>
    <cellStyle name="20% - Accent1 2 2 2 2 3 2" xfId="13416" xr:uid="{2A81F7B4-193F-462A-B368-4602A8217591}"/>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5974" xr:uid="{4BBF358A-DABD-45FA-94D7-9841E5EC81D8}"/>
    <cellStyle name="20% - Accent1 2 2 2 3 2 3" xfId="11761" xr:uid="{53E3683C-0E65-4CE5-80EF-71D867A89D39}"/>
    <cellStyle name="20% - Accent1 2 2 2 3 3" xfId="5334" xr:uid="{00000000-0005-0000-0000-00000C000000}"/>
    <cellStyle name="20% - Accent1 2 2 2 3 3 2" xfId="13829" xr:uid="{D7F17B8F-4395-4532-8E23-7A1D543C9AB8}"/>
    <cellStyle name="20% - Accent1 2 2 2 3 4" xfId="9616" xr:uid="{EFA16E4F-B0CB-4869-BB74-557F70EB84FD}"/>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6387" xr:uid="{54E8DF4A-26D7-49E9-9EE1-026A3364AEE3}"/>
    <cellStyle name="20% - Accent1 2 2 2 4 2 3" xfId="12174" xr:uid="{7F39308E-7EDB-4B74-A3D3-30AE2A600CC1}"/>
    <cellStyle name="20% - Accent1 2 2 2 4 3" xfId="5747" xr:uid="{00000000-0005-0000-0000-000010000000}"/>
    <cellStyle name="20% - Accent1 2 2 2 4 3 2" xfId="14242" xr:uid="{E66D5F56-8CF1-42C2-BFA5-843E84648F15}"/>
    <cellStyle name="20% - Accent1 2 2 2 4 4" xfId="10029" xr:uid="{BD0C193F-2A28-49E0-B337-12B252B3CC7F}"/>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6800" xr:uid="{3579B535-FB60-4D0C-B15A-553B90458FC4}"/>
    <cellStyle name="20% - Accent1 2 2 2 5 2 3" xfId="12587" xr:uid="{A0767894-F482-468A-8C2C-50E4B6AFFE3F}"/>
    <cellStyle name="20% - Accent1 2 2 2 5 3" xfId="6160" xr:uid="{00000000-0005-0000-0000-000014000000}"/>
    <cellStyle name="20% - Accent1 2 2 2 5 3 2" xfId="14655" xr:uid="{DEB4FA8A-541C-4CB3-B3B3-381DDC0D2338}"/>
    <cellStyle name="20% - Accent1 2 2 2 5 4" xfId="10442" xr:uid="{3701F14D-0C3C-49D9-8672-2BF5EA20C2B2}"/>
    <cellStyle name="20% - Accent1 2 2 2 6" xfId="2267" xr:uid="{00000000-0005-0000-0000-000015000000}"/>
    <cellStyle name="20% - Accent1 2 2 2 6 2" xfId="6573" xr:uid="{00000000-0005-0000-0000-000016000000}"/>
    <cellStyle name="20% - Accent1 2 2 2 6 2 2" xfId="15068" xr:uid="{B140D134-9FAB-4759-A596-BB6A745B62B1}"/>
    <cellStyle name="20% - Accent1 2 2 2 6 3" xfId="10855" xr:uid="{72639AAB-5C66-4B59-A2FC-2339C2311918}"/>
    <cellStyle name="20% - Accent1 2 2 2 7" xfId="4507" xr:uid="{00000000-0005-0000-0000-000017000000}"/>
    <cellStyle name="20% - Accent1 2 2 2 7 2" xfId="13003" xr:uid="{1C8A81D1-8156-4DFA-9490-690BB3184093}"/>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5560" xr:uid="{E4F105F1-D17D-4B80-A176-3B9B81B7AB9A}"/>
    <cellStyle name="20% - Accent1 2 2 3 2 3" xfId="11347" xr:uid="{A2A00DA3-9C11-49E7-884D-2404F016BB69}"/>
    <cellStyle name="20% - Accent1 2 2 3 3" xfId="4920" xr:uid="{00000000-0005-0000-0000-00001B000000}"/>
    <cellStyle name="20% - Accent1 2 2 3 3 2" xfId="13415" xr:uid="{D56636BF-AF84-4058-AB01-5F52D855A584}"/>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5973" xr:uid="{182E7F85-5229-4225-A3C7-720D84A5ED75}"/>
    <cellStyle name="20% - Accent1 2 2 4 2 3" xfId="11760" xr:uid="{7D066580-D8A7-4BF5-B4C3-78821439D92D}"/>
    <cellStyle name="20% - Accent1 2 2 4 3" xfId="5333" xr:uid="{00000000-0005-0000-0000-00001F000000}"/>
    <cellStyle name="20% - Accent1 2 2 4 3 2" xfId="13828" xr:uid="{32B8DBC0-CAE9-4DC4-9059-76BCB3614D37}"/>
    <cellStyle name="20% - Accent1 2 2 4 4" xfId="9615" xr:uid="{5049AC26-81DF-4D78-98B4-CFEBC2A06613}"/>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6386" xr:uid="{83825657-AF3A-4184-AC73-EA77EFB9435D}"/>
    <cellStyle name="20% - Accent1 2 2 5 2 3" xfId="12173" xr:uid="{C75D7289-1F20-4AE4-8357-1FEF410BEBD9}"/>
    <cellStyle name="20% - Accent1 2 2 5 3" xfId="5746" xr:uid="{00000000-0005-0000-0000-000023000000}"/>
    <cellStyle name="20% - Accent1 2 2 5 3 2" xfId="14241" xr:uid="{979D84A9-FB30-4E48-9045-48DE21BA03A8}"/>
    <cellStyle name="20% - Accent1 2 2 5 4" xfId="10028" xr:uid="{801A6708-0107-42C2-AA00-36A89A2D1CFB}"/>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6799" xr:uid="{7240E943-BA97-49BD-A8F2-9FFDB90B0C16}"/>
    <cellStyle name="20% - Accent1 2 2 6 2 3" xfId="12586" xr:uid="{72143A2A-2C5D-468A-8088-F4FF5E54F804}"/>
    <cellStyle name="20% - Accent1 2 2 6 3" xfId="6159" xr:uid="{00000000-0005-0000-0000-000027000000}"/>
    <cellStyle name="20% - Accent1 2 2 6 3 2" xfId="14654" xr:uid="{07E785BE-B4F9-4A1C-8A3E-79BFFD25E389}"/>
    <cellStyle name="20% - Accent1 2 2 6 4" xfId="10441" xr:uid="{C77DF4B3-D957-41B1-BA4A-369170C1F9DA}"/>
    <cellStyle name="20% - Accent1 2 2 7" xfId="2266" xr:uid="{00000000-0005-0000-0000-000028000000}"/>
    <cellStyle name="20% - Accent1 2 2 7 2" xfId="6572" xr:uid="{00000000-0005-0000-0000-000029000000}"/>
    <cellStyle name="20% - Accent1 2 2 7 2 2" xfId="15067" xr:uid="{AD4A80B4-EF62-4429-A303-374CE6C96C76}"/>
    <cellStyle name="20% - Accent1 2 2 7 3" xfId="10854" xr:uid="{B4123E4B-81FB-49B1-8D6D-5E0EBC4D80AE}"/>
    <cellStyle name="20% - Accent1 2 2 8" xfId="4506" xr:uid="{00000000-0005-0000-0000-00002A000000}"/>
    <cellStyle name="20% - Accent1 2 2 8 2" xfId="13002" xr:uid="{CDEFE89A-825C-4FEE-9490-8AD0186BE003}"/>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5562" xr:uid="{C4255632-4438-47CA-8815-FBD107D87D53}"/>
    <cellStyle name="20% - Accent1 2 3 2 2 3" xfId="11349" xr:uid="{02BDC91C-A7E9-404B-BE1C-E314E05F115E}"/>
    <cellStyle name="20% - Accent1 2 3 2 3" xfId="4922" xr:uid="{00000000-0005-0000-0000-00002F000000}"/>
    <cellStyle name="20% - Accent1 2 3 2 3 2" xfId="13417" xr:uid="{E6C776E8-1B19-4C9B-988D-76F4469A0FF6}"/>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5975" xr:uid="{8AF3CD9E-4359-4A05-80DD-8A6643B75C27}"/>
    <cellStyle name="20% - Accent1 2 3 3 2 3" xfId="11762" xr:uid="{B5AE1D7A-15E9-400E-BAB5-1DB1A7C2818A}"/>
    <cellStyle name="20% - Accent1 2 3 3 3" xfId="5335" xr:uid="{00000000-0005-0000-0000-000033000000}"/>
    <cellStyle name="20% - Accent1 2 3 3 3 2" xfId="13830" xr:uid="{30B38640-A2F9-479E-9040-E1D908FDB551}"/>
    <cellStyle name="20% - Accent1 2 3 3 4" xfId="9617" xr:uid="{439D7AFE-3C80-4680-90A7-66A0CF32F12D}"/>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6388" xr:uid="{94F767BB-4A7B-44C0-AC38-35D17CDD6743}"/>
    <cellStyle name="20% - Accent1 2 3 4 2 3" xfId="12175" xr:uid="{1FFB232B-651E-4DF3-8F78-6BC4D29502B8}"/>
    <cellStyle name="20% - Accent1 2 3 4 3" xfId="5748" xr:uid="{00000000-0005-0000-0000-000037000000}"/>
    <cellStyle name="20% - Accent1 2 3 4 3 2" xfId="14243" xr:uid="{E4AB6762-D3C1-41DA-976A-D89328309CF0}"/>
    <cellStyle name="20% - Accent1 2 3 4 4" xfId="10030" xr:uid="{C2762BA3-E7A7-4D08-A236-8281D722FC44}"/>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6801" xr:uid="{10998D0B-4E1B-46F1-9F87-B36E3F4892C7}"/>
    <cellStyle name="20% - Accent1 2 3 5 2 3" xfId="12588" xr:uid="{B0132309-1DA1-4274-B54A-5BF0CFE32504}"/>
    <cellStyle name="20% - Accent1 2 3 5 3" xfId="6161" xr:uid="{00000000-0005-0000-0000-00003B000000}"/>
    <cellStyle name="20% - Accent1 2 3 5 3 2" xfId="14656" xr:uid="{766FF222-8A6C-4C25-AEF1-F13F10055A09}"/>
    <cellStyle name="20% - Accent1 2 3 5 4" xfId="10443" xr:uid="{DB0C7417-2698-4ABA-AE87-055B63750408}"/>
    <cellStyle name="20% - Accent1 2 3 6" xfId="2268" xr:uid="{00000000-0005-0000-0000-00003C000000}"/>
    <cellStyle name="20% - Accent1 2 3 6 2" xfId="6574" xr:uid="{00000000-0005-0000-0000-00003D000000}"/>
    <cellStyle name="20% - Accent1 2 3 6 2 2" xfId="15069" xr:uid="{6D8C69A8-025F-4305-A05F-E4DE24C664B9}"/>
    <cellStyle name="20% - Accent1 2 3 6 3" xfId="10856" xr:uid="{355F2988-7813-4D23-915D-4C722D97D0F5}"/>
    <cellStyle name="20% - Accent1 2 3 7" xfId="4508" xr:uid="{00000000-0005-0000-0000-00003E000000}"/>
    <cellStyle name="20% - Accent1 2 3 7 2" xfId="13004" xr:uid="{EB301044-6B55-44D8-AE7D-BEFAFBBB1207}"/>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2 2 2" xfId="15559" xr:uid="{BD2256ED-7C36-4114-86AB-40EB3694D375}"/>
    <cellStyle name="20% - Accent1 2 4 2 3" xfId="11346" xr:uid="{96312AA8-C13B-43E8-811F-C3A981047ED4}"/>
    <cellStyle name="20% - Accent1 2 4 3" xfId="4919" xr:uid="{00000000-0005-0000-0000-000042000000}"/>
    <cellStyle name="20% - Accent1 2 4 3 2" xfId="13414" xr:uid="{9FA538EE-E926-4435-92B9-7925DAFE3EDF}"/>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2 2 2" xfId="15972" xr:uid="{B3A212D9-6D56-44F0-9F02-36F57E0A6D96}"/>
    <cellStyle name="20% - Accent1 2 5 2 3" xfId="11759" xr:uid="{05A0C663-2365-47C0-9C7A-C52DDD38E918}"/>
    <cellStyle name="20% - Accent1 2 5 3" xfId="5332" xr:uid="{00000000-0005-0000-0000-000046000000}"/>
    <cellStyle name="20% - Accent1 2 5 3 2" xfId="13827" xr:uid="{E399B914-2E0B-47DD-A85D-E44FD5096135}"/>
    <cellStyle name="20% - Accent1 2 5 4" xfId="9614" xr:uid="{B88328E4-A0DD-4AFB-AD51-77F46C8DBE48}"/>
    <cellStyle name="20% - Accent1 2 6" xfId="1438" xr:uid="{00000000-0005-0000-0000-000047000000}"/>
    <cellStyle name="20% - Accent1 2 6 2" xfId="3668" xr:uid="{00000000-0005-0000-0000-000048000000}"/>
    <cellStyle name="20% - Accent1 2 6 2 2" xfId="7890" xr:uid="{00000000-0005-0000-0000-000049000000}"/>
    <cellStyle name="20% - Accent1 2 6 2 2 2" xfId="16385" xr:uid="{39525396-F2C4-4BF8-9669-724C3B93FD69}"/>
    <cellStyle name="20% - Accent1 2 6 2 3" xfId="12172" xr:uid="{108973D6-7686-4C31-A5FC-2C9A11540ED1}"/>
    <cellStyle name="20% - Accent1 2 6 3" xfId="5745" xr:uid="{00000000-0005-0000-0000-00004A000000}"/>
    <cellStyle name="20% - Accent1 2 6 3 2" xfId="14240" xr:uid="{256BFCD6-E061-43C6-A6FA-CABF6BA00D52}"/>
    <cellStyle name="20% - Accent1 2 6 4" xfId="10027" xr:uid="{4FCBF6C2-C338-47AB-BF19-DDA62BE84978}"/>
    <cellStyle name="20% - Accent1 2 7" xfId="1852" xr:uid="{00000000-0005-0000-0000-00004B000000}"/>
    <cellStyle name="20% - Accent1 2 7 2" xfId="4081" xr:uid="{00000000-0005-0000-0000-00004C000000}"/>
    <cellStyle name="20% - Accent1 2 7 2 2" xfId="8303" xr:uid="{00000000-0005-0000-0000-00004D000000}"/>
    <cellStyle name="20% - Accent1 2 7 2 2 2" xfId="16798" xr:uid="{D75A9612-10F0-4D4A-B581-C796DDF8D6E9}"/>
    <cellStyle name="20% - Accent1 2 7 2 3" xfId="12585" xr:uid="{06707D7B-820A-44EE-AD08-3051129A5935}"/>
    <cellStyle name="20% - Accent1 2 7 3" xfId="6158" xr:uid="{00000000-0005-0000-0000-00004E000000}"/>
    <cellStyle name="20% - Accent1 2 7 3 2" xfId="14653" xr:uid="{22FD06B4-BC79-4A86-A286-463CC6CE5CE1}"/>
    <cellStyle name="20% - Accent1 2 7 4" xfId="10440" xr:uid="{4C3EFD5D-0B72-4DCC-A72E-3FA24CDBA0E9}"/>
    <cellStyle name="20% - Accent1 2 8" xfId="2265" xr:uid="{00000000-0005-0000-0000-00004F000000}"/>
    <cellStyle name="20% - Accent1 2 8 2" xfId="6571" xr:uid="{00000000-0005-0000-0000-000050000000}"/>
    <cellStyle name="20% - Accent1 2 8 2 2" xfId="15066" xr:uid="{F43CF197-CEC9-426F-91AB-F6382E51FB28}"/>
    <cellStyle name="20% - Accent1 2 8 3" xfId="10853" xr:uid="{F5BCC611-F37B-4B29-BB7F-655699429502}"/>
    <cellStyle name="20% - Accent1 2 9" xfId="4505" xr:uid="{00000000-0005-0000-0000-000051000000}"/>
    <cellStyle name="20% - Accent1 2 9 2" xfId="13001" xr:uid="{BABBC371-B689-48FC-9F0B-C52DEBB865F4}"/>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5564" xr:uid="{099FCF76-49F3-42AE-AD1B-343371AB6A25}"/>
    <cellStyle name="20% - Accent1 3 2 2 2 3" xfId="11351" xr:uid="{5BC8AA0B-7E14-45A6-A4F0-2E9EE31455E8}"/>
    <cellStyle name="20% - Accent1 3 2 2 3" xfId="4924" xr:uid="{00000000-0005-0000-0000-000057000000}"/>
    <cellStyle name="20% - Accent1 3 2 2 3 2" xfId="13419" xr:uid="{880DC64A-BEC0-49BE-A142-E5139F696C1E}"/>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5977" xr:uid="{FEC0D7E0-90AA-463E-A376-7DD7AABEF147}"/>
    <cellStyle name="20% - Accent1 3 2 3 2 3" xfId="11764" xr:uid="{04757EBA-6508-4717-9E82-10AD77EAC355}"/>
    <cellStyle name="20% - Accent1 3 2 3 3" xfId="5337" xr:uid="{00000000-0005-0000-0000-00005B000000}"/>
    <cellStyle name="20% - Accent1 3 2 3 3 2" xfId="13832" xr:uid="{720F6869-4151-493C-BE91-2353014A5D43}"/>
    <cellStyle name="20% - Accent1 3 2 3 4" xfId="9619" xr:uid="{636A4223-5634-492D-8B8A-0B8D633A08E2}"/>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6390" xr:uid="{28DB8F8B-5B2A-4CDD-8EBB-1C03D29C08CA}"/>
    <cellStyle name="20% - Accent1 3 2 4 2 3" xfId="12177" xr:uid="{68F4BD24-374A-4BC7-AA48-4B401C6755FE}"/>
    <cellStyle name="20% - Accent1 3 2 4 3" xfId="5750" xr:uid="{00000000-0005-0000-0000-00005F000000}"/>
    <cellStyle name="20% - Accent1 3 2 4 3 2" xfId="14245" xr:uid="{DD02215C-D9FD-47B7-A6EE-CDBDCA8921F7}"/>
    <cellStyle name="20% - Accent1 3 2 4 4" xfId="10032" xr:uid="{0F9D80C1-0C95-4AF5-9710-0AF8D8416187}"/>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6803" xr:uid="{C07B4085-D74F-4CDB-9036-6F71B26F3E19}"/>
    <cellStyle name="20% - Accent1 3 2 5 2 3" xfId="12590" xr:uid="{49FBC0C7-EB77-48EB-89CE-9620C52A57D4}"/>
    <cellStyle name="20% - Accent1 3 2 5 3" xfId="6163" xr:uid="{00000000-0005-0000-0000-000063000000}"/>
    <cellStyle name="20% - Accent1 3 2 5 3 2" xfId="14658" xr:uid="{0F8BD8A2-CD8D-43F2-86B7-CC88309AA6D4}"/>
    <cellStyle name="20% - Accent1 3 2 5 4" xfId="10445" xr:uid="{FE969BDB-2D3F-4CD6-9F70-F33CD73A3A51}"/>
    <cellStyle name="20% - Accent1 3 2 6" xfId="2270" xr:uid="{00000000-0005-0000-0000-000064000000}"/>
    <cellStyle name="20% - Accent1 3 2 6 2" xfId="6576" xr:uid="{00000000-0005-0000-0000-000065000000}"/>
    <cellStyle name="20% - Accent1 3 2 6 2 2" xfId="15071" xr:uid="{48542D0E-549A-4166-9E24-2166B6101F06}"/>
    <cellStyle name="20% - Accent1 3 2 6 3" xfId="10858" xr:uid="{382A99C3-2DD1-487F-9C14-40340DB3F02D}"/>
    <cellStyle name="20% - Accent1 3 2 7" xfId="4510" xr:uid="{00000000-0005-0000-0000-000066000000}"/>
    <cellStyle name="20% - Accent1 3 2 7 2" xfId="13006" xr:uid="{7F694B16-B6ED-47E3-AB82-88EEDF4395FA}"/>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2 2 2" xfId="15563" xr:uid="{7B28AFD2-8188-4DC4-BF22-26329CC422D8}"/>
    <cellStyle name="20% - Accent1 3 3 2 3" xfId="11350" xr:uid="{56D1F4C6-E215-4018-803D-9003EF6E5935}"/>
    <cellStyle name="20% - Accent1 3 3 3" xfId="4923" xr:uid="{00000000-0005-0000-0000-00006A000000}"/>
    <cellStyle name="20% - Accent1 3 3 3 2" xfId="13418" xr:uid="{2AC9B906-DC50-4CF9-A0A5-225F1FAE4C1F}"/>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2 2 2" xfId="15976" xr:uid="{C16F9C58-E68B-47FA-BEB0-223D85942264}"/>
    <cellStyle name="20% - Accent1 3 4 2 3" xfId="11763" xr:uid="{932A9BDC-E50F-465C-BE2C-0C0F19ECAB96}"/>
    <cellStyle name="20% - Accent1 3 4 3" xfId="5336" xr:uid="{00000000-0005-0000-0000-00006E000000}"/>
    <cellStyle name="20% - Accent1 3 4 3 2" xfId="13831" xr:uid="{E6E15899-9435-4690-A40E-BFD0EFFBEBA5}"/>
    <cellStyle name="20% - Accent1 3 4 4" xfId="9618" xr:uid="{B27A652B-5D75-45E0-A729-EA472AAC1AE6}"/>
    <cellStyle name="20% - Accent1 3 5" xfId="1442" xr:uid="{00000000-0005-0000-0000-00006F000000}"/>
    <cellStyle name="20% - Accent1 3 5 2" xfId="3672" xr:uid="{00000000-0005-0000-0000-000070000000}"/>
    <cellStyle name="20% - Accent1 3 5 2 2" xfId="7894" xr:uid="{00000000-0005-0000-0000-000071000000}"/>
    <cellStyle name="20% - Accent1 3 5 2 2 2" xfId="16389" xr:uid="{733C4CA9-7E3E-4DC1-9CAC-37D6653FBE30}"/>
    <cellStyle name="20% - Accent1 3 5 2 3" xfId="12176" xr:uid="{6954F4CF-BED6-423E-85CE-B90E9D3E0CD7}"/>
    <cellStyle name="20% - Accent1 3 5 3" xfId="5749" xr:uid="{00000000-0005-0000-0000-000072000000}"/>
    <cellStyle name="20% - Accent1 3 5 3 2" xfId="14244" xr:uid="{C41D2153-2D95-48A3-BA31-FC999CF8749B}"/>
    <cellStyle name="20% - Accent1 3 5 4" xfId="10031" xr:uid="{EB36FCB6-F8F6-4C97-BFA0-ED30FBBFB1EF}"/>
    <cellStyle name="20% - Accent1 3 6" xfId="1856" xr:uid="{00000000-0005-0000-0000-000073000000}"/>
    <cellStyle name="20% - Accent1 3 6 2" xfId="4085" xr:uid="{00000000-0005-0000-0000-000074000000}"/>
    <cellStyle name="20% - Accent1 3 6 2 2" xfId="8307" xr:uid="{00000000-0005-0000-0000-000075000000}"/>
    <cellStyle name="20% - Accent1 3 6 2 2 2" xfId="16802" xr:uid="{B23167DB-6874-4715-B536-6D41E1513E29}"/>
    <cellStyle name="20% - Accent1 3 6 2 3" xfId="12589" xr:uid="{26AD3FF9-F376-4AA8-8BA6-451F8AB82AAC}"/>
    <cellStyle name="20% - Accent1 3 6 3" xfId="6162" xr:uid="{00000000-0005-0000-0000-000076000000}"/>
    <cellStyle name="20% - Accent1 3 6 3 2" xfId="14657" xr:uid="{61820E9B-C463-4A18-B48A-BB6B057AFB66}"/>
    <cellStyle name="20% - Accent1 3 6 4" xfId="10444" xr:uid="{92AED677-A577-47B9-9A33-6F4CBCF97649}"/>
    <cellStyle name="20% - Accent1 3 7" xfId="2269" xr:uid="{00000000-0005-0000-0000-000077000000}"/>
    <cellStyle name="20% - Accent1 3 7 2" xfId="6575" xr:uid="{00000000-0005-0000-0000-000078000000}"/>
    <cellStyle name="20% - Accent1 3 7 2 2" xfId="15070" xr:uid="{B6F48FE8-E620-43EE-8CAE-DA45F12EDD03}"/>
    <cellStyle name="20% - Accent1 3 7 3" xfId="10857" xr:uid="{A503B6E2-BC6D-4114-A84B-675F6CC37909}"/>
    <cellStyle name="20% - Accent1 3 8" xfId="4509" xr:uid="{00000000-0005-0000-0000-000079000000}"/>
    <cellStyle name="20% - Accent1 3 8 2" xfId="13005" xr:uid="{85FA0ED8-379E-43D1-8ECE-2380B409BE0B}"/>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5565" xr:uid="{BB83D556-A19E-4273-9A36-BAFAAA47B625}"/>
    <cellStyle name="20% - Accent1 4 2 2 3" xfId="11352" xr:uid="{0CB0F5FD-1AA6-4D04-9BBC-C71FD3C0FC4C}"/>
    <cellStyle name="20% - Accent1 4 2 3" xfId="4925" xr:uid="{00000000-0005-0000-0000-00007E000000}"/>
    <cellStyle name="20% - Accent1 4 2 3 2" xfId="13420" xr:uid="{4695D5D2-8A78-4CAE-BE4A-8031076BA91B}"/>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2 2 2" xfId="15978" xr:uid="{46E42F78-AFB8-4141-B976-C6835603C23A}"/>
    <cellStyle name="20% - Accent1 4 3 2 3" xfId="11765" xr:uid="{2DE8B5F6-F015-4875-94D8-5384784538A3}"/>
    <cellStyle name="20% - Accent1 4 3 3" xfId="5338" xr:uid="{00000000-0005-0000-0000-000082000000}"/>
    <cellStyle name="20% - Accent1 4 3 3 2" xfId="13833" xr:uid="{F369AF1D-2EE1-4127-9ED1-E1F24A742366}"/>
    <cellStyle name="20% - Accent1 4 3 4" xfId="9620" xr:uid="{F674244C-A96D-4A0A-AE1D-A88AEC3F01A7}"/>
    <cellStyle name="20% - Accent1 4 4" xfId="1444" xr:uid="{00000000-0005-0000-0000-000083000000}"/>
    <cellStyle name="20% - Accent1 4 4 2" xfId="3674" xr:uid="{00000000-0005-0000-0000-000084000000}"/>
    <cellStyle name="20% - Accent1 4 4 2 2" xfId="7896" xr:uid="{00000000-0005-0000-0000-000085000000}"/>
    <cellStyle name="20% - Accent1 4 4 2 2 2" xfId="16391" xr:uid="{2F16F462-8ACF-45CC-925E-E1FF0957469D}"/>
    <cellStyle name="20% - Accent1 4 4 2 3" xfId="12178" xr:uid="{84FD3794-9E6F-41EC-BE34-3EFAA5A0B65D}"/>
    <cellStyle name="20% - Accent1 4 4 3" xfId="5751" xr:uid="{00000000-0005-0000-0000-000086000000}"/>
    <cellStyle name="20% - Accent1 4 4 3 2" xfId="14246" xr:uid="{392822F3-2492-468F-91EA-1D97772ECD5F}"/>
    <cellStyle name="20% - Accent1 4 4 4" xfId="10033" xr:uid="{EC5B8814-99D7-4878-B3FA-1187EF8FF317}"/>
    <cellStyle name="20% - Accent1 4 5" xfId="1858" xr:uid="{00000000-0005-0000-0000-000087000000}"/>
    <cellStyle name="20% - Accent1 4 5 2" xfId="4087" xr:uid="{00000000-0005-0000-0000-000088000000}"/>
    <cellStyle name="20% - Accent1 4 5 2 2" xfId="8309" xr:uid="{00000000-0005-0000-0000-000089000000}"/>
    <cellStyle name="20% - Accent1 4 5 2 2 2" xfId="16804" xr:uid="{8DBF6B8B-B33A-4606-81F0-78FFAB84EF5F}"/>
    <cellStyle name="20% - Accent1 4 5 2 3" xfId="12591" xr:uid="{F05E781D-032F-481E-8D08-92114AAC97A5}"/>
    <cellStyle name="20% - Accent1 4 5 3" xfId="6164" xr:uid="{00000000-0005-0000-0000-00008A000000}"/>
    <cellStyle name="20% - Accent1 4 5 3 2" xfId="14659" xr:uid="{CD592022-3852-42AD-895C-2F9DF2F48D0F}"/>
    <cellStyle name="20% - Accent1 4 5 4" xfId="10446" xr:uid="{ACF45EA0-458D-44E1-9A02-99C4F22402F5}"/>
    <cellStyle name="20% - Accent1 4 6" xfId="2271" xr:uid="{00000000-0005-0000-0000-00008B000000}"/>
    <cellStyle name="20% - Accent1 4 6 2" xfId="6577" xr:uid="{00000000-0005-0000-0000-00008C000000}"/>
    <cellStyle name="20% - Accent1 4 6 2 2" xfId="15072" xr:uid="{3AEA39D2-450E-4B8F-A302-53F6359CEF7F}"/>
    <cellStyle name="20% - Accent1 4 6 3" xfId="10859" xr:uid="{6E5F2F2A-67E6-413E-AF13-CF58E8B05269}"/>
    <cellStyle name="20% - Accent1 4 7" xfId="4511" xr:uid="{00000000-0005-0000-0000-00008D000000}"/>
    <cellStyle name="20% - Accent1 4 7 2" xfId="13007" xr:uid="{1F2F2849-2387-4E79-9CBA-6235F8144FA9}"/>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2 2 2" xfId="15558" xr:uid="{7E19DDDB-9806-49E3-95A8-5083252101BC}"/>
    <cellStyle name="20% - Accent1 5 2 3" xfId="11345" xr:uid="{65D3FCCC-94D7-46B7-9A4A-720689F48651}"/>
    <cellStyle name="20% - Accent1 5 3" xfId="4918" xr:uid="{00000000-0005-0000-0000-000091000000}"/>
    <cellStyle name="20% - Accent1 5 3 2" xfId="13413" xr:uid="{804E5853-1639-4608-BD00-FD93CA615B06}"/>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2 2 2" xfId="15971" xr:uid="{FECE7477-C2AD-498F-B603-A1C6247976BB}"/>
    <cellStyle name="20% - Accent1 6 2 3" xfId="11758" xr:uid="{2E51C0DC-BC70-462A-8F16-5684FE6C3B4D}"/>
    <cellStyle name="20% - Accent1 6 3" xfId="5331" xr:uid="{00000000-0005-0000-0000-000095000000}"/>
    <cellStyle name="20% - Accent1 6 3 2" xfId="13826" xr:uid="{A6E06739-16B6-42A6-8E6F-303BD94DE8E5}"/>
    <cellStyle name="20% - Accent1 6 4" xfId="9613" xr:uid="{799C849D-EE3A-4D11-B2C4-85991B9D6436}"/>
    <cellStyle name="20% - Accent1 7" xfId="1437" xr:uid="{00000000-0005-0000-0000-000096000000}"/>
    <cellStyle name="20% - Accent1 7 2" xfId="3667" xr:uid="{00000000-0005-0000-0000-000097000000}"/>
    <cellStyle name="20% - Accent1 7 2 2" xfId="7889" xr:uid="{00000000-0005-0000-0000-000098000000}"/>
    <cellStyle name="20% - Accent1 7 2 2 2" xfId="16384" xr:uid="{C30F6D9C-7B73-480C-9C97-82F5A3CE98D0}"/>
    <cellStyle name="20% - Accent1 7 2 3" xfId="12171" xr:uid="{D1D0441E-C61C-41B7-B852-616FBE9F6234}"/>
    <cellStyle name="20% - Accent1 7 3" xfId="5744" xr:uid="{00000000-0005-0000-0000-000099000000}"/>
    <cellStyle name="20% - Accent1 7 3 2" xfId="14239" xr:uid="{9AC57114-B59C-449C-B58B-2BC3339EF7C2}"/>
    <cellStyle name="20% - Accent1 7 4" xfId="10026" xr:uid="{E6CAD6FD-8F1A-4F26-A9D1-75C45B164A25}"/>
    <cellStyle name="20% - Accent1 8" xfId="1851" xr:uid="{00000000-0005-0000-0000-00009A000000}"/>
    <cellStyle name="20% - Accent1 8 2" xfId="4080" xr:uid="{00000000-0005-0000-0000-00009B000000}"/>
    <cellStyle name="20% - Accent1 8 2 2" xfId="8302" xr:uid="{00000000-0005-0000-0000-00009C000000}"/>
    <cellStyle name="20% - Accent1 8 2 2 2" xfId="16797" xr:uid="{80155604-5EEA-4DB4-8996-5479724A4F8B}"/>
    <cellStyle name="20% - Accent1 8 2 3" xfId="12584" xr:uid="{A50FB765-FB11-4E1E-8108-BAC867BC7BF5}"/>
    <cellStyle name="20% - Accent1 8 3" xfId="6157" xr:uid="{00000000-0005-0000-0000-00009D000000}"/>
    <cellStyle name="20% - Accent1 8 3 2" xfId="14652" xr:uid="{9EA44AAA-6DFC-4731-AF8E-C690DE3B68A1}"/>
    <cellStyle name="20% - Accent1 8 4" xfId="10439" xr:uid="{35A6404B-7F45-49A8-BA48-282DA7B842B8}"/>
    <cellStyle name="20% - Accent1 9" xfId="2264" xr:uid="{00000000-0005-0000-0000-00009E000000}"/>
    <cellStyle name="20% - Accent1 9 2" xfId="6570" xr:uid="{00000000-0005-0000-0000-00009F000000}"/>
    <cellStyle name="20% - Accent1 9 2 2" xfId="15065" xr:uid="{74BE4B34-55B5-4248-8EF3-637F2B80D4F7}"/>
    <cellStyle name="20% - Accent1 9 3" xfId="10852" xr:uid="{2EA92052-A763-4ECB-878A-189D46FC93B1}"/>
    <cellStyle name="20% - Accent2" xfId="9" builtinId="34" customBuiltin="1"/>
    <cellStyle name="20% - Accent2 10" xfId="4512" xr:uid="{00000000-0005-0000-0000-0000A1000000}"/>
    <cellStyle name="20% - Accent2 10 2" xfId="13008" xr:uid="{944CC5F2-B73D-4F77-A099-E34680D07C19}"/>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5569" xr:uid="{F5CF5F10-C6BE-4F32-81AE-ED2E60262AEB}"/>
    <cellStyle name="20% - Accent2 2 2 2 2 2 3" xfId="11356" xr:uid="{36E110D7-A06D-4E65-AD77-97941B16FC91}"/>
    <cellStyle name="20% - Accent2 2 2 2 2 3" xfId="4929" xr:uid="{00000000-0005-0000-0000-0000A8000000}"/>
    <cellStyle name="20% - Accent2 2 2 2 2 3 2" xfId="13424" xr:uid="{444BAA35-5A7D-4CB7-822F-F3FC50D61928}"/>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5982" xr:uid="{8ADCC33D-48CC-4153-A99B-32B45C6EE14A}"/>
    <cellStyle name="20% - Accent2 2 2 2 3 2 3" xfId="11769" xr:uid="{F01637DA-154C-447E-9601-EF764C095471}"/>
    <cellStyle name="20% - Accent2 2 2 2 3 3" xfId="5342" xr:uid="{00000000-0005-0000-0000-0000AC000000}"/>
    <cellStyle name="20% - Accent2 2 2 2 3 3 2" xfId="13837" xr:uid="{E47CB68D-ECFF-4378-BBCE-D4862B6B00FC}"/>
    <cellStyle name="20% - Accent2 2 2 2 3 4" xfId="9624" xr:uid="{49077AB5-198E-4C53-8BC4-FEE2F2419F34}"/>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6395" xr:uid="{69003516-A1ED-4F98-A3FB-B3C750BC5E4A}"/>
    <cellStyle name="20% - Accent2 2 2 2 4 2 3" xfId="12182" xr:uid="{06B8EB54-49F0-4E5E-94BB-39E51029FBF3}"/>
    <cellStyle name="20% - Accent2 2 2 2 4 3" xfId="5755" xr:uid="{00000000-0005-0000-0000-0000B0000000}"/>
    <cellStyle name="20% - Accent2 2 2 2 4 3 2" xfId="14250" xr:uid="{FD24A3E7-3310-4B50-8258-24F11E2B3118}"/>
    <cellStyle name="20% - Accent2 2 2 2 4 4" xfId="10037" xr:uid="{30E7662C-E530-492F-AA2C-D7B060117D65}"/>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6808" xr:uid="{50648F4E-AF91-4FAF-B3DA-5CAA554AEB12}"/>
    <cellStyle name="20% - Accent2 2 2 2 5 2 3" xfId="12595" xr:uid="{B5ABB9E6-9BBD-448C-B4E0-9F09D21D8AF2}"/>
    <cellStyle name="20% - Accent2 2 2 2 5 3" xfId="6168" xr:uid="{00000000-0005-0000-0000-0000B4000000}"/>
    <cellStyle name="20% - Accent2 2 2 2 5 3 2" xfId="14663" xr:uid="{9CF37D58-1BD6-42E3-A4F4-33EA725C5290}"/>
    <cellStyle name="20% - Accent2 2 2 2 5 4" xfId="10450" xr:uid="{38CDEFE4-6F14-4897-A3D8-B4B7A2363BC4}"/>
    <cellStyle name="20% - Accent2 2 2 2 6" xfId="2275" xr:uid="{00000000-0005-0000-0000-0000B5000000}"/>
    <cellStyle name="20% - Accent2 2 2 2 6 2" xfId="6581" xr:uid="{00000000-0005-0000-0000-0000B6000000}"/>
    <cellStyle name="20% - Accent2 2 2 2 6 2 2" xfId="15076" xr:uid="{A00A5364-958A-450E-A1EC-7A3586CCA2FA}"/>
    <cellStyle name="20% - Accent2 2 2 2 6 3" xfId="10863" xr:uid="{08E95F91-BFF2-4458-9325-9FBCFBEDA0DF}"/>
    <cellStyle name="20% - Accent2 2 2 2 7" xfId="4515" xr:uid="{00000000-0005-0000-0000-0000B7000000}"/>
    <cellStyle name="20% - Accent2 2 2 2 7 2" xfId="13011" xr:uid="{12B9B415-8DAC-43D8-A08D-74B98DEF64E7}"/>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5568" xr:uid="{ECFDB988-CD3C-4110-A377-F99674467671}"/>
    <cellStyle name="20% - Accent2 2 2 3 2 3" xfId="11355" xr:uid="{4961B8AE-9E48-4DCF-A2C4-334AFE33DDD8}"/>
    <cellStyle name="20% - Accent2 2 2 3 3" xfId="4928" xr:uid="{00000000-0005-0000-0000-0000BB000000}"/>
    <cellStyle name="20% - Accent2 2 2 3 3 2" xfId="13423" xr:uid="{698450CC-B6C8-490F-86C1-4B7126D6F3D8}"/>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5981" xr:uid="{B745BEAD-9F90-4E2A-A665-AD65848C3BBF}"/>
    <cellStyle name="20% - Accent2 2 2 4 2 3" xfId="11768" xr:uid="{D88351E4-124A-4C59-8B31-141FD9313D4A}"/>
    <cellStyle name="20% - Accent2 2 2 4 3" xfId="5341" xr:uid="{00000000-0005-0000-0000-0000BF000000}"/>
    <cellStyle name="20% - Accent2 2 2 4 3 2" xfId="13836" xr:uid="{6040726D-46BD-4C53-83D4-CFC227FBDE36}"/>
    <cellStyle name="20% - Accent2 2 2 4 4" xfId="9623" xr:uid="{69BDF8D9-6E83-46C0-B579-659889A30E28}"/>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6394" xr:uid="{9316DA9D-3984-4177-9BBF-022F92D15049}"/>
    <cellStyle name="20% - Accent2 2 2 5 2 3" xfId="12181" xr:uid="{24A4AAF6-C849-4D97-928E-A855D93F7384}"/>
    <cellStyle name="20% - Accent2 2 2 5 3" xfId="5754" xr:uid="{00000000-0005-0000-0000-0000C3000000}"/>
    <cellStyle name="20% - Accent2 2 2 5 3 2" xfId="14249" xr:uid="{2E8D9C80-255E-428F-AC18-5D2408D305CB}"/>
    <cellStyle name="20% - Accent2 2 2 5 4" xfId="10036" xr:uid="{BAC92767-80BE-4A99-93A1-828E26ABBEB6}"/>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6807" xr:uid="{74CC6DBC-74B8-40F1-AB4E-5207EC094506}"/>
    <cellStyle name="20% - Accent2 2 2 6 2 3" xfId="12594" xr:uid="{6D9A69AA-6210-4E30-BC5A-E2E732F62F0A}"/>
    <cellStyle name="20% - Accent2 2 2 6 3" xfId="6167" xr:uid="{00000000-0005-0000-0000-0000C7000000}"/>
    <cellStyle name="20% - Accent2 2 2 6 3 2" xfId="14662" xr:uid="{8D6CCC21-DDCD-45E6-B940-BD037D32F8CA}"/>
    <cellStyle name="20% - Accent2 2 2 6 4" xfId="10449" xr:uid="{77E6CD4F-DBF4-4FAC-A52F-5F8DA884EF77}"/>
    <cellStyle name="20% - Accent2 2 2 7" xfId="2274" xr:uid="{00000000-0005-0000-0000-0000C8000000}"/>
    <cellStyle name="20% - Accent2 2 2 7 2" xfId="6580" xr:uid="{00000000-0005-0000-0000-0000C9000000}"/>
    <cellStyle name="20% - Accent2 2 2 7 2 2" xfId="15075" xr:uid="{5470322A-F09D-4B88-9C0A-92670354243C}"/>
    <cellStyle name="20% - Accent2 2 2 7 3" xfId="10862" xr:uid="{3EF1A1C6-C066-4914-934D-946F2760774A}"/>
    <cellStyle name="20% - Accent2 2 2 8" xfId="4514" xr:uid="{00000000-0005-0000-0000-0000CA000000}"/>
    <cellStyle name="20% - Accent2 2 2 8 2" xfId="13010" xr:uid="{4854DB01-676A-4B9B-ACFE-941ADE5478B9}"/>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5570" xr:uid="{8ED39756-CD97-437B-B048-C17DB8244D56}"/>
    <cellStyle name="20% - Accent2 2 3 2 2 3" xfId="11357" xr:uid="{F750D87A-5DB5-4858-A327-7B24720F763A}"/>
    <cellStyle name="20% - Accent2 2 3 2 3" xfId="4930" xr:uid="{00000000-0005-0000-0000-0000CF000000}"/>
    <cellStyle name="20% - Accent2 2 3 2 3 2" xfId="13425" xr:uid="{2F448058-FC42-4416-AC05-4A234A30A006}"/>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5983" xr:uid="{A19D4BA6-A4CF-43A7-874C-8791E6CA6086}"/>
    <cellStyle name="20% - Accent2 2 3 3 2 3" xfId="11770" xr:uid="{F6DBDB15-6825-4FA5-BF55-00BF636CEF94}"/>
    <cellStyle name="20% - Accent2 2 3 3 3" xfId="5343" xr:uid="{00000000-0005-0000-0000-0000D3000000}"/>
    <cellStyle name="20% - Accent2 2 3 3 3 2" xfId="13838" xr:uid="{C259E12E-8D9F-44D6-9A3F-0151D710FADB}"/>
    <cellStyle name="20% - Accent2 2 3 3 4" xfId="9625" xr:uid="{DDE4B5CA-8C41-4A3E-A79C-D93AFD0DE018}"/>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6396" xr:uid="{5D1DD3ED-3C81-4377-B56F-1F4F48EA229F}"/>
    <cellStyle name="20% - Accent2 2 3 4 2 3" xfId="12183" xr:uid="{04BF8308-083F-4590-B418-78F7DB7EBF32}"/>
    <cellStyle name="20% - Accent2 2 3 4 3" xfId="5756" xr:uid="{00000000-0005-0000-0000-0000D7000000}"/>
    <cellStyle name="20% - Accent2 2 3 4 3 2" xfId="14251" xr:uid="{81F25EFA-19C6-4611-9A95-44A7B01B21CE}"/>
    <cellStyle name="20% - Accent2 2 3 4 4" xfId="10038" xr:uid="{D8B6F595-C6F3-42CD-AE3F-FC4AC5B4533E}"/>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6809" xr:uid="{751D5551-6883-4BC4-A14B-653AB0EF6940}"/>
    <cellStyle name="20% - Accent2 2 3 5 2 3" xfId="12596" xr:uid="{DA08D1AF-EDA5-47B6-BE88-CA2BA827AD1E}"/>
    <cellStyle name="20% - Accent2 2 3 5 3" xfId="6169" xr:uid="{00000000-0005-0000-0000-0000DB000000}"/>
    <cellStyle name="20% - Accent2 2 3 5 3 2" xfId="14664" xr:uid="{BD06E0CD-F5C4-4386-B296-C2531F8A4B01}"/>
    <cellStyle name="20% - Accent2 2 3 5 4" xfId="10451" xr:uid="{0356D499-7F9C-4FE8-9962-3FF66B1401C6}"/>
    <cellStyle name="20% - Accent2 2 3 6" xfId="2276" xr:uid="{00000000-0005-0000-0000-0000DC000000}"/>
    <cellStyle name="20% - Accent2 2 3 6 2" xfId="6582" xr:uid="{00000000-0005-0000-0000-0000DD000000}"/>
    <cellStyle name="20% - Accent2 2 3 6 2 2" xfId="15077" xr:uid="{3EB8219E-FA98-4017-84A4-BCE52F9172A3}"/>
    <cellStyle name="20% - Accent2 2 3 6 3" xfId="10864" xr:uid="{762598EC-0C39-4B87-835A-1948487CE09E}"/>
    <cellStyle name="20% - Accent2 2 3 7" xfId="4516" xr:uid="{00000000-0005-0000-0000-0000DE000000}"/>
    <cellStyle name="20% - Accent2 2 3 7 2" xfId="13012" xr:uid="{B1DEC5D3-53F0-4C3E-A2FE-EBAE89054619}"/>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2 2 2" xfId="15567" xr:uid="{B3A5583B-CA01-4B75-A1AE-65D3AE4B4B69}"/>
    <cellStyle name="20% - Accent2 2 4 2 3" xfId="11354" xr:uid="{3DDAEAE7-255D-46F9-B015-E4D7C0D98ED7}"/>
    <cellStyle name="20% - Accent2 2 4 3" xfId="4927" xr:uid="{00000000-0005-0000-0000-0000E2000000}"/>
    <cellStyle name="20% - Accent2 2 4 3 2" xfId="13422" xr:uid="{F8AEE876-257C-4D56-BCD7-CEA8D3B7311F}"/>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2 2 2" xfId="15980" xr:uid="{25E3397A-0BC0-41A4-A0F7-FDE52C3FADC8}"/>
    <cellStyle name="20% - Accent2 2 5 2 3" xfId="11767" xr:uid="{DA95E3B2-DEAB-416C-B73D-8C09FABFA5BF}"/>
    <cellStyle name="20% - Accent2 2 5 3" xfId="5340" xr:uid="{00000000-0005-0000-0000-0000E6000000}"/>
    <cellStyle name="20% - Accent2 2 5 3 2" xfId="13835" xr:uid="{56F953BE-F222-4106-84D3-9E19941DD0E4}"/>
    <cellStyle name="20% - Accent2 2 5 4" xfId="9622" xr:uid="{C7F18F9F-B8E1-4039-B347-0213E835B168}"/>
    <cellStyle name="20% - Accent2 2 6" xfId="1446" xr:uid="{00000000-0005-0000-0000-0000E7000000}"/>
    <cellStyle name="20% - Accent2 2 6 2" xfId="3676" xr:uid="{00000000-0005-0000-0000-0000E8000000}"/>
    <cellStyle name="20% - Accent2 2 6 2 2" xfId="7898" xr:uid="{00000000-0005-0000-0000-0000E9000000}"/>
    <cellStyle name="20% - Accent2 2 6 2 2 2" xfId="16393" xr:uid="{9B928119-1B7D-4529-A2F0-77CE3D1F4D90}"/>
    <cellStyle name="20% - Accent2 2 6 2 3" xfId="12180" xr:uid="{53C65B28-0A6F-4A34-8244-65FF44B39215}"/>
    <cellStyle name="20% - Accent2 2 6 3" xfId="5753" xr:uid="{00000000-0005-0000-0000-0000EA000000}"/>
    <cellStyle name="20% - Accent2 2 6 3 2" xfId="14248" xr:uid="{0BD1E5A3-FA5E-4762-B9B8-030AD5A826C5}"/>
    <cellStyle name="20% - Accent2 2 6 4" xfId="10035" xr:uid="{F5A9227D-97D0-411C-9986-BDA3FB0C25E8}"/>
    <cellStyle name="20% - Accent2 2 7" xfId="1860" xr:uid="{00000000-0005-0000-0000-0000EB000000}"/>
    <cellStyle name="20% - Accent2 2 7 2" xfId="4089" xr:uid="{00000000-0005-0000-0000-0000EC000000}"/>
    <cellStyle name="20% - Accent2 2 7 2 2" xfId="8311" xr:uid="{00000000-0005-0000-0000-0000ED000000}"/>
    <cellStyle name="20% - Accent2 2 7 2 2 2" xfId="16806" xr:uid="{7A870481-91BD-45C4-A755-27AEE711E3D0}"/>
    <cellStyle name="20% - Accent2 2 7 2 3" xfId="12593" xr:uid="{A15B3628-D9ED-43B7-8D26-4D7A8C7B110F}"/>
    <cellStyle name="20% - Accent2 2 7 3" xfId="6166" xr:uid="{00000000-0005-0000-0000-0000EE000000}"/>
    <cellStyle name="20% - Accent2 2 7 3 2" xfId="14661" xr:uid="{8A5E7901-1C51-4875-9ED7-00D7BFFAB22D}"/>
    <cellStyle name="20% - Accent2 2 7 4" xfId="10448" xr:uid="{19D50104-F917-4F4A-BFD5-86C9C52E7124}"/>
    <cellStyle name="20% - Accent2 2 8" xfId="2273" xr:uid="{00000000-0005-0000-0000-0000EF000000}"/>
    <cellStyle name="20% - Accent2 2 8 2" xfId="6579" xr:uid="{00000000-0005-0000-0000-0000F0000000}"/>
    <cellStyle name="20% - Accent2 2 8 2 2" xfId="15074" xr:uid="{09196978-3771-4463-A320-136FA7C7FAA5}"/>
    <cellStyle name="20% - Accent2 2 8 3" xfId="10861" xr:uid="{E8975A94-2F8E-4510-AE4D-BEAE09C96E41}"/>
    <cellStyle name="20% - Accent2 2 9" xfId="4513" xr:uid="{00000000-0005-0000-0000-0000F1000000}"/>
    <cellStyle name="20% - Accent2 2 9 2" xfId="13009" xr:uid="{7EB71B74-4098-47E3-BC88-521D7D3513B2}"/>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5572" xr:uid="{26FA6D95-875A-47FD-9EDF-10F9738DDFD7}"/>
    <cellStyle name="20% - Accent2 3 2 2 2 3" xfId="11359" xr:uid="{AE9E2F0C-1B5D-4207-B793-3770EA86A5F8}"/>
    <cellStyle name="20% - Accent2 3 2 2 3" xfId="4932" xr:uid="{00000000-0005-0000-0000-0000F7000000}"/>
    <cellStyle name="20% - Accent2 3 2 2 3 2" xfId="13427" xr:uid="{5F3B7A99-4FAE-49A0-AC99-CF377B6577C1}"/>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5985" xr:uid="{EA02256C-5A9C-49A7-9B43-874AF969721A}"/>
    <cellStyle name="20% - Accent2 3 2 3 2 3" xfId="11772" xr:uid="{9FED0BEB-596D-4E6D-8D88-0C3FDDFDFEB7}"/>
    <cellStyle name="20% - Accent2 3 2 3 3" xfId="5345" xr:uid="{00000000-0005-0000-0000-0000FB000000}"/>
    <cellStyle name="20% - Accent2 3 2 3 3 2" xfId="13840" xr:uid="{0110F6E3-FDFB-475C-868E-716E85675909}"/>
    <cellStyle name="20% - Accent2 3 2 3 4" xfId="9627" xr:uid="{438C4039-372D-479D-B7EB-AD996363DB35}"/>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6398" xr:uid="{C3ACE081-1DC7-4FC6-994B-728F0B79B291}"/>
    <cellStyle name="20% - Accent2 3 2 4 2 3" xfId="12185" xr:uid="{BCEA1619-7449-4705-82E1-E6069926B09C}"/>
    <cellStyle name="20% - Accent2 3 2 4 3" xfId="5758" xr:uid="{00000000-0005-0000-0000-0000FF000000}"/>
    <cellStyle name="20% - Accent2 3 2 4 3 2" xfId="14253" xr:uid="{2230F802-7103-403D-9A67-99FD8EE3912B}"/>
    <cellStyle name="20% - Accent2 3 2 4 4" xfId="10040" xr:uid="{18D00E83-9CD2-40FE-B1DC-9E54C935A600}"/>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6811" xr:uid="{0DFE8FDD-B9E0-4D56-90EF-ACB94A56185A}"/>
    <cellStyle name="20% - Accent2 3 2 5 2 3" xfId="12598" xr:uid="{B74B41AC-6A98-46DB-9895-604E528EAAE5}"/>
    <cellStyle name="20% - Accent2 3 2 5 3" xfId="6171" xr:uid="{00000000-0005-0000-0000-000003010000}"/>
    <cellStyle name="20% - Accent2 3 2 5 3 2" xfId="14666" xr:uid="{793DA84F-8903-420D-9FED-F13F04A7C740}"/>
    <cellStyle name="20% - Accent2 3 2 5 4" xfId="10453" xr:uid="{DBEF91EA-FB09-4046-8594-333849C259EC}"/>
    <cellStyle name="20% - Accent2 3 2 6" xfId="2278" xr:uid="{00000000-0005-0000-0000-000004010000}"/>
    <cellStyle name="20% - Accent2 3 2 6 2" xfId="6584" xr:uid="{00000000-0005-0000-0000-000005010000}"/>
    <cellStyle name="20% - Accent2 3 2 6 2 2" xfId="15079" xr:uid="{9A714D7F-8B54-4A42-923D-A0218CC11995}"/>
    <cellStyle name="20% - Accent2 3 2 6 3" xfId="10866" xr:uid="{04237FFF-2123-4C18-9F8F-2C9A436177C7}"/>
    <cellStyle name="20% - Accent2 3 2 7" xfId="4518" xr:uid="{00000000-0005-0000-0000-000006010000}"/>
    <cellStyle name="20% - Accent2 3 2 7 2" xfId="13014" xr:uid="{3DF9AAD7-2543-4F25-B8D3-1BF3B9F9C649}"/>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2 2 2" xfId="15571" xr:uid="{F64DDE1B-34FE-4913-9A25-DAF306ED1201}"/>
    <cellStyle name="20% - Accent2 3 3 2 3" xfId="11358" xr:uid="{7BA7BF34-B5CA-4F35-87DA-C94EEF7782F3}"/>
    <cellStyle name="20% - Accent2 3 3 3" xfId="4931" xr:uid="{00000000-0005-0000-0000-00000A010000}"/>
    <cellStyle name="20% - Accent2 3 3 3 2" xfId="13426" xr:uid="{C648F969-3F6E-414C-80A6-BF96AC1E4216}"/>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2 2 2" xfId="15984" xr:uid="{22C3DF84-A721-463D-9FF1-623C55C3D6F1}"/>
    <cellStyle name="20% - Accent2 3 4 2 3" xfId="11771" xr:uid="{32928BB7-9DAB-436E-8DF1-80CA2CC5AB7E}"/>
    <cellStyle name="20% - Accent2 3 4 3" xfId="5344" xr:uid="{00000000-0005-0000-0000-00000E010000}"/>
    <cellStyle name="20% - Accent2 3 4 3 2" xfId="13839" xr:uid="{60727FFF-5A59-4D47-864D-A1029EE2A861}"/>
    <cellStyle name="20% - Accent2 3 4 4" xfId="9626" xr:uid="{97B4D860-4232-474D-9F76-402393AE6EB9}"/>
    <cellStyle name="20% - Accent2 3 5" xfId="1450" xr:uid="{00000000-0005-0000-0000-00000F010000}"/>
    <cellStyle name="20% - Accent2 3 5 2" xfId="3680" xr:uid="{00000000-0005-0000-0000-000010010000}"/>
    <cellStyle name="20% - Accent2 3 5 2 2" xfId="7902" xr:uid="{00000000-0005-0000-0000-000011010000}"/>
    <cellStyle name="20% - Accent2 3 5 2 2 2" xfId="16397" xr:uid="{6E1C3D81-A083-41EA-8A14-BA1A0C930881}"/>
    <cellStyle name="20% - Accent2 3 5 2 3" xfId="12184" xr:uid="{DAA25511-08E5-441E-8652-733EE546ECC5}"/>
    <cellStyle name="20% - Accent2 3 5 3" xfId="5757" xr:uid="{00000000-0005-0000-0000-000012010000}"/>
    <cellStyle name="20% - Accent2 3 5 3 2" xfId="14252" xr:uid="{9E28E56E-68ED-4587-9A21-624284AC5C89}"/>
    <cellStyle name="20% - Accent2 3 5 4" xfId="10039" xr:uid="{E905F250-31BB-4CD4-A163-550EBB788BD9}"/>
    <cellStyle name="20% - Accent2 3 6" xfId="1864" xr:uid="{00000000-0005-0000-0000-000013010000}"/>
    <cellStyle name="20% - Accent2 3 6 2" xfId="4093" xr:uid="{00000000-0005-0000-0000-000014010000}"/>
    <cellStyle name="20% - Accent2 3 6 2 2" xfId="8315" xr:uid="{00000000-0005-0000-0000-000015010000}"/>
    <cellStyle name="20% - Accent2 3 6 2 2 2" xfId="16810" xr:uid="{F0409A26-B81A-490C-A0F8-4759556E2B0C}"/>
    <cellStyle name="20% - Accent2 3 6 2 3" xfId="12597" xr:uid="{4666B651-B85E-4E39-A185-B0B6AA8EA810}"/>
    <cellStyle name="20% - Accent2 3 6 3" xfId="6170" xr:uid="{00000000-0005-0000-0000-000016010000}"/>
    <cellStyle name="20% - Accent2 3 6 3 2" xfId="14665" xr:uid="{0B0D63DE-D139-4321-8BD6-8AA1DE7AED09}"/>
    <cellStyle name="20% - Accent2 3 6 4" xfId="10452" xr:uid="{BBFFA779-ED2A-4085-BF11-4F940A6C0A7D}"/>
    <cellStyle name="20% - Accent2 3 7" xfId="2277" xr:uid="{00000000-0005-0000-0000-000017010000}"/>
    <cellStyle name="20% - Accent2 3 7 2" xfId="6583" xr:uid="{00000000-0005-0000-0000-000018010000}"/>
    <cellStyle name="20% - Accent2 3 7 2 2" xfId="15078" xr:uid="{B2143D54-4FAA-4F2E-9A89-161C3EE50629}"/>
    <cellStyle name="20% - Accent2 3 7 3" xfId="10865" xr:uid="{83D5E225-85F8-4A17-A1B8-EA6EDB940083}"/>
    <cellStyle name="20% - Accent2 3 8" xfId="4517" xr:uid="{00000000-0005-0000-0000-000019010000}"/>
    <cellStyle name="20% - Accent2 3 8 2" xfId="13013" xr:uid="{FD242C94-346A-4F5D-BA37-D358E830D2A6}"/>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5573" xr:uid="{52A1CCF4-584D-4057-B258-7AE7C95A8E91}"/>
    <cellStyle name="20% - Accent2 4 2 2 3" xfId="11360" xr:uid="{43B71192-6D18-4E6A-9D0D-68B7BA5E0861}"/>
    <cellStyle name="20% - Accent2 4 2 3" xfId="4933" xr:uid="{00000000-0005-0000-0000-00001E010000}"/>
    <cellStyle name="20% - Accent2 4 2 3 2" xfId="13428" xr:uid="{B65B2AEF-0AFD-4352-87AC-0241185B3B61}"/>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2 2 2" xfId="15986" xr:uid="{50DF3849-7DF5-4C03-A81F-CF75228F1609}"/>
    <cellStyle name="20% - Accent2 4 3 2 3" xfId="11773" xr:uid="{BB78A38D-B241-43E2-9762-CD0444278615}"/>
    <cellStyle name="20% - Accent2 4 3 3" xfId="5346" xr:uid="{00000000-0005-0000-0000-000022010000}"/>
    <cellStyle name="20% - Accent2 4 3 3 2" xfId="13841" xr:uid="{A8907203-A7EF-464B-BFCE-782B8899A01B}"/>
    <cellStyle name="20% - Accent2 4 3 4" xfId="9628" xr:uid="{0B426114-DC54-4149-AFB8-02EB81667AA8}"/>
    <cellStyle name="20% - Accent2 4 4" xfId="1452" xr:uid="{00000000-0005-0000-0000-000023010000}"/>
    <cellStyle name="20% - Accent2 4 4 2" xfId="3682" xr:uid="{00000000-0005-0000-0000-000024010000}"/>
    <cellStyle name="20% - Accent2 4 4 2 2" xfId="7904" xr:uid="{00000000-0005-0000-0000-000025010000}"/>
    <cellStyle name="20% - Accent2 4 4 2 2 2" xfId="16399" xr:uid="{C1360F3D-5008-402F-B069-546097D03C3F}"/>
    <cellStyle name="20% - Accent2 4 4 2 3" xfId="12186" xr:uid="{5C707B6C-2C80-4008-A4D2-6DEC311BB723}"/>
    <cellStyle name="20% - Accent2 4 4 3" xfId="5759" xr:uid="{00000000-0005-0000-0000-000026010000}"/>
    <cellStyle name="20% - Accent2 4 4 3 2" xfId="14254" xr:uid="{0EE48536-08A7-4690-A25B-4EA6EAE23AFF}"/>
    <cellStyle name="20% - Accent2 4 4 4" xfId="10041" xr:uid="{8DD39B0F-10BE-48FB-AFC3-B6368AC58129}"/>
    <cellStyle name="20% - Accent2 4 5" xfId="1866" xr:uid="{00000000-0005-0000-0000-000027010000}"/>
    <cellStyle name="20% - Accent2 4 5 2" xfId="4095" xr:uid="{00000000-0005-0000-0000-000028010000}"/>
    <cellStyle name="20% - Accent2 4 5 2 2" xfId="8317" xr:uid="{00000000-0005-0000-0000-000029010000}"/>
    <cellStyle name="20% - Accent2 4 5 2 2 2" xfId="16812" xr:uid="{27D4C98C-23B9-4B14-A89F-A8F8F07741F6}"/>
    <cellStyle name="20% - Accent2 4 5 2 3" xfId="12599" xr:uid="{E6FA5F07-9E13-4537-8392-0BA1A0CA965D}"/>
    <cellStyle name="20% - Accent2 4 5 3" xfId="6172" xr:uid="{00000000-0005-0000-0000-00002A010000}"/>
    <cellStyle name="20% - Accent2 4 5 3 2" xfId="14667" xr:uid="{090B968C-FC94-463E-B29F-107747BF85AD}"/>
    <cellStyle name="20% - Accent2 4 5 4" xfId="10454" xr:uid="{C67A54D9-5CA6-432E-B88E-A48DFBBDCB07}"/>
    <cellStyle name="20% - Accent2 4 6" xfId="2279" xr:uid="{00000000-0005-0000-0000-00002B010000}"/>
    <cellStyle name="20% - Accent2 4 6 2" xfId="6585" xr:uid="{00000000-0005-0000-0000-00002C010000}"/>
    <cellStyle name="20% - Accent2 4 6 2 2" xfId="15080" xr:uid="{86F0296F-C14F-4DC3-9C19-6E88DB604926}"/>
    <cellStyle name="20% - Accent2 4 6 3" xfId="10867" xr:uid="{0299E8DE-6BBB-440A-8242-0DB9398E30B4}"/>
    <cellStyle name="20% - Accent2 4 7" xfId="4519" xr:uid="{00000000-0005-0000-0000-00002D010000}"/>
    <cellStyle name="20% - Accent2 4 7 2" xfId="13015" xr:uid="{BB05AEF9-99B9-44F7-A1D7-34144030EBB7}"/>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2 2 2" xfId="15566" xr:uid="{E7EB4887-30F2-4880-87DF-37F3A9CEE335}"/>
    <cellStyle name="20% - Accent2 5 2 3" xfId="11353" xr:uid="{09B2CE28-8F77-4F0C-A01A-F6C422D489F4}"/>
    <cellStyle name="20% - Accent2 5 3" xfId="4926" xr:uid="{00000000-0005-0000-0000-000031010000}"/>
    <cellStyle name="20% - Accent2 5 3 2" xfId="13421" xr:uid="{D59BE1C7-0E6C-4A7A-91AF-AA08F2B50A5E}"/>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2 2 2" xfId="15979" xr:uid="{810CB70B-E357-4AD9-8108-120DC87D4851}"/>
    <cellStyle name="20% - Accent2 6 2 3" xfId="11766" xr:uid="{98438936-8CCE-4D74-A45C-AB552604D6D7}"/>
    <cellStyle name="20% - Accent2 6 3" xfId="5339" xr:uid="{00000000-0005-0000-0000-000035010000}"/>
    <cellStyle name="20% - Accent2 6 3 2" xfId="13834" xr:uid="{A9EEB81F-6A74-4048-B5C5-A0262FB1196C}"/>
    <cellStyle name="20% - Accent2 6 4" xfId="9621" xr:uid="{EA3A7B1F-A270-4C6A-A1A0-908E8B0D9B0A}"/>
    <cellStyle name="20% - Accent2 7" xfId="1445" xr:uid="{00000000-0005-0000-0000-000036010000}"/>
    <cellStyle name="20% - Accent2 7 2" xfId="3675" xr:uid="{00000000-0005-0000-0000-000037010000}"/>
    <cellStyle name="20% - Accent2 7 2 2" xfId="7897" xr:uid="{00000000-0005-0000-0000-000038010000}"/>
    <cellStyle name="20% - Accent2 7 2 2 2" xfId="16392" xr:uid="{D21BD0D1-7DA4-4221-8309-C3B2F4859EE5}"/>
    <cellStyle name="20% - Accent2 7 2 3" xfId="12179" xr:uid="{07B1F038-FA1D-4740-8465-AD381E3F31FE}"/>
    <cellStyle name="20% - Accent2 7 3" xfId="5752" xr:uid="{00000000-0005-0000-0000-000039010000}"/>
    <cellStyle name="20% - Accent2 7 3 2" xfId="14247" xr:uid="{0AD72012-0844-47B8-AA86-ED3ADAE608C2}"/>
    <cellStyle name="20% - Accent2 7 4" xfId="10034" xr:uid="{DC8AA1A2-E50E-4B33-A0AE-C33CF336EC87}"/>
    <cellStyle name="20% - Accent2 8" xfId="1859" xr:uid="{00000000-0005-0000-0000-00003A010000}"/>
    <cellStyle name="20% - Accent2 8 2" xfId="4088" xr:uid="{00000000-0005-0000-0000-00003B010000}"/>
    <cellStyle name="20% - Accent2 8 2 2" xfId="8310" xr:uid="{00000000-0005-0000-0000-00003C010000}"/>
    <cellStyle name="20% - Accent2 8 2 2 2" xfId="16805" xr:uid="{339B13EE-71B1-425D-A3AE-76BB20A15FB2}"/>
    <cellStyle name="20% - Accent2 8 2 3" xfId="12592" xr:uid="{39D6FB99-1CDE-42F5-9AA7-9DF74C8D0C9D}"/>
    <cellStyle name="20% - Accent2 8 3" xfId="6165" xr:uid="{00000000-0005-0000-0000-00003D010000}"/>
    <cellStyle name="20% - Accent2 8 3 2" xfId="14660" xr:uid="{708A813F-5B74-4717-BF21-690C3FA9F660}"/>
    <cellStyle name="20% - Accent2 8 4" xfId="10447" xr:uid="{65E7F64E-C269-4AFC-B87E-B759F8AF1641}"/>
    <cellStyle name="20% - Accent2 9" xfId="2272" xr:uid="{00000000-0005-0000-0000-00003E010000}"/>
    <cellStyle name="20% - Accent2 9 2" xfId="6578" xr:uid="{00000000-0005-0000-0000-00003F010000}"/>
    <cellStyle name="20% - Accent2 9 2 2" xfId="15073" xr:uid="{12BBEA06-02FD-4355-BF07-E3B9907F9CA4}"/>
    <cellStyle name="20% - Accent2 9 3" xfId="10860" xr:uid="{B66D307B-CD64-4D1A-8B4C-DCB64D50864C}"/>
    <cellStyle name="20% - Accent3" xfId="17" builtinId="38" customBuiltin="1"/>
    <cellStyle name="20% - Accent3 10" xfId="4520" xr:uid="{00000000-0005-0000-0000-000041010000}"/>
    <cellStyle name="20% - Accent3 10 2" xfId="13016" xr:uid="{3180CE11-F1A2-4690-899B-FC6A96495BDF}"/>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5577" xr:uid="{268EEBED-5A5F-47C7-8AC2-E833FC534D49}"/>
    <cellStyle name="20% - Accent3 2 2 2 2 2 3" xfId="11364" xr:uid="{C210D673-A41E-41C7-823E-4CBBA9C6081C}"/>
    <cellStyle name="20% - Accent3 2 2 2 2 3" xfId="4937" xr:uid="{00000000-0005-0000-0000-000048010000}"/>
    <cellStyle name="20% - Accent3 2 2 2 2 3 2" xfId="13432" xr:uid="{37C4A79D-649A-4C7F-A1AA-3CA6E6A70EEE}"/>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5990" xr:uid="{FFC6912E-AC38-464B-9C26-BA84878B19AF}"/>
    <cellStyle name="20% - Accent3 2 2 2 3 2 3" xfId="11777" xr:uid="{9B7AEE47-EDCD-4CD4-A53E-F9A0E4E7746A}"/>
    <cellStyle name="20% - Accent3 2 2 2 3 3" xfId="5350" xr:uid="{00000000-0005-0000-0000-00004C010000}"/>
    <cellStyle name="20% - Accent3 2 2 2 3 3 2" xfId="13845" xr:uid="{E88D13A4-785E-401F-BFCB-92DC15F6AF4B}"/>
    <cellStyle name="20% - Accent3 2 2 2 3 4" xfId="9632" xr:uid="{79EA05F9-A333-4361-A552-04C789CA9EF4}"/>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6403" xr:uid="{F1EFB477-A393-412D-8C73-EF4DF08AE018}"/>
    <cellStyle name="20% - Accent3 2 2 2 4 2 3" xfId="12190" xr:uid="{46E118C5-EB3D-4066-80FB-307053D23647}"/>
    <cellStyle name="20% - Accent3 2 2 2 4 3" xfId="5763" xr:uid="{00000000-0005-0000-0000-000050010000}"/>
    <cellStyle name="20% - Accent3 2 2 2 4 3 2" xfId="14258" xr:uid="{F4E7A806-E673-44B1-85F7-3A273D76FD36}"/>
    <cellStyle name="20% - Accent3 2 2 2 4 4" xfId="10045" xr:uid="{C6B186E3-6F2C-43CB-8975-2C9D92ABC948}"/>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6816" xr:uid="{92F93C20-4F64-48BD-9F82-7E3D60F1E55D}"/>
    <cellStyle name="20% - Accent3 2 2 2 5 2 3" xfId="12603" xr:uid="{EBF1495B-EA35-4530-B6CA-235FA2C54448}"/>
    <cellStyle name="20% - Accent3 2 2 2 5 3" xfId="6176" xr:uid="{00000000-0005-0000-0000-000054010000}"/>
    <cellStyle name="20% - Accent3 2 2 2 5 3 2" xfId="14671" xr:uid="{31371D1D-ECB2-4079-9B9F-11AFD34D0228}"/>
    <cellStyle name="20% - Accent3 2 2 2 5 4" xfId="10458" xr:uid="{AB62EC9F-B5FE-448E-816B-A2807687873F}"/>
    <cellStyle name="20% - Accent3 2 2 2 6" xfId="2283" xr:uid="{00000000-0005-0000-0000-000055010000}"/>
    <cellStyle name="20% - Accent3 2 2 2 6 2" xfId="6589" xr:uid="{00000000-0005-0000-0000-000056010000}"/>
    <cellStyle name="20% - Accent3 2 2 2 6 2 2" xfId="15084" xr:uid="{C5AF7E47-BEA9-44E5-84C5-83849780A330}"/>
    <cellStyle name="20% - Accent3 2 2 2 6 3" xfId="10871" xr:uid="{5BBB3B1E-B042-408A-B8F8-FFEA433E56CC}"/>
    <cellStyle name="20% - Accent3 2 2 2 7" xfId="4523" xr:uid="{00000000-0005-0000-0000-000057010000}"/>
    <cellStyle name="20% - Accent3 2 2 2 7 2" xfId="13019" xr:uid="{518A3081-9BD8-4488-88E5-23AD25CB3F8A}"/>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5576" xr:uid="{68C47A86-5105-4ED4-9F0D-5D33258010C5}"/>
    <cellStyle name="20% - Accent3 2 2 3 2 3" xfId="11363" xr:uid="{0F305DC4-00C5-4AD9-96B6-B00D16FB1095}"/>
    <cellStyle name="20% - Accent3 2 2 3 3" xfId="4936" xr:uid="{00000000-0005-0000-0000-00005B010000}"/>
    <cellStyle name="20% - Accent3 2 2 3 3 2" xfId="13431" xr:uid="{E3AE9E05-3247-4848-81AC-32E763D4ECC8}"/>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5989" xr:uid="{8222A9F8-DBC1-4948-8258-D994154DF199}"/>
    <cellStyle name="20% - Accent3 2 2 4 2 3" xfId="11776" xr:uid="{B3794C04-E0FD-4A13-BEF2-8BB9F58320C1}"/>
    <cellStyle name="20% - Accent3 2 2 4 3" xfId="5349" xr:uid="{00000000-0005-0000-0000-00005F010000}"/>
    <cellStyle name="20% - Accent3 2 2 4 3 2" xfId="13844" xr:uid="{013DC4E2-6CED-4065-B37B-EE9F4099AE14}"/>
    <cellStyle name="20% - Accent3 2 2 4 4" xfId="9631" xr:uid="{2CA1323E-8FA6-4F39-B68D-231592AE2E30}"/>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6402" xr:uid="{003104D3-2860-4DFE-9690-11B152243E22}"/>
    <cellStyle name="20% - Accent3 2 2 5 2 3" xfId="12189" xr:uid="{80D10492-526D-456F-8B7E-C4944690F7BB}"/>
    <cellStyle name="20% - Accent3 2 2 5 3" xfId="5762" xr:uid="{00000000-0005-0000-0000-000063010000}"/>
    <cellStyle name="20% - Accent3 2 2 5 3 2" xfId="14257" xr:uid="{7FD3CC7E-876B-4F60-82B6-5CECFE5241C8}"/>
    <cellStyle name="20% - Accent3 2 2 5 4" xfId="10044" xr:uid="{E03ACE1E-5F5F-4ED4-BD33-77D273996A97}"/>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6815" xr:uid="{67CDFF94-813D-42D2-B44D-A93ECBF086A5}"/>
    <cellStyle name="20% - Accent3 2 2 6 2 3" xfId="12602" xr:uid="{6DB15FFA-CA7D-464E-9BD3-3F7A3B6CE475}"/>
    <cellStyle name="20% - Accent3 2 2 6 3" xfId="6175" xr:uid="{00000000-0005-0000-0000-000067010000}"/>
    <cellStyle name="20% - Accent3 2 2 6 3 2" xfId="14670" xr:uid="{532AF595-8F6C-4722-9921-587D68C31EBE}"/>
    <cellStyle name="20% - Accent3 2 2 6 4" xfId="10457" xr:uid="{148F18A0-C70C-436F-8BB0-0E84560416CF}"/>
    <cellStyle name="20% - Accent3 2 2 7" xfId="2282" xr:uid="{00000000-0005-0000-0000-000068010000}"/>
    <cellStyle name="20% - Accent3 2 2 7 2" xfId="6588" xr:uid="{00000000-0005-0000-0000-000069010000}"/>
    <cellStyle name="20% - Accent3 2 2 7 2 2" xfId="15083" xr:uid="{3F1A339D-CD1E-4A2F-894F-9052F477347C}"/>
    <cellStyle name="20% - Accent3 2 2 7 3" xfId="10870" xr:uid="{9CAE58C8-24C7-4E7E-B3A5-1C8E9437DF68}"/>
    <cellStyle name="20% - Accent3 2 2 8" xfId="4522" xr:uid="{00000000-0005-0000-0000-00006A010000}"/>
    <cellStyle name="20% - Accent3 2 2 8 2" xfId="13018" xr:uid="{B862618F-D81C-4BF4-A583-E4979833CF3D}"/>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5578" xr:uid="{2F15A950-B6E3-473E-9517-9D369314C442}"/>
    <cellStyle name="20% - Accent3 2 3 2 2 3" xfId="11365" xr:uid="{D30BD369-15B9-4A3E-80CD-0A56AFE68BAF}"/>
    <cellStyle name="20% - Accent3 2 3 2 3" xfId="4938" xr:uid="{00000000-0005-0000-0000-00006F010000}"/>
    <cellStyle name="20% - Accent3 2 3 2 3 2" xfId="13433" xr:uid="{88D7E6A4-3656-4C84-B024-13DAB50E7DED}"/>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5991" xr:uid="{A0C701D1-0D49-4DBD-BACB-A1BE18CE662C}"/>
    <cellStyle name="20% - Accent3 2 3 3 2 3" xfId="11778" xr:uid="{4B52C596-994E-4E23-85F6-DBCAACD6EAF0}"/>
    <cellStyle name="20% - Accent3 2 3 3 3" xfId="5351" xr:uid="{00000000-0005-0000-0000-000073010000}"/>
    <cellStyle name="20% - Accent3 2 3 3 3 2" xfId="13846" xr:uid="{792D8F69-28FB-4084-B59F-ED3B8A38A5B4}"/>
    <cellStyle name="20% - Accent3 2 3 3 4" xfId="9633" xr:uid="{B2D386DF-03B7-4069-B284-4CCB284D615E}"/>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6404" xr:uid="{CEBB055B-E28A-4202-8E7A-9863FAA1F17E}"/>
    <cellStyle name="20% - Accent3 2 3 4 2 3" xfId="12191" xr:uid="{6DD9C299-34B5-4AA4-AB38-38C2A23E761C}"/>
    <cellStyle name="20% - Accent3 2 3 4 3" xfId="5764" xr:uid="{00000000-0005-0000-0000-000077010000}"/>
    <cellStyle name="20% - Accent3 2 3 4 3 2" xfId="14259" xr:uid="{167410A3-7DAF-4370-8571-A9E4AB383DD0}"/>
    <cellStyle name="20% - Accent3 2 3 4 4" xfId="10046" xr:uid="{98643A2D-91B9-4AC4-BE6E-72AE87732D43}"/>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6817" xr:uid="{F5DEBD0D-92AF-4975-BA58-2DF2C9FAB959}"/>
    <cellStyle name="20% - Accent3 2 3 5 2 3" xfId="12604" xr:uid="{19DA2E59-9CC5-4BA2-A71E-0412F30FF485}"/>
    <cellStyle name="20% - Accent3 2 3 5 3" xfId="6177" xr:uid="{00000000-0005-0000-0000-00007B010000}"/>
    <cellStyle name="20% - Accent3 2 3 5 3 2" xfId="14672" xr:uid="{C7FEC9CD-9053-4915-B825-922DC519941E}"/>
    <cellStyle name="20% - Accent3 2 3 5 4" xfId="10459" xr:uid="{BB861DA2-2987-40BA-AB8B-C024273526F1}"/>
    <cellStyle name="20% - Accent3 2 3 6" xfId="2284" xr:uid="{00000000-0005-0000-0000-00007C010000}"/>
    <cellStyle name="20% - Accent3 2 3 6 2" xfId="6590" xr:uid="{00000000-0005-0000-0000-00007D010000}"/>
    <cellStyle name="20% - Accent3 2 3 6 2 2" xfId="15085" xr:uid="{F37C3F44-0F1B-49B3-98E1-4A46097783CD}"/>
    <cellStyle name="20% - Accent3 2 3 6 3" xfId="10872" xr:uid="{1297B84D-F79C-4CA5-B123-4E69762287F6}"/>
    <cellStyle name="20% - Accent3 2 3 7" xfId="4524" xr:uid="{00000000-0005-0000-0000-00007E010000}"/>
    <cellStyle name="20% - Accent3 2 3 7 2" xfId="13020" xr:uid="{0BD0F34C-683F-48B0-8566-795D390B27B4}"/>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2 2 2" xfId="15575" xr:uid="{115EEDF2-8925-4E95-9A37-2410AC32CCB5}"/>
    <cellStyle name="20% - Accent3 2 4 2 3" xfId="11362" xr:uid="{3864B510-EEF9-41AC-B1FE-239AC58C189B}"/>
    <cellStyle name="20% - Accent3 2 4 3" xfId="4935" xr:uid="{00000000-0005-0000-0000-000082010000}"/>
    <cellStyle name="20% - Accent3 2 4 3 2" xfId="13430" xr:uid="{09B381C3-5F00-4894-A821-ED0716F8A208}"/>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2 2 2" xfId="15988" xr:uid="{042F5157-B6F1-40C3-96C1-902DC01FD523}"/>
    <cellStyle name="20% - Accent3 2 5 2 3" xfId="11775" xr:uid="{18535D44-5548-4E05-B009-335912AEF9D6}"/>
    <cellStyle name="20% - Accent3 2 5 3" xfId="5348" xr:uid="{00000000-0005-0000-0000-000086010000}"/>
    <cellStyle name="20% - Accent3 2 5 3 2" xfId="13843" xr:uid="{75432D1E-6C9C-498E-B286-6787DBE9C996}"/>
    <cellStyle name="20% - Accent3 2 5 4" xfId="9630" xr:uid="{8FB09A2D-E432-4FC9-A894-E2A9C0013A0A}"/>
    <cellStyle name="20% - Accent3 2 6" xfId="1454" xr:uid="{00000000-0005-0000-0000-000087010000}"/>
    <cellStyle name="20% - Accent3 2 6 2" xfId="3684" xr:uid="{00000000-0005-0000-0000-000088010000}"/>
    <cellStyle name="20% - Accent3 2 6 2 2" xfId="7906" xr:uid="{00000000-0005-0000-0000-000089010000}"/>
    <cellStyle name="20% - Accent3 2 6 2 2 2" xfId="16401" xr:uid="{986903AD-A6A0-4B8B-A1AB-3C7FD3F9AF8C}"/>
    <cellStyle name="20% - Accent3 2 6 2 3" xfId="12188" xr:uid="{39BEFCD7-8DD5-409F-ABFF-42AE2F35BD7F}"/>
    <cellStyle name="20% - Accent3 2 6 3" xfId="5761" xr:uid="{00000000-0005-0000-0000-00008A010000}"/>
    <cellStyle name="20% - Accent3 2 6 3 2" xfId="14256" xr:uid="{BCC494A9-F0C5-4059-97F6-8BD8812858C6}"/>
    <cellStyle name="20% - Accent3 2 6 4" xfId="10043" xr:uid="{086E2A68-8D06-485C-9E9D-0D133572BB27}"/>
    <cellStyle name="20% - Accent3 2 7" xfId="1868" xr:uid="{00000000-0005-0000-0000-00008B010000}"/>
    <cellStyle name="20% - Accent3 2 7 2" xfId="4097" xr:uid="{00000000-0005-0000-0000-00008C010000}"/>
    <cellStyle name="20% - Accent3 2 7 2 2" xfId="8319" xr:uid="{00000000-0005-0000-0000-00008D010000}"/>
    <cellStyle name="20% - Accent3 2 7 2 2 2" xfId="16814" xr:uid="{2F0C674A-A48C-4329-AB80-42B6318F559F}"/>
    <cellStyle name="20% - Accent3 2 7 2 3" xfId="12601" xr:uid="{37BC0E27-30C3-44E0-B051-B5D950FFED3C}"/>
    <cellStyle name="20% - Accent3 2 7 3" xfId="6174" xr:uid="{00000000-0005-0000-0000-00008E010000}"/>
    <cellStyle name="20% - Accent3 2 7 3 2" xfId="14669" xr:uid="{D5A763BF-FAAC-4716-AAC8-166C75955BA8}"/>
    <cellStyle name="20% - Accent3 2 7 4" xfId="10456" xr:uid="{B82DA40C-9F60-40B6-A83C-72035A2F9E48}"/>
    <cellStyle name="20% - Accent3 2 8" xfId="2281" xr:uid="{00000000-0005-0000-0000-00008F010000}"/>
    <cellStyle name="20% - Accent3 2 8 2" xfId="6587" xr:uid="{00000000-0005-0000-0000-000090010000}"/>
    <cellStyle name="20% - Accent3 2 8 2 2" xfId="15082" xr:uid="{D52C180B-8042-4369-92DA-955B235280FB}"/>
    <cellStyle name="20% - Accent3 2 8 3" xfId="10869" xr:uid="{0602A8FE-BAAC-47D6-8695-8F750D5A6AD6}"/>
    <cellStyle name="20% - Accent3 2 9" xfId="4521" xr:uid="{00000000-0005-0000-0000-000091010000}"/>
    <cellStyle name="20% - Accent3 2 9 2" xfId="13017" xr:uid="{54B7ED01-00A9-4408-A619-E6CD1A5FBDAA}"/>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5580" xr:uid="{D47A12EF-1FB1-4B26-9CA6-3CE4C0E6D0AB}"/>
    <cellStyle name="20% - Accent3 3 2 2 2 3" xfId="11367" xr:uid="{86B01F6F-AFF4-40DB-8B34-E35A6A23A7BC}"/>
    <cellStyle name="20% - Accent3 3 2 2 3" xfId="4940" xr:uid="{00000000-0005-0000-0000-000097010000}"/>
    <cellStyle name="20% - Accent3 3 2 2 3 2" xfId="13435" xr:uid="{62B4CD81-3979-4E73-BA42-97C84973396F}"/>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5993" xr:uid="{846FAB9A-F4C4-445D-B0E0-2D0B0F78D7C7}"/>
    <cellStyle name="20% - Accent3 3 2 3 2 3" xfId="11780" xr:uid="{D855247A-DC31-4DCF-943C-63B731C12E73}"/>
    <cellStyle name="20% - Accent3 3 2 3 3" xfId="5353" xr:uid="{00000000-0005-0000-0000-00009B010000}"/>
    <cellStyle name="20% - Accent3 3 2 3 3 2" xfId="13848" xr:uid="{AEC4750D-49D5-40B6-A356-258B48E3DA37}"/>
    <cellStyle name="20% - Accent3 3 2 3 4" xfId="9635" xr:uid="{AD828158-1B84-4E64-AED7-66D5F6CCC774}"/>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6406" xr:uid="{8DDC1869-3BE0-4C3C-8515-DB4B29BC3925}"/>
    <cellStyle name="20% - Accent3 3 2 4 2 3" xfId="12193" xr:uid="{899D37B1-5EFC-4E47-BE5B-855EBB4685A1}"/>
    <cellStyle name="20% - Accent3 3 2 4 3" xfId="5766" xr:uid="{00000000-0005-0000-0000-00009F010000}"/>
    <cellStyle name="20% - Accent3 3 2 4 3 2" xfId="14261" xr:uid="{4EA56D83-419E-477C-9EC8-F6C8F1307E94}"/>
    <cellStyle name="20% - Accent3 3 2 4 4" xfId="10048" xr:uid="{5634E3B5-15E9-4E94-ABB9-D2964265740B}"/>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6819" xr:uid="{E057B128-5F61-4DE4-94E2-D8CDCE4AAF8F}"/>
    <cellStyle name="20% - Accent3 3 2 5 2 3" xfId="12606" xr:uid="{CF61BEF8-F1B6-4CD2-84D2-14AE5279D16A}"/>
    <cellStyle name="20% - Accent3 3 2 5 3" xfId="6179" xr:uid="{00000000-0005-0000-0000-0000A3010000}"/>
    <cellStyle name="20% - Accent3 3 2 5 3 2" xfId="14674" xr:uid="{245E1472-36F0-43D8-9F45-88671B56BE01}"/>
    <cellStyle name="20% - Accent3 3 2 5 4" xfId="10461" xr:uid="{25BE1611-805B-484A-A35F-20438C0F93B4}"/>
    <cellStyle name="20% - Accent3 3 2 6" xfId="2286" xr:uid="{00000000-0005-0000-0000-0000A4010000}"/>
    <cellStyle name="20% - Accent3 3 2 6 2" xfId="6592" xr:uid="{00000000-0005-0000-0000-0000A5010000}"/>
    <cellStyle name="20% - Accent3 3 2 6 2 2" xfId="15087" xr:uid="{C4E2102E-6364-4C9D-9B2A-034EF1934903}"/>
    <cellStyle name="20% - Accent3 3 2 6 3" xfId="10874" xr:uid="{22453FC5-5301-4180-BF92-8A640BAD751B}"/>
    <cellStyle name="20% - Accent3 3 2 7" xfId="4526" xr:uid="{00000000-0005-0000-0000-0000A6010000}"/>
    <cellStyle name="20% - Accent3 3 2 7 2" xfId="13022" xr:uid="{8793616D-834C-4760-9776-B34CFD1198BB}"/>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2 2 2" xfId="15579" xr:uid="{6558AC7C-2CF3-42C8-AD0E-68AE080417FE}"/>
    <cellStyle name="20% - Accent3 3 3 2 3" xfId="11366" xr:uid="{D8A4CB38-85A9-4092-A1F8-302D0A9882B5}"/>
    <cellStyle name="20% - Accent3 3 3 3" xfId="4939" xr:uid="{00000000-0005-0000-0000-0000AA010000}"/>
    <cellStyle name="20% - Accent3 3 3 3 2" xfId="13434" xr:uid="{17574627-9BC5-4A09-8BD3-DA76D9BDF979}"/>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2 2 2" xfId="15992" xr:uid="{BBB87F88-7098-4F05-9745-967D4A066B1A}"/>
    <cellStyle name="20% - Accent3 3 4 2 3" xfId="11779" xr:uid="{9213CEA9-2873-4DA7-A6C7-11A597C17153}"/>
    <cellStyle name="20% - Accent3 3 4 3" xfId="5352" xr:uid="{00000000-0005-0000-0000-0000AE010000}"/>
    <cellStyle name="20% - Accent3 3 4 3 2" xfId="13847" xr:uid="{856EBCDB-DF97-4F51-9D13-117A208D2B12}"/>
    <cellStyle name="20% - Accent3 3 4 4" xfId="9634" xr:uid="{0FB4D842-8AEA-467B-BC15-76B7B5DD0E79}"/>
    <cellStyle name="20% - Accent3 3 5" xfId="1458" xr:uid="{00000000-0005-0000-0000-0000AF010000}"/>
    <cellStyle name="20% - Accent3 3 5 2" xfId="3688" xr:uid="{00000000-0005-0000-0000-0000B0010000}"/>
    <cellStyle name="20% - Accent3 3 5 2 2" xfId="7910" xr:uid="{00000000-0005-0000-0000-0000B1010000}"/>
    <cellStyle name="20% - Accent3 3 5 2 2 2" xfId="16405" xr:uid="{A5B00A23-E67C-4308-9119-11B323BA0FDA}"/>
    <cellStyle name="20% - Accent3 3 5 2 3" xfId="12192" xr:uid="{71B02B3F-1232-460D-9FB4-07505E985763}"/>
    <cellStyle name="20% - Accent3 3 5 3" xfId="5765" xr:uid="{00000000-0005-0000-0000-0000B2010000}"/>
    <cellStyle name="20% - Accent3 3 5 3 2" xfId="14260" xr:uid="{79AB0384-C665-48DD-BB50-6D1EBF72E701}"/>
    <cellStyle name="20% - Accent3 3 5 4" xfId="10047" xr:uid="{4E80DE37-00BE-4046-8F6D-D0795EB348D8}"/>
    <cellStyle name="20% - Accent3 3 6" xfId="1872" xr:uid="{00000000-0005-0000-0000-0000B3010000}"/>
    <cellStyle name="20% - Accent3 3 6 2" xfId="4101" xr:uid="{00000000-0005-0000-0000-0000B4010000}"/>
    <cellStyle name="20% - Accent3 3 6 2 2" xfId="8323" xr:uid="{00000000-0005-0000-0000-0000B5010000}"/>
    <cellStyle name="20% - Accent3 3 6 2 2 2" xfId="16818" xr:uid="{C90A5510-3FE8-4669-B6C4-8C6FB31A4547}"/>
    <cellStyle name="20% - Accent3 3 6 2 3" xfId="12605" xr:uid="{CEB4F2A2-C016-496F-8501-E615E22F5170}"/>
    <cellStyle name="20% - Accent3 3 6 3" xfId="6178" xr:uid="{00000000-0005-0000-0000-0000B6010000}"/>
    <cellStyle name="20% - Accent3 3 6 3 2" xfId="14673" xr:uid="{9D8C1F09-42B3-45A7-8133-2425DF347725}"/>
    <cellStyle name="20% - Accent3 3 6 4" xfId="10460" xr:uid="{6BCC6D0C-0614-4C4B-AF2D-08BEC60C9B89}"/>
    <cellStyle name="20% - Accent3 3 7" xfId="2285" xr:uid="{00000000-0005-0000-0000-0000B7010000}"/>
    <cellStyle name="20% - Accent3 3 7 2" xfId="6591" xr:uid="{00000000-0005-0000-0000-0000B8010000}"/>
    <cellStyle name="20% - Accent3 3 7 2 2" xfId="15086" xr:uid="{C007FCC1-B4C4-4279-A522-14518FBFFFF2}"/>
    <cellStyle name="20% - Accent3 3 7 3" xfId="10873" xr:uid="{9F658740-DAAB-4A9C-8F62-BAB8F70F3FB1}"/>
    <cellStyle name="20% - Accent3 3 8" xfId="4525" xr:uid="{00000000-0005-0000-0000-0000B9010000}"/>
    <cellStyle name="20% - Accent3 3 8 2" xfId="13021" xr:uid="{3927DA4D-75F2-430A-944C-E71854AC8DC6}"/>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5581" xr:uid="{2EEFF507-0D14-45FA-8E8B-43445347CC6F}"/>
    <cellStyle name="20% - Accent3 4 2 2 3" xfId="11368" xr:uid="{4FD3AB89-F165-4F97-8A7B-FBB97C180CE3}"/>
    <cellStyle name="20% - Accent3 4 2 3" xfId="4941" xr:uid="{00000000-0005-0000-0000-0000BE010000}"/>
    <cellStyle name="20% - Accent3 4 2 3 2" xfId="13436" xr:uid="{5F280ABA-54FE-468F-B639-83D2D9D5FE81}"/>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2 2 2" xfId="15994" xr:uid="{5597E86C-D411-4554-8477-922539D13CC7}"/>
    <cellStyle name="20% - Accent3 4 3 2 3" xfId="11781" xr:uid="{6EE3DA56-2539-4FFE-B6E6-4D4224358889}"/>
    <cellStyle name="20% - Accent3 4 3 3" xfId="5354" xr:uid="{00000000-0005-0000-0000-0000C2010000}"/>
    <cellStyle name="20% - Accent3 4 3 3 2" xfId="13849" xr:uid="{A3EB0A47-CDA0-4AB6-8BA4-90BE444233CF}"/>
    <cellStyle name="20% - Accent3 4 3 4" xfId="9636" xr:uid="{4FD89B33-720F-49E6-853E-614F4E2B4C06}"/>
    <cellStyle name="20% - Accent3 4 4" xfId="1460" xr:uid="{00000000-0005-0000-0000-0000C3010000}"/>
    <cellStyle name="20% - Accent3 4 4 2" xfId="3690" xr:uid="{00000000-0005-0000-0000-0000C4010000}"/>
    <cellStyle name="20% - Accent3 4 4 2 2" xfId="7912" xr:uid="{00000000-0005-0000-0000-0000C5010000}"/>
    <cellStyle name="20% - Accent3 4 4 2 2 2" xfId="16407" xr:uid="{A52289A1-964B-4F1C-A5A9-998A5AC05CC7}"/>
    <cellStyle name="20% - Accent3 4 4 2 3" xfId="12194" xr:uid="{62B5B2FF-6B92-464B-8C35-1C1C1477E0C0}"/>
    <cellStyle name="20% - Accent3 4 4 3" xfId="5767" xr:uid="{00000000-0005-0000-0000-0000C6010000}"/>
    <cellStyle name="20% - Accent3 4 4 3 2" xfId="14262" xr:uid="{7CCDE198-3F65-4514-AD04-51C8DA0780F7}"/>
    <cellStyle name="20% - Accent3 4 4 4" xfId="10049" xr:uid="{1A8E133F-2E90-4E76-843C-58BE29179E28}"/>
    <cellStyle name="20% - Accent3 4 5" xfId="1874" xr:uid="{00000000-0005-0000-0000-0000C7010000}"/>
    <cellStyle name="20% - Accent3 4 5 2" xfId="4103" xr:uid="{00000000-0005-0000-0000-0000C8010000}"/>
    <cellStyle name="20% - Accent3 4 5 2 2" xfId="8325" xr:uid="{00000000-0005-0000-0000-0000C9010000}"/>
    <cellStyle name="20% - Accent3 4 5 2 2 2" xfId="16820" xr:uid="{6D2631B5-50DF-48F6-8774-CACE059211FD}"/>
    <cellStyle name="20% - Accent3 4 5 2 3" xfId="12607" xr:uid="{2761180D-607C-4DA3-BD4B-1C18DA81861A}"/>
    <cellStyle name="20% - Accent3 4 5 3" xfId="6180" xr:uid="{00000000-0005-0000-0000-0000CA010000}"/>
    <cellStyle name="20% - Accent3 4 5 3 2" xfId="14675" xr:uid="{D8590C72-5C13-4FBC-82C3-27A45825B384}"/>
    <cellStyle name="20% - Accent3 4 5 4" xfId="10462" xr:uid="{555CF591-4C2D-4845-8432-D7FC0BB9A910}"/>
    <cellStyle name="20% - Accent3 4 6" xfId="2287" xr:uid="{00000000-0005-0000-0000-0000CB010000}"/>
    <cellStyle name="20% - Accent3 4 6 2" xfId="6593" xr:uid="{00000000-0005-0000-0000-0000CC010000}"/>
    <cellStyle name="20% - Accent3 4 6 2 2" xfId="15088" xr:uid="{9A54EF46-7B88-44FD-A73F-B391F9B686FF}"/>
    <cellStyle name="20% - Accent3 4 6 3" xfId="10875" xr:uid="{7F0F811C-AC56-4CE5-8F02-8CD71B32291F}"/>
    <cellStyle name="20% - Accent3 4 7" xfId="4527" xr:uid="{00000000-0005-0000-0000-0000CD010000}"/>
    <cellStyle name="20% - Accent3 4 7 2" xfId="13023" xr:uid="{718F4AC3-5272-4ED3-9722-397D6B891A62}"/>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2 2 2" xfId="15574" xr:uid="{536C28A6-5F40-4BBA-A8C5-6971D741BC17}"/>
    <cellStyle name="20% - Accent3 5 2 3" xfId="11361" xr:uid="{9BC680D4-C151-4B11-BAFF-AB2A73C3A567}"/>
    <cellStyle name="20% - Accent3 5 3" xfId="4934" xr:uid="{00000000-0005-0000-0000-0000D1010000}"/>
    <cellStyle name="20% - Accent3 5 3 2" xfId="13429" xr:uid="{8E9D43B8-1D84-484B-B8F3-53434F8256B6}"/>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2 2 2" xfId="15987" xr:uid="{A77AA949-F69B-462F-AA92-12FA25A19E6E}"/>
    <cellStyle name="20% - Accent3 6 2 3" xfId="11774" xr:uid="{173EB54A-CAC8-4A98-B2D1-AD22F7F832D2}"/>
    <cellStyle name="20% - Accent3 6 3" xfId="5347" xr:uid="{00000000-0005-0000-0000-0000D5010000}"/>
    <cellStyle name="20% - Accent3 6 3 2" xfId="13842" xr:uid="{2262F918-4064-4140-B86F-FB461087896F}"/>
    <cellStyle name="20% - Accent3 6 4" xfId="9629" xr:uid="{94767165-39CC-4A21-BDD2-E998BCA111D7}"/>
    <cellStyle name="20% - Accent3 7" xfId="1453" xr:uid="{00000000-0005-0000-0000-0000D6010000}"/>
    <cellStyle name="20% - Accent3 7 2" xfId="3683" xr:uid="{00000000-0005-0000-0000-0000D7010000}"/>
    <cellStyle name="20% - Accent3 7 2 2" xfId="7905" xr:uid="{00000000-0005-0000-0000-0000D8010000}"/>
    <cellStyle name="20% - Accent3 7 2 2 2" xfId="16400" xr:uid="{BA56A007-6F3E-4F0C-8FAC-91EFEF3424B9}"/>
    <cellStyle name="20% - Accent3 7 2 3" xfId="12187" xr:uid="{07EBB0CD-B5EE-45E0-A884-78395280A525}"/>
    <cellStyle name="20% - Accent3 7 3" xfId="5760" xr:uid="{00000000-0005-0000-0000-0000D9010000}"/>
    <cellStyle name="20% - Accent3 7 3 2" xfId="14255" xr:uid="{0A7E969B-5483-400F-B77A-34CC96575F11}"/>
    <cellStyle name="20% - Accent3 7 4" xfId="10042" xr:uid="{DEB090C1-9E08-4015-9019-07E0FD48B70D}"/>
    <cellStyle name="20% - Accent3 8" xfId="1867" xr:uid="{00000000-0005-0000-0000-0000DA010000}"/>
    <cellStyle name="20% - Accent3 8 2" xfId="4096" xr:uid="{00000000-0005-0000-0000-0000DB010000}"/>
    <cellStyle name="20% - Accent3 8 2 2" xfId="8318" xr:uid="{00000000-0005-0000-0000-0000DC010000}"/>
    <cellStyle name="20% - Accent3 8 2 2 2" xfId="16813" xr:uid="{FBF13BB7-A2AB-428D-B8D8-6BF4FEA9E772}"/>
    <cellStyle name="20% - Accent3 8 2 3" xfId="12600" xr:uid="{280355B4-4A3E-41DB-BA7B-F2B030860591}"/>
    <cellStyle name="20% - Accent3 8 3" xfId="6173" xr:uid="{00000000-0005-0000-0000-0000DD010000}"/>
    <cellStyle name="20% - Accent3 8 3 2" xfId="14668" xr:uid="{B94B7369-9420-4E20-B975-2F408738D8F5}"/>
    <cellStyle name="20% - Accent3 8 4" xfId="10455" xr:uid="{B966B7CC-C2D9-4DFE-B6B2-C6EC43D36FBB}"/>
    <cellStyle name="20% - Accent3 9" xfId="2280" xr:uid="{00000000-0005-0000-0000-0000DE010000}"/>
    <cellStyle name="20% - Accent3 9 2" xfId="6586" xr:uid="{00000000-0005-0000-0000-0000DF010000}"/>
    <cellStyle name="20% - Accent3 9 2 2" xfId="15081" xr:uid="{E754BAFA-1221-4076-9584-2E2C469A1403}"/>
    <cellStyle name="20% - Accent3 9 3" xfId="10868" xr:uid="{D9BCCE99-8007-4F0E-A330-E4C731D3CC5B}"/>
    <cellStyle name="20% - Accent4" xfId="25" builtinId="42" customBuiltin="1"/>
    <cellStyle name="20% - Accent4 10" xfId="4528" xr:uid="{00000000-0005-0000-0000-0000E1010000}"/>
    <cellStyle name="20% - Accent4 10 2" xfId="13024" xr:uid="{F63F2713-BB31-4E35-A274-D8A28DADEA06}"/>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5585" xr:uid="{905AF2F7-665D-4003-95C6-BEA1C6006CBE}"/>
    <cellStyle name="20% - Accent4 2 2 2 2 2 3" xfId="11372" xr:uid="{372D6A43-5A6A-40BE-A875-DEA33C9A070A}"/>
    <cellStyle name="20% - Accent4 2 2 2 2 3" xfId="4945" xr:uid="{00000000-0005-0000-0000-0000E8010000}"/>
    <cellStyle name="20% - Accent4 2 2 2 2 3 2" xfId="13440" xr:uid="{620CEF75-7259-49FF-B927-F9C24B83A1F7}"/>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5998" xr:uid="{17E16697-26E7-453F-8A2A-590BBC944AD7}"/>
    <cellStyle name="20% - Accent4 2 2 2 3 2 3" xfId="11785" xr:uid="{A0D6FA57-EF1B-4267-91B4-5ABF32426C64}"/>
    <cellStyle name="20% - Accent4 2 2 2 3 3" xfId="5358" xr:uid="{00000000-0005-0000-0000-0000EC010000}"/>
    <cellStyle name="20% - Accent4 2 2 2 3 3 2" xfId="13853" xr:uid="{ECC7F835-A260-4B1E-BBBE-9DE76C14F695}"/>
    <cellStyle name="20% - Accent4 2 2 2 3 4" xfId="9640" xr:uid="{648BA2F6-6423-40B6-B90F-53D6F478C429}"/>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6411" xr:uid="{BD2CF662-782F-4AE0-9EF0-EBDA2949A329}"/>
    <cellStyle name="20% - Accent4 2 2 2 4 2 3" xfId="12198" xr:uid="{59A49E26-1BEE-4CC4-AF84-CD2223EB78C0}"/>
    <cellStyle name="20% - Accent4 2 2 2 4 3" xfId="5771" xr:uid="{00000000-0005-0000-0000-0000F0010000}"/>
    <cellStyle name="20% - Accent4 2 2 2 4 3 2" xfId="14266" xr:uid="{F869C4A6-6264-4D5A-9E6A-6C0F10EAC803}"/>
    <cellStyle name="20% - Accent4 2 2 2 4 4" xfId="10053" xr:uid="{216F9BB7-41F5-4736-999E-050B3D24F426}"/>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6824" xr:uid="{0BE2BD6A-E827-4264-B1BA-8C4EECA90A43}"/>
    <cellStyle name="20% - Accent4 2 2 2 5 2 3" xfId="12611" xr:uid="{06B0CAA1-6367-4F98-A8EE-527F1C6E345D}"/>
    <cellStyle name="20% - Accent4 2 2 2 5 3" xfId="6184" xr:uid="{00000000-0005-0000-0000-0000F4010000}"/>
    <cellStyle name="20% - Accent4 2 2 2 5 3 2" xfId="14679" xr:uid="{4A68C74C-C44E-42FF-A71F-3EA684BA6E1C}"/>
    <cellStyle name="20% - Accent4 2 2 2 5 4" xfId="10466" xr:uid="{24856567-25F9-4915-9ED7-02D50BB17253}"/>
    <cellStyle name="20% - Accent4 2 2 2 6" xfId="2291" xr:uid="{00000000-0005-0000-0000-0000F5010000}"/>
    <cellStyle name="20% - Accent4 2 2 2 6 2" xfId="6597" xr:uid="{00000000-0005-0000-0000-0000F6010000}"/>
    <cellStyle name="20% - Accent4 2 2 2 6 2 2" xfId="15092" xr:uid="{C524C61D-6A26-4115-AE47-CA1F672DACCE}"/>
    <cellStyle name="20% - Accent4 2 2 2 6 3" xfId="10879" xr:uid="{F26CCC8D-DE4B-4E78-836D-30301FF011BD}"/>
    <cellStyle name="20% - Accent4 2 2 2 7" xfId="4531" xr:uid="{00000000-0005-0000-0000-0000F7010000}"/>
    <cellStyle name="20% - Accent4 2 2 2 7 2" xfId="13027" xr:uid="{0C34724F-D144-44F9-9DCC-D8B814261D3C}"/>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5584" xr:uid="{B5FDD1B4-E82A-4960-B1E6-92ADE8288C19}"/>
    <cellStyle name="20% - Accent4 2 2 3 2 3" xfId="11371" xr:uid="{9F0AC306-F6D9-4D82-96FF-1C43FE35A5BA}"/>
    <cellStyle name="20% - Accent4 2 2 3 3" xfId="4944" xr:uid="{00000000-0005-0000-0000-0000FB010000}"/>
    <cellStyle name="20% - Accent4 2 2 3 3 2" xfId="13439" xr:uid="{D32BE613-FF6D-47E4-949F-646F39872B8F}"/>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5997" xr:uid="{5780C853-FD16-4CC5-B8C3-4B3956AD262A}"/>
    <cellStyle name="20% - Accent4 2 2 4 2 3" xfId="11784" xr:uid="{E9AAF6C3-4DAD-41A3-ABBB-218CB26721FC}"/>
    <cellStyle name="20% - Accent4 2 2 4 3" xfId="5357" xr:uid="{00000000-0005-0000-0000-0000FF010000}"/>
    <cellStyle name="20% - Accent4 2 2 4 3 2" xfId="13852" xr:uid="{D46AFA6B-F11A-40F3-BF88-07B27CEEF3AE}"/>
    <cellStyle name="20% - Accent4 2 2 4 4" xfId="9639" xr:uid="{422A6437-3159-465F-8024-69B54DFAC763}"/>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6410" xr:uid="{E44A589F-2D84-49CC-A6BB-3937C83CFA5B}"/>
    <cellStyle name="20% - Accent4 2 2 5 2 3" xfId="12197" xr:uid="{12036A86-6996-4F85-9C89-94D3511047B0}"/>
    <cellStyle name="20% - Accent4 2 2 5 3" xfId="5770" xr:uid="{00000000-0005-0000-0000-000003020000}"/>
    <cellStyle name="20% - Accent4 2 2 5 3 2" xfId="14265" xr:uid="{A904E2A3-1736-45C6-B3C6-8B3D871FCD73}"/>
    <cellStyle name="20% - Accent4 2 2 5 4" xfId="10052" xr:uid="{6D52B262-CCE2-4758-9D46-4CE5E433DC82}"/>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6823" xr:uid="{3193C6DD-15CC-4B03-BB53-FC07404757E8}"/>
    <cellStyle name="20% - Accent4 2 2 6 2 3" xfId="12610" xr:uid="{702FFE47-9E2A-4DE3-B96F-8D40F05A4D00}"/>
    <cellStyle name="20% - Accent4 2 2 6 3" xfId="6183" xr:uid="{00000000-0005-0000-0000-000007020000}"/>
    <cellStyle name="20% - Accent4 2 2 6 3 2" xfId="14678" xr:uid="{296077A7-D973-4251-BA40-55415BEF2011}"/>
    <cellStyle name="20% - Accent4 2 2 6 4" xfId="10465" xr:uid="{782191A6-9218-462C-9A8E-3273DA55E7DD}"/>
    <cellStyle name="20% - Accent4 2 2 7" xfId="2290" xr:uid="{00000000-0005-0000-0000-000008020000}"/>
    <cellStyle name="20% - Accent4 2 2 7 2" xfId="6596" xr:uid="{00000000-0005-0000-0000-000009020000}"/>
    <cellStyle name="20% - Accent4 2 2 7 2 2" xfId="15091" xr:uid="{BCEEB555-5BC3-440C-94AE-F2A21CC51874}"/>
    <cellStyle name="20% - Accent4 2 2 7 3" xfId="10878" xr:uid="{5E3FA5D1-AA93-44CF-8661-F26C6152C0A7}"/>
    <cellStyle name="20% - Accent4 2 2 8" xfId="4530" xr:uid="{00000000-0005-0000-0000-00000A020000}"/>
    <cellStyle name="20% - Accent4 2 2 8 2" xfId="13026" xr:uid="{EE1FDC2C-1922-47C9-A264-2BDEC753A182}"/>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5586" xr:uid="{026C4E9A-D735-4F37-A42B-20FB55346FBF}"/>
    <cellStyle name="20% - Accent4 2 3 2 2 3" xfId="11373" xr:uid="{11EFB5BA-3360-46C5-9B89-D7EEA538064F}"/>
    <cellStyle name="20% - Accent4 2 3 2 3" xfId="4946" xr:uid="{00000000-0005-0000-0000-00000F020000}"/>
    <cellStyle name="20% - Accent4 2 3 2 3 2" xfId="13441" xr:uid="{96C2E18E-6716-452F-BE66-56293BA789E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5999" xr:uid="{E774AB41-0F1E-4CF4-9A74-B9C9E07159BE}"/>
    <cellStyle name="20% - Accent4 2 3 3 2 3" xfId="11786" xr:uid="{A6D28C0C-FA8C-4BB5-AB74-3A3CEF71C82D}"/>
    <cellStyle name="20% - Accent4 2 3 3 3" xfId="5359" xr:uid="{00000000-0005-0000-0000-000013020000}"/>
    <cellStyle name="20% - Accent4 2 3 3 3 2" xfId="13854" xr:uid="{EE5B1EB0-6392-43A4-9A15-6C82EE636CFF}"/>
    <cellStyle name="20% - Accent4 2 3 3 4" xfId="9641" xr:uid="{CB3D4A8A-072B-4504-A6C2-FDA2F58A64C0}"/>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6412" xr:uid="{7862A848-2F85-4CD7-95DD-9F07832A6919}"/>
    <cellStyle name="20% - Accent4 2 3 4 2 3" xfId="12199" xr:uid="{4E6A4636-EFB1-48A9-8B74-F33DD7429821}"/>
    <cellStyle name="20% - Accent4 2 3 4 3" xfId="5772" xr:uid="{00000000-0005-0000-0000-000017020000}"/>
    <cellStyle name="20% - Accent4 2 3 4 3 2" xfId="14267" xr:uid="{AE179A0B-51FA-47E1-AC45-AF43C73604C2}"/>
    <cellStyle name="20% - Accent4 2 3 4 4" xfId="10054" xr:uid="{27AFBE73-10C5-496D-939E-A71B31F1BFD6}"/>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6825" xr:uid="{1E04B014-100D-466B-B190-4152D8A3F1AD}"/>
    <cellStyle name="20% - Accent4 2 3 5 2 3" xfId="12612" xr:uid="{471E28A6-38D6-423A-8416-0A2C141BBADC}"/>
    <cellStyle name="20% - Accent4 2 3 5 3" xfId="6185" xr:uid="{00000000-0005-0000-0000-00001B020000}"/>
    <cellStyle name="20% - Accent4 2 3 5 3 2" xfId="14680" xr:uid="{4552EB5E-0AF0-4FF9-9044-38EFBD6B858E}"/>
    <cellStyle name="20% - Accent4 2 3 5 4" xfId="10467" xr:uid="{541B8CD6-D012-4720-B749-1FCEDB007538}"/>
    <cellStyle name="20% - Accent4 2 3 6" xfId="2292" xr:uid="{00000000-0005-0000-0000-00001C020000}"/>
    <cellStyle name="20% - Accent4 2 3 6 2" xfId="6598" xr:uid="{00000000-0005-0000-0000-00001D020000}"/>
    <cellStyle name="20% - Accent4 2 3 6 2 2" xfId="15093" xr:uid="{523FCB94-7393-43F7-907A-1EC9A671A475}"/>
    <cellStyle name="20% - Accent4 2 3 6 3" xfId="10880" xr:uid="{C0F2D2F4-46D4-42BD-B522-5C958DE0DF1C}"/>
    <cellStyle name="20% - Accent4 2 3 7" xfId="4532" xr:uid="{00000000-0005-0000-0000-00001E020000}"/>
    <cellStyle name="20% - Accent4 2 3 7 2" xfId="13028" xr:uid="{091328FF-3E4D-463B-BE72-D21357063919}"/>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2 2 2" xfId="15583" xr:uid="{81F794F4-327A-4F58-BB6C-EC7139A42562}"/>
    <cellStyle name="20% - Accent4 2 4 2 3" xfId="11370" xr:uid="{EA8188CE-E036-4D49-B726-D451C80DA78B}"/>
    <cellStyle name="20% - Accent4 2 4 3" xfId="4943" xr:uid="{00000000-0005-0000-0000-000022020000}"/>
    <cellStyle name="20% - Accent4 2 4 3 2" xfId="13438" xr:uid="{47BC6F55-69AE-4D62-A194-6AC4FA452A2C}"/>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2 2 2" xfId="15996" xr:uid="{D2E22C2A-946F-4833-96D2-B5EBA17A03A3}"/>
    <cellStyle name="20% - Accent4 2 5 2 3" xfId="11783" xr:uid="{7EFFD516-A31E-4248-8358-4CE05CDB3735}"/>
    <cellStyle name="20% - Accent4 2 5 3" xfId="5356" xr:uid="{00000000-0005-0000-0000-000026020000}"/>
    <cellStyle name="20% - Accent4 2 5 3 2" xfId="13851" xr:uid="{4B77980E-146D-47E2-B847-E79901F1242C}"/>
    <cellStyle name="20% - Accent4 2 5 4" xfId="9638" xr:uid="{052E0985-DCCF-4DC1-892C-5DABBCDDAE26}"/>
    <cellStyle name="20% - Accent4 2 6" xfId="1462" xr:uid="{00000000-0005-0000-0000-000027020000}"/>
    <cellStyle name="20% - Accent4 2 6 2" xfId="3692" xr:uid="{00000000-0005-0000-0000-000028020000}"/>
    <cellStyle name="20% - Accent4 2 6 2 2" xfId="7914" xr:uid="{00000000-0005-0000-0000-000029020000}"/>
    <cellStyle name="20% - Accent4 2 6 2 2 2" xfId="16409" xr:uid="{3CEF081B-3A42-489F-BE93-2BEBF62BB07D}"/>
    <cellStyle name="20% - Accent4 2 6 2 3" xfId="12196" xr:uid="{D9D43A09-A833-414C-BCE8-AE768EF6AAF0}"/>
    <cellStyle name="20% - Accent4 2 6 3" xfId="5769" xr:uid="{00000000-0005-0000-0000-00002A020000}"/>
    <cellStyle name="20% - Accent4 2 6 3 2" xfId="14264" xr:uid="{D5CE126A-79EB-422F-9811-44D4CA700185}"/>
    <cellStyle name="20% - Accent4 2 6 4" xfId="10051" xr:uid="{13FA81FD-E4ED-4A6A-ACAA-900E519A4F26}"/>
    <cellStyle name="20% - Accent4 2 7" xfId="1876" xr:uid="{00000000-0005-0000-0000-00002B020000}"/>
    <cellStyle name="20% - Accent4 2 7 2" xfId="4105" xr:uid="{00000000-0005-0000-0000-00002C020000}"/>
    <cellStyle name="20% - Accent4 2 7 2 2" xfId="8327" xr:uid="{00000000-0005-0000-0000-00002D020000}"/>
    <cellStyle name="20% - Accent4 2 7 2 2 2" xfId="16822" xr:uid="{4A3A57DB-370A-4F71-9935-59FA6DD6CC81}"/>
    <cellStyle name="20% - Accent4 2 7 2 3" xfId="12609" xr:uid="{AB43B106-B485-4861-B02D-3078C014CAAB}"/>
    <cellStyle name="20% - Accent4 2 7 3" xfId="6182" xr:uid="{00000000-0005-0000-0000-00002E020000}"/>
    <cellStyle name="20% - Accent4 2 7 3 2" xfId="14677" xr:uid="{1882BD48-3255-4875-911B-B71AF00274E9}"/>
    <cellStyle name="20% - Accent4 2 7 4" xfId="10464" xr:uid="{7C7F22F8-A6D7-4916-8859-FED3E96FFFD9}"/>
    <cellStyle name="20% - Accent4 2 8" xfId="2289" xr:uid="{00000000-0005-0000-0000-00002F020000}"/>
    <cellStyle name="20% - Accent4 2 8 2" xfId="6595" xr:uid="{00000000-0005-0000-0000-000030020000}"/>
    <cellStyle name="20% - Accent4 2 8 2 2" xfId="15090" xr:uid="{8DA075CC-6C9E-45E6-A120-F2E97043D5B3}"/>
    <cellStyle name="20% - Accent4 2 8 3" xfId="10877" xr:uid="{0598641C-1A24-4011-8F4E-4FDCA48D4D47}"/>
    <cellStyle name="20% - Accent4 2 9" xfId="4529" xr:uid="{00000000-0005-0000-0000-000031020000}"/>
    <cellStyle name="20% - Accent4 2 9 2" xfId="13025" xr:uid="{D6C1AA37-5411-49C7-B96B-CCF737A9B58A}"/>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5588" xr:uid="{735E3D9C-B56E-4F31-9121-6EFCBEB6EF08}"/>
    <cellStyle name="20% - Accent4 3 2 2 2 3" xfId="11375" xr:uid="{9926EF12-206A-425C-895A-A45929A73DFA}"/>
    <cellStyle name="20% - Accent4 3 2 2 3" xfId="4948" xr:uid="{00000000-0005-0000-0000-000037020000}"/>
    <cellStyle name="20% - Accent4 3 2 2 3 2" xfId="13443" xr:uid="{7349D511-4CA6-46A3-9171-9E5A5DF053C9}"/>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001" xr:uid="{3B9AE177-2FAA-4AC2-A6C5-AD3FF9F66B6A}"/>
    <cellStyle name="20% - Accent4 3 2 3 2 3" xfId="11788" xr:uid="{AD1DBCF9-0B98-4F7E-937A-2159432F7D5D}"/>
    <cellStyle name="20% - Accent4 3 2 3 3" xfId="5361" xr:uid="{00000000-0005-0000-0000-00003B020000}"/>
    <cellStyle name="20% - Accent4 3 2 3 3 2" xfId="13856" xr:uid="{2153CEBA-2B88-4134-8286-80EBFB31894A}"/>
    <cellStyle name="20% - Accent4 3 2 3 4" xfId="9643" xr:uid="{1DA8AA7B-4F8F-475C-916A-51BF95E61565}"/>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6414" xr:uid="{E9195429-21EB-4018-A71C-0518F534982D}"/>
    <cellStyle name="20% - Accent4 3 2 4 2 3" xfId="12201" xr:uid="{9FCFC17D-126C-421F-A708-A443D5524F56}"/>
    <cellStyle name="20% - Accent4 3 2 4 3" xfId="5774" xr:uid="{00000000-0005-0000-0000-00003F020000}"/>
    <cellStyle name="20% - Accent4 3 2 4 3 2" xfId="14269" xr:uid="{76C73963-3D36-469E-A15D-A8B631B549EE}"/>
    <cellStyle name="20% - Accent4 3 2 4 4" xfId="10056" xr:uid="{0956DBB6-196D-47C2-8136-58868402D4DC}"/>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6827" xr:uid="{82755B74-0E6F-4C18-BBA5-4DB7DB4DE8D7}"/>
    <cellStyle name="20% - Accent4 3 2 5 2 3" xfId="12614" xr:uid="{44E70CF2-5EF2-4FE6-8687-4455A06811D1}"/>
    <cellStyle name="20% - Accent4 3 2 5 3" xfId="6187" xr:uid="{00000000-0005-0000-0000-000043020000}"/>
    <cellStyle name="20% - Accent4 3 2 5 3 2" xfId="14682" xr:uid="{56BB4383-61DC-4B01-AA6B-DF4EFA20A5CA}"/>
    <cellStyle name="20% - Accent4 3 2 5 4" xfId="10469" xr:uid="{C950A46A-1FBD-4EB8-ABB6-4C6023D1D824}"/>
    <cellStyle name="20% - Accent4 3 2 6" xfId="2294" xr:uid="{00000000-0005-0000-0000-000044020000}"/>
    <cellStyle name="20% - Accent4 3 2 6 2" xfId="6600" xr:uid="{00000000-0005-0000-0000-000045020000}"/>
    <cellStyle name="20% - Accent4 3 2 6 2 2" xfId="15095" xr:uid="{E14436B9-3BA3-4711-9DDD-ED91A2FBD01E}"/>
    <cellStyle name="20% - Accent4 3 2 6 3" xfId="10882" xr:uid="{9C241EC2-BB16-4261-9C43-31FBDCC1863D}"/>
    <cellStyle name="20% - Accent4 3 2 7" xfId="4534" xr:uid="{00000000-0005-0000-0000-000046020000}"/>
    <cellStyle name="20% - Accent4 3 2 7 2" xfId="13030" xr:uid="{2F35B2AB-B8EF-47EF-98A2-E60A8E8597FC}"/>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2 2 2" xfId="15587" xr:uid="{70961D42-0D13-4BF8-8309-107A35AB9047}"/>
    <cellStyle name="20% - Accent4 3 3 2 3" xfId="11374" xr:uid="{48B4FBB7-E4E8-4500-AAA9-D6D82D281450}"/>
    <cellStyle name="20% - Accent4 3 3 3" xfId="4947" xr:uid="{00000000-0005-0000-0000-00004A020000}"/>
    <cellStyle name="20% - Accent4 3 3 3 2" xfId="13442" xr:uid="{922BA190-72DD-470C-BC19-0E95841998B8}"/>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000" xr:uid="{6BC5E24C-3D32-418E-9546-EAF6EDC07492}"/>
    <cellStyle name="20% - Accent4 3 4 2 3" xfId="11787" xr:uid="{40C457C4-211C-4133-9E95-D8EE90D0B95E}"/>
    <cellStyle name="20% - Accent4 3 4 3" xfId="5360" xr:uid="{00000000-0005-0000-0000-00004E020000}"/>
    <cellStyle name="20% - Accent4 3 4 3 2" xfId="13855" xr:uid="{563D098C-6697-4911-A494-E9A803BF84A3}"/>
    <cellStyle name="20% - Accent4 3 4 4" xfId="9642" xr:uid="{D9C923D1-ACC1-4251-9C0C-FAD9688E78BE}"/>
    <cellStyle name="20% - Accent4 3 5" xfId="1466" xr:uid="{00000000-0005-0000-0000-00004F020000}"/>
    <cellStyle name="20% - Accent4 3 5 2" xfId="3696" xr:uid="{00000000-0005-0000-0000-000050020000}"/>
    <cellStyle name="20% - Accent4 3 5 2 2" xfId="7918" xr:uid="{00000000-0005-0000-0000-000051020000}"/>
    <cellStyle name="20% - Accent4 3 5 2 2 2" xfId="16413" xr:uid="{0D24D9F2-CD88-4E09-9B10-F2508481EAA2}"/>
    <cellStyle name="20% - Accent4 3 5 2 3" xfId="12200" xr:uid="{EE57798F-5CC3-4D56-9082-6C13FA7AD915}"/>
    <cellStyle name="20% - Accent4 3 5 3" xfId="5773" xr:uid="{00000000-0005-0000-0000-000052020000}"/>
    <cellStyle name="20% - Accent4 3 5 3 2" xfId="14268" xr:uid="{B1E26DE3-9A28-4435-99D6-D7DF61E5A5FB}"/>
    <cellStyle name="20% - Accent4 3 5 4" xfId="10055" xr:uid="{F6CDE7DD-2A6D-4B94-B17F-F370539257AC}"/>
    <cellStyle name="20% - Accent4 3 6" xfId="1880" xr:uid="{00000000-0005-0000-0000-000053020000}"/>
    <cellStyle name="20% - Accent4 3 6 2" xfId="4109" xr:uid="{00000000-0005-0000-0000-000054020000}"/>
    <cellStyle name="20% - Accent4 3 6 2 2" xfId="8331" xr:uid="{00000000-0005-0000-0000-000055020000}"/>
    <cellStyle name="20% - Accent4 3 6 2 2 2" xfId="16826" xr:uid="{2EFD871A-2E8B-45B1-8296-A1802050DAC5}"/>
    <cellStyle name="20% - Accent4 3 6 2 3" xfId="12613" xr:uid="{BB2163C1-84A5-429D-ADE0-37CCEDA1CE31}"/>
    <cellStyle name="20% - Accent4 3 6 3" xfId="6186" xr:uid="{00000000-0005-0000-0000-000056020000}"/>
    <cellStyle name="20% - Accent4 3 6 3 2" xfId="14681" xr:uid="{95B1ED1F-DF74-4E98-95D0-283FE8F11639}"/>
    <cellStyle name="20% - Accent4 3 6 4" xfId="10468" xr:uid="{EF6B7069-1E44-4210-8245-0DD70DCE4D9F}"/>
    <cellStyle name="20% - Accent4 3 7" xfId="2293" xr:uid="{00000000-0005-0000-0000-000057020000}"/>
    <cellStyle name="20% - Accent4 3 7 2" xfId="6599" xr:uid="{00000000-0005-0000-0000-000058020000}"/>
    <cellStyle name="20% - Accent4 3 7 2 2" xfId="15094" xr:uid="{7EE9822C-B2F3-4463-8399-39BE4A50024F}"/>
    <cellStyle name="20% - Accent4 3 7 3" xfId="10881" xr:uid="{5ADFB287-40E1-4ABA-B58A-4B7FF8F5061B}"/>
    <cellStyle name="20% - Accent4 3 8" xfId="4533" xr:uid="{00000000-0005-0000-0000-000059020000}"/>
    <cellStyle name="20% - Accent4 3 8 2" xfId="13029" xr:uid="{4C7DA3DE-3669-4D6F-93AB-29F6799ED3A9}"/>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5589" xr:uid="{4610DB9A-977B-4749-9C58-EF8C064DEA53}"/>
    <cellStyle name="20% - Accent4 4 2 2 3" xfId="11376" xr:uid="{7433E13C-066B-45E9-A2A4-7D734311FC30}"/>
    <cellStyle name="20% - Accent4 4 2 3" xfId="4949" xr:uid="{00000000-0005-0000-0000-00005E020000}"/>
    <cellStyle name="20% - Accent4 4 2 3 2" xfId="13444" xr:uid="{2EE82E17-3298-4B4E-8C1B-D33D73A9B7AE}"/>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002" xr:uid="{F7186F98-1F1C-49A1-ADC9-99F701CB5F2F}"/>
    <cellStyle name="20% - Accent4 4 3 2 3" xfId="11789" xr:uid="{433B4855-714F-4D07-848D-F535C124D956}"/>
    <cellStyle name="20% - Accent4 4 3 3" xfId="5362" xr:uid="{00000000-0005-0000-0000-000062020000}"/>
    <cellStyle name="20% - Accent4 4 3 3 2" xfId="13857" xr:uid="{EC1E18DC-D4FC-448C-A08E-110B3A233DF9}"/>
    <cellStyle name="20% - Accent4 4 3 4" xfId="9644" xr:uid="{13D79B1B-7579-46E5-B2CE-BFCFBDC5B6C4}"/>
    <cellStyle name="20% - Accent4 4 4" xfId="1468" xr:uid="{00000000-0005-0000-0000-000063020000}"/>
    <cellStyle name="20% - Accent4 4 4 2" xfId="3698" xr:uid="{00000000-0005-0000-0000-000064020000}"/>
    <cellStyle name="20% - Accent4 4 4 2 2" xfId="7920" xr:uid="{00000000-0005-0000-0000-000065020000}"/>
    <cellStyle name="20% - Accent4 4 4 2 2 2" xfId="16415" xr:uid="{BEC31C4E-92CD-4247-8B96-5C43FB964B92}"/>
    <cellStyle name="20% - Accent4 4 4 2 3" xfId="12202" xr:uid="{5D0CCA68-A521-4CBA-A027-F258E0248B9F}"/>
    <cellStyle name="20% - Accent4 4 4 3" xfId="5775" xr:uid="{00000000-0005-0000-0000-000066020000}"/>
    <cellStyle name="20% - Accent4 4 4 3 2" xfId="14270" xr:uid="{F9E64B68-4AFA-441D-906C-D5EC36DEA6DC}"/>
    <cellStyle name="20% - Accent4 4 4 4" xfId="10057" xr:uid="{5C3DE541-A427-4D8D-A946-741F037A8431}"/>
    <cellStyle name="20% - Accent4 4 5" xfId="1882" xr:uid="{00000000-0005-0000-0000-000067020000}"/>
    <cellStyle name="20% - Accent4 4 5 2" xfId="4111" xr:uid="{00000000-0005-0000-0000-000068020000}"/>
    <cellStyle name="20% - Accent4 4 5 2 2" xfId="8333" xr:uid="{00000000-0005-0000-0000-000069020000}"/>
    <cellStyle name="20% - Accent4 4 5 2 2 2" xfId="16828" xr:uid="{73D3A939-E06D-4D14-9131-871E76662201}"/>
    <cellStyle name="20% - Accent4 4 5 2 3" xfId="12615" xr:uid="{5A0A6415-A6F6-45E9-8215-5F295A4FC1DE}"/>
    <cellStyle name="20% - Accent4 4 5 3" xfId="6188" xr:uid="{00000000-0005-0000-0000-00006A020000}"/>
    <cellStyle name="20% - Accent4 4 5 3 2" xfId="14683" xr:uid="{4E7A7315-DB94-42BE-B672-A05A5C7C9069}"/>
    <cellStyle name="20% - Accent4 4 5 4" xfId="10470" xr:uid="{07C4311D-C0A5-45CC-89BC-9A382F55A95C}"/>
    <cellStyle name="20% - Accent4 4 6" xfId="2295" xr:uid="{00000000-0005-0000-0000-00006B020000}"/>
    <cellStyle name="20% - Accent4 4 6 2" xfId="6601" xr:uid="{00000000-0005-0000-0000-00006C020000}"/>
    <cellStyle name="20% - Accent4 4 6 2 2" xfId="15096" xr:uid="{85DC1A73-7EF6-4D33-BCCE-80A0A9F702AA}"/>
    <cellStyle name="20% - Accent4 4 6 3" xfId="10883" xr:uid="{7313BDDC-BBE1-4DEF-AB0B-EFC00D6E8F9B}"/>
    <cellStyle name="20% - Accent4 4 7" xfId="4535" xr:uid="{00000000-0005-0000-0000-00006D020000}"/>
    <cellStyle name="20% - Accent4 4 7 2" xfId="13031" xr:uid="{243A90D0-F91E-4FED-9E7A-C394BC7847E2}"/>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2 2 2" xfId="15582" xr:uid="{73FE289E-DC1A-4460-B18B-DAB53A2AD269}"/>
    <cellStyle name="20% - Accent4 5 2 3" xfId="11369" xr:uid="{CBEEE532-32A2-44AD-8AE4-0E954EA9A540}"/>
    <cellStyle name="20% - Accent4 5 3" xfId="4942" xr:uid="{00000000-0005-0000-0000-000071020000}"/>
    <cellStyle name="20% - Accent4 5 3 2" xfId="13437" xr:uid="{CC25037A-3608-4946-9B47-B075BD2037DE}"/>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2 2 2" xfId="15995" xr:uid="{5C7EE6F7-A338-44E6-88DF-79627CCEC0A2}"/>
    <cellStyle name="20% - Accent4 6 2 3" xfId="11782" xr:uid="{08A05763-A90D-48C5-9E53-74AF4C20A00E}"/>
    <cellStyle name="20% - Accent4 6 3" xfId="5355" xr:uid="{00000000-0005-0000-0000-000075020000}"/>
    <cellStyle name="20% - Accent4 6 3 2" xfId="13850" xr:uid="{CBF7018C-727F-44B2-B215-0E0F12017F7A}"/>
    <cellStyle name="20% - Accent4 6 4" xfId="9637" xr:uid="{E6436CFC-1490-401F-B434-57CD15D29049}"/>
    <cellStyle name="20% - Accent4 7" xfId="1461" xr:uid="{00000000-0005-0000-0000-000076020000}"/>
    <cellStyle name="20% - Accent4 7 2" xfId="3691" xr:uid="{00000000-0005-0000-0000-000077020000}"/>
    <cellStyle name="20% - Accent4 7 2 2" xfId="7913" xr:uid="{00000000-0005-0000-0000-000078020000}"/>
    <cellStyle name="20% - Accent4 7 2 2 2" xfId="16408" xr:uid="{1F6EBCA5-B4BD-474E-96A4-4E75BB17E7A5}"/>
    <cellStyle name="20% - Accent4 7 2 3" xfId="12195" xr:uid="{F4AC315D-8564-477A-A335-29B629716937}"/>
    <cellStyle name="20% - Accent4 7 3" xfId="5768" xr:uid="{00000000-0005-0000-0000-000079020000}"/>
    <cellStyle name="20% - Accent4 7 3 2" xfId="14263" xr:uid="{FD024C24-221C-4AE6-B793-A6552E0BA306}"/>
    <cellStyle name="20% - Accent4 7 4" xfId="10050" xr:uid="{5C4266F3-7A52-4519-93A2-3D39EC6B5F7B}"/>
    <cellStyle name="20% - Accent4 8" xfId="1875" xr:uid="{00000000-0005-0000-0000-00007A020000}"/>
    <cellStyle name="20% - Accent4 8 2" xfId="4104" xr:uid="{00000000-0005-0000-0000-00007B020000}"/>
    <cellStyle name="20% - Accent4 8 2 2" xfId="8326" xr:uid="{00000000-0005-0000-0000-00007C020000}"/>
    <cellStyle name="20% - Accent4 8 2 2 2" xfId="16821" xr:uid="{597D2B5C-8500-4E1B-AC09-C14314E4075D}"/>
    <cellStyle name="20% - Accent4 8 2 3" xfId="12608" xr:uid="{D780CEA0-C9ED-48D2-8B6E-450958834D71}"/>
    <cellStyle name="20% - Accent4 8 3" xfId="6181" xr:uid="{00000000-0005-0000-0000-00007D020000}"/>
    <cellStyle name="20% - Accent4 8 3 2" xfId="14676" xr:uid="{ED3DF5A8-3667-4CD2-B431-3137CCBA98BC}"/>
    <cellStyle name="20% - Accent4 8 4" xfId="10463" xr:uid="{86DB48E0-D692-4A4F-896A-A53BEB8D92EB}"/>
    <cellStyle name="20% - Accent4 9" xfId="2288" xr:uid="{00000000-0005-0000-0000-00007E020000}"/>
    <cellStyle name="20% - Accent4 9 2" xfId="6594" xr:uid="{00000000-0005-0000-0000-00007F020000}"/>
    <cellStyle name="20% - Accent4 9 2 2" xfId="15089" xr:uid="{29FF7BB9-CA1F-43D4-98E8-451EA566D9D7}"/>
    <cellStyle name="20% - Accent4 9 3" xfId="10876" xr:uid="{B86291B0-770F-4623-86AC-63296310FAAC}"/>
    <cellStyle name="20% - Accent5" xfId="33" builtinId="46" customBuiltin="1"/>
    <cellStyle name="20% - Accent5 10" xfId="4536" xr:uid="{00000000-0005-0000-0000-000081020000}"/>
    <cellStyle name="20% - Accent5 10 2" xfId="13032" xr:uid="{5DBB39FF-CED0-4DF5-8D29-12251D3E9D1F}"/>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5593" xr:uid="{FED4A72D-C15F-4D46-BB97-08B44EECFCFA}"/>
    <cellStyle name="20% - Accent5 2 2 2 2 2 3" xfId="11380" xr:uid="{CEF194F3-69F4-49D9-82AB-6370A3C09A97}"/>
    <cellStyle name="20% - Accent5 2 2 2 2 3" xfId="4953" xr:uid="{00000000-0005-0000-0000-000088020000}"/>
    <cellStyle name="20% - Accent5 2 2 2 2 3 2" xfId="13448" xr:uid="{F5DA7880-0E34-46B4-8626-E2AFF91788A5}"/>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006" xr:uid="{25762F70-7C3B-40A7-A9B5-CED4EEE97106}"/>
    <cellStyle name="20% - Accent5 2 2 2 3 2 3" xfId="11793" xr:uid="{FCC36D02-3F06-4EBA-AD47-FBF9760EBFA8}"/>
    <cellStyle name="20% - Accent5 2 2 2 3 3" xfId="5366" xr:uid="{00000000-0005-0000-0000-00008C020000}"/>
    <cellStyle name="20% - Accent5 2 2 2 3 3 2" xfId="13861" xr:uid="{E45C85E4-4CB4-4830-992E-FD5627C9C0EC}"/>
    <cellStyle name="20% - Accent5 2 2 2 3 4" xfId="9648" xr:uid="{8EE7C671-4F2A-458E-A9CB-4DBFBD8C04CB}"/>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6419" xr:uid="{49FCB8F8-02D8-4939-9100-5159F6C6AE90}"/>
    <cellStyle name="20% - Accent5 2 2 2 4 2 3" xfId="12206" xr:uid="{E0EC429B-1AB1-411F-9AF2-3D6C6043295D}"/>
    <cellStyle name="20% - Accent5 2 2 2 4 3" xfId="5779" xr:uid="{00000000-0005-0000-0000-000090020000}"/>
    <cellStyle name="20% - Accent5 2 2 2 4 3 2" xfId="14274" xr:uid="{051ACD44-9B50-4FC5-89A3-D77E94EDD1BD}"/>
    <cellStyle name="20% - Accent5 2 2 2 4 4" xfId="10061" xr:uid="{3D235C2E-436D-4E61-A66A-712174C3C847}"/>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6832" xr:uid="{E034B8AD-5D9F-431D-8063-9CA5A6D28A39}"/>
    <cellStyle name="20% - Accent5 2 2 2 5 2 3" xfId="12619" xr:uid="{B3569759-28F8-415D-AED1-E149770BEC69}"/>
    <cellStyle name="20% - Accent5 2 2 2 5 3" xfId="6192" xr:uid="{00000000-0005-0000-0000-000094020000}"/>
    <cellStyle name="20% - Accent5 2 2 2 5 3 2" xfId="14687" xr:uid="{C26061C3-13D8-4919-A044-FF292DEE9521}"/>
    <cellStyle name="20% - Accent5 2 2 2 5 4" xfId="10474" xr:uid="{95F97A48-F1AC-47C2-8689-CCC8D9A64A0F}"/>
    <cellStyle name="20% - Accent5 2 2 2 6" xfId="2299" xr:uid="{00000000-0005-0000-0000-000095020000}"/>
    <cellStyle name="20% - Accent5 2 2 2 6 2" xfId="6605" xr:uid="{00000000-0005-0000-0000-000096020000}"/>
    <cellStyle name="20% - Accent5 2 2 2 6 2 2" xfId="15100" xr:uid="{B9FC326D-93FA-4EF2-9DAA-8DCB73153015}"/>
    <cellStyle name="20% - Accent5 2 2 2 6 3" xfId="10887" xr:uid="{348C8A18-93B9-43E4-9EB6-2D832900DD7C}"/>
    <cellStyle name="20% - Accent5 2 2 2 7" xfId="4539" xr:uid="{00000000-0005-0000-0000-000097020000}"/>
    <cellStyle name="20% - Accent5 2 2 2 7 2" xfId="13035" xr:uid="{1214FB09-EB0B-4653-B0F3-0E26E2119568}"/>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5592" xr:uid="{5A04C505-A5A2-4C3A-BF08-D311555BC137}"/>
    <cellStyle name="20% - Accent5 2 2 3 2 3" xfId="11379" xr:uid="{2F5FF649-91F4-4309-A437-E7926605F56B}"/>
    <cellStyle name="20% - Accent5 2 2 3 3" xfId="4952" xr:uid="{00000000-0005-0000-0000-00009B020000}"/>
    <cellStyle name="20% - Accent5 2 2 3 3 2" xfId="13447" xr:uid="{0F7C685D-F73F-4D56-BA52-07C51A88E13E}"/>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005" xr:uid="{04B06A7D-03CA-4D13-868C-7E3C0F94E2B5}"/>
    <cellStyle name="20% - Accent5 2 2 4 2 3" xfId="11792" xr:uid="{95FAAF77-AC8A-429D-BDFE-C2398D4016DD}"/>
    <cellStyle name="20% - Accent5 2 2 4 3" xfId="5365" xr:uid="{00000000-0005-0000-0000-00009F020000}"/>
    <cellStyle name="20% - Accent5 2 2 4 3 2" xfId="13860" xr:uid="{19FAD201-D805-4029-A59B-EB466C41C9AD}"/>
    <cellStyle name="20% - Accent5 2 2 4 4" xfId="9647" xr:uid="{864D0F66-C859-4FFA-B602-CDB8BEFFBEB9}"/>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6418" xr:uid="{970BFEC6-9710-4B2E-9A84-758E555850B6}"/>
    <cellStyle name="20% - Accent5 2 2 5 2 3" xfId="12205" xr:uid="{C2BE41DA-1A4B-45FC-8487-CF82D5B8C87B}"/>
    <cellStyle name="20% - Accent5 2 2 5 3" xfId="5778" xr:uid="{00000000-0005-0000-0000-0000A3020000}"/>
    <cellStyle name="20% - Accent5 2 2 5 3 2" xfId="14273" xr:uid="{0717951D-17A3-48CD-A218-8AA00621B059}"/>
    <cellStyle name="20% - Accent5 2 2 5 4" xfId="10060" xr:uid="{17183173-DA55-4922-9D87-B8935BF9DAC1}"/>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6831" xr:uid="{FC2E7196-866E-4416-8985-9447FED74E47}"/>
    <cellStyle name="20% - Accent5 2 2 6 2 3" xfId="12618" xr:uid="{2DA7B915-45BA-47E7-8F99-D60B31BF7D02}"/>
    <cellStyle name="20% - Accent5 2 2 6 3" xfId="6191" xr:uid="{00000000-0005-0000-0000-0000A7020000}"/>
    <cellStyle name="20% - Accent5 2 2 6 3 2" xfId="14686" xr:uid="{3DC3638A-AB3C-48F1-8A4C-4DE89192A80E}"/>
    <cellStyle name="20% - Accent5 2 2 6 4" xfId="10473" xr:uid="{FE05B932-CB61-40D9-A3B3-BACE27C7CC95}"/>
    <cellStyle name="20% - Accent5 2 2 7" xfId="2298" xr:uid="{00000000-0005-0000-0000-0000A8020000}"/>
    <cellStyle name="20% - Accent5 2 2 7 2" xfId="6604" xr:uid="{00000000-0005-0000-0000-0000A9020000}"/>
    <cellStyle name="20% - Accent5 2 2 7 2 2" xfId="15099" xr:uid="{5B4B5C7F-EA49-4715-BFCC-4B85F413A9AE}"/>
    <cellStyle name="20% - Accent5 2 2 7 3" xfId="10886" xr:uid="{1C0102E8-ED9B-4227-B037-4176746E2343}"/>
    <cellStyle name="20% - Accent5 2 2 8" xfId="4538" xr:uid="{00000000-0005-0000-0000-0000AA020000}"/>
    <cellStyle name="20% - Accent5 2 2 8 2" xfId="13034" xr:uid="{17D5D555-7B81-4AD8-8930-2EA408E47602}"/>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5594" xr:uid="{C50FA59F-6377-4755-BCDB-F127C166F8CC}"/>
    <cellStyle name="20% - Accent5 2 3 2 2 3" xfId="11381" xr:uid="{96F8C391-1C69-4160-827A-B436701BFDB8}"/>
    <cellStyle name="20% - Accent5 2 3 2 3" xfId="4954" xr:uid="{00000000-0005-0000-0000-0000AF020000}"/>
    <cellStyle name="20% - Accent5 2 3 2 3 2" xfId="13449" xr:uid="{47CDD54F-F16B-4D4E-BF94-647216575F8C}"/>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007" xr:uid="{9B022705-0FCA-45BF-801F-02CAA4640A1C}"/>
    <cellStyle name="20% - Accent5 2 3 3 2 3" xfId="11794" xr:uid="{0A22E214-A063-42FF-B7EA-1E4BC198DE8A}"/>
    <cellStyle name="20% - Accent5 2 3 3 3" xfId="5367" xr:uid="{00000000-0005-0000-0000-0000B3020000}"/>
    <cellStyle name="20% - Accent5 2 3 3 3 2" xfId="13862" xr:uid="{5B80AC55-2D97-474F-8DF0-EA7CD2AE5D50}"/>
    <cellStyle name="20% - Accent5 2 3 3 4" xfId="9649" xr:uid="{4504679F-4545-4896-A2CB-DF3E6A2605D8}"/>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6420" xr:uid="{1056807D-303C-499F-9A58-9B90D78597F7}"/>
    <cellStyle name="20% - Accent5 2 3 4 2 3" xfId="12207" xr:uid="{DE44D0CD-B134-4453-B3A8-00D4BC2140AD}"/>
    <cellStyle name="20% - Accent5 2 3 4 3" xfId="5780" xr:uid="{00000000-0005-0000-0000-0000B7020000}"/>
    <cellStyle name="20% - Accent5 2 3 4 3 2" xfId="14275" xr:uid="{AAE30DF0-2F4A-440C-AEC7-80DBAF1A0F22}"/>
    <cellStyle name="20% - Accent5 2 3 4 4" xfId="10062" xr:uid="{21AF6DFB-304C-4510-983D-9C5EFA82F22E}"/>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6833" xr:uid="{47E5ACF0-540B-47AB-AC5F-793D897D0811}"/>
    <cellStyle name="20% - Accent5 2 3 5 2 3" xfId="12620" xr:uid="{0C082EC9-55DC-4B3B-BED8-D75E02AE32E9}"/>
    <cellStyle name="20% - Accent5 2 3 5 3" xfId="6193" xr:uid="{00000000-0005-0000-0000-0000BB020000}"/>
    <cellStyle name="20% - Accent5 2 3 5 3 2" xfId="14688" xr:uid="{512850EA-98FB-446B-887E-0DC991B56E18}"/>
    <cellStyle name="20% - Accent5 2 3 5 4" xfId="10475" xr:uid="{6E06800D-2AFC-4475-A6D6-47FD0EDFD48E}"/>
    <cellStyle name="20% - Accent5 2 3 6" xfId="2300" xr:uid="{00000000-0005-0000-0000-0000BC020000}"/>
    <cellStyle name="20% - Accent5 2 3 6 2" xfId="6606" xr:uid="{00000000-0005-0000-0000-0000BD020000}"/>
    <cellStyle name="20% - Accent5 2 3 6 2 2" xfId="15101" xr:uid="{715C4BB2-C7EC-4B20-9FB0-371457915999}"/>
    <cellStyle name="20% - Accent5 2 3 6 3" xfId="10888" xr:uid="{7FF7DDA2-3FEB-433E-8AAF-5A5B7E8FE87D}"/>
    <cellStyle name="20% - Accent5 2 3 7" xfId="4540" xr:uid="{00000000-0005-0000-0000-0000BE020000}"/>
    <cellStyle name="20% - Accent5 2 3 7 2" xfId="13036" xr:uid="{F34D9197-FD0A-45ED-9EB4-1122919A8E09}"/>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2 2 2" xfId="15591" xr:uid="{00BE8C5F-C611-4059-8AAA-B2EC1B85BD20}"/>
    <cellStyle name="20% - Accent5 2 4 2 3" xfId="11378" xr:uid="{F8FDA570-80DA-4480-8B28-47FB195977D8}"/>
    <cellStyle name="20% - Accent5 2 4 3" xfId="4951" xr:uid="{00000000-0005-0000-0000-0000C2020000}"/>
    <cellStyle name="20% - Accent5 2 4 3 2" xfId="13446" xr:uid="{19CF2CC8-2199-4E62-AA4D-291F103A5C07}"/>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004" xr:uid="{135B1BBB-D679-4FB5-914B-6808E1B7B73A}"/>
    <cellStyle name="20% - Accent5 2 5 2 3" xfId="11791" xr:uid="{DAAF294A-6FF3-4BC6-A303-D590ED6B5CB4}"/>
    <cellStyle name="20% - Accent5 2 5 3" xfId="5364" xr:uid="{00000000-0005-0000-0000-0000C6020000}"/>
    <cellStyle name="20% - Accent5 2 5 3 2" xfId="13859" xr:uid="{C5E2C0FE-CAD2-4F31-BCD8-095BC2623683}"/>
    <cellStyle name="20% - Accent5 2 5 4" xfId="9646" xr:uid="{7012190F-0B44-487D-8DC0-56F21E3FE40F}"/>
    <cellStyle name="20% - Accent5 2 6" xfId="1470" xr:uid="{00000000-0005-0000-0000-0000C7020000}"/>
    <cellStyle name="20% - Accent5 2 6 2" xfId="3700" xr:uid="{00000000-0005-0000-0000-0000C8020000}"/>
    <cellStyle name="20% - Accent5 2 6 2 2" xfId="7922" xr:uid="{00000000-0005-0000-0000-0000C9020000}"/>
    <cellStyle name="20% - Accent5 2 6 2 2 2" xfId="16417" xr:uid="{03341C00-AB51-4A53-AFF2-C428EBACE301}"/>
    <cellStyle name="20% - Accent5 2 6 2 3" xfId="12204" xr:uid="{6212424B-24FC-46FE-86EF-5969DDDF8DD4}"/>
    <cellStyle name="20% - Accent5 2 6 3" xfId="5777" xr:uid="{00000000-0005-0000-0000-0000CA020000}"/>
    <cellStyle name="20% - Accent5 2 6 3 2" xfId="14272" xr:uid="{CCBA9052-CD7B-4B06-A726-84BA4D32CF82}"/>
    <cellStyle name="20% - Accent5 2 6 4" xfId="10059" xr:uid="{F79A33C0-7011-4524-87AD-AB10803D670F}"/>
    <cellStyle name="20% - Accent5 2 7" xfId="1884" xr:uid="{00000000-0005-0000-0000-0000CB020000}"/>
    <cellStyle name="20% - Accent5 2 7 2" xfId="4113" xr:uid="{00000000-0005-0000-0000-0000CC020000}"/>
    <cellStyle name="20% - Accent5 2 7 2 2" xfId="8335" xr:uid="{00000000-0005-0000-0000-0000CD020000}"/>
    <cellStyle name="20% - Accent5 2 7 2 2 2" xfId="16830" xr:uid="{678F946D-6D48-49F0-81D3-AD2AB7039BAF}"/>
    <cellStyle name="20% - Accent5 2 7 2 3" xfId="12617" xr:uid="{8B3FB482-6B90-4ACC-A19D-3C113EC51317}"/>
    <cellStyle name="20% - Accent5 2 7 3" xfId="6190" xr:uid="{00000000-0005-0000-0000-0000CE020000}"/>
    <cellStyle name="20% - Accent5 2 7 3 2" xfId="14685" xr:uid="{F855DA19-E647-498A-AFB7-20521E1B3D27}"/>
    <cellStyle name="20% - Accent5 2 7 4" xfId="10472" xr:uid="{FAFF2279-7C2B-4786-B2A8-57056507BDFD}"/>
    <cellStyle name="20% - Accent5 2 8" xfId="2297" xr:uid="{00000000-0005-0000-0000-0000CF020000}"/>
    <cellStyle name="20% - Accent5 2 8 2" xfId="6603" xr:uid="{00000000-0005-0000-0000-0000D0020000}"/>
    <cellStyle name="20% - Accent5 2 8 2 2" xfId="15098" xr:uid="{BBDF9C73-D83F-4F5C-8E5E-F145596DB602}"/>
    <cellStyle name="20% - Accent5 2 8 3" xfId="10885" xr:uid="{3D3C1449-B52B-4C97-9DBD-A52DE4BA864A}"/>
    <cellStyle name="20% - Accent5 2 9" xfId="4537" xr:uid="{00000000-0005-0000-0000-0000D1020000}"/>
    <cellStyle name="20% - Accent5 2 9 2" xfId="13033" xr:uid="{D570C10A-1AF4-49CB-9D45-7B960BD9368C}"/>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5596" xr:uid="{72465A40-6389-4048-ABC6-277894AC418F}"/>
    <cellStyle name="20% - Accent5 3 2 2 2 3" xfId="11383" xr:uid="{8CDC764F-6F0F-4676-9EC9-8599BE2678EF}"/>
    <cellStyle name="20% - Accent5 3 2 2 3" xfId="4956" xr:uid="{00000000-0005-0000-0000-0000D7020000}"/>
    <cellStyle name="20% - Accent5 3 2 2 3 2" xfId="13451" xr:uid="{5EAB04B8-AE80-4311-B2D9-A3386A046618}"/>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009" xr:uid="{38006B72-0A11-418A-B310-3BD8AA1C2B50}"/>
    <cellStyle name="20% - Accent5 3 2 3 2 3" xfId="11796" xr:uid="{3A60C590-F721-499F-AF64-0C4985A1B071}"/>
    <cellStyle name="20% - Accent5 3 2 3 3" xfId="5369" xr:uid="{00000000-0005-0000-0000-0000DB020000}"/>
    <cellStyle name="20% - Accent5 3 2 3 3 2" xfId="13864" xr:uid="{BAD8AE56-CE09-4C6C-ACB5-8B9BB970774B}"/>
    <cellStyle name="20% - Accent5 3 2 3 4" xfId="9651" xr:uid="{D628C3A4-86CB-4CB4-BE08-02A932A558BE}"/>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6422" xr:uid="{97725660-8A7C-4E51-A035-523C815945D9}"/>
    <cellStyle name="20% - Accent5 3 2 4 2 3" xfId="12209" xr:uid="{6E71B738-294F-4542-BAB8-408C69AA1DEB}"/>
    <cellStyle name="20% - Accent5 3 2 4 3" xfId="5782" xr:uid="{00000000-0005-0000-0000-0000DF020000}"/>
    <cellStyle name="20% - Accent5 3 2 4 3 2" xfId="14277" xr:uid="{A4CF4380-6322-4AD8-9D9F-F5E9BA1C99FA}"/>
    <cellStyle name="20% - Accent5 3 2 4 4" xfId="10064" xr:uid="{8E84C707-D233-4FD5-A22F-C83BA890D412}"/>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6835" xr:uid="{CC5F5032-9345-48F7-9BF7-0811EE66D152}"/>
    <cellStyle name="20% - Accent5 3 2 5 2 3" xfId="12622" xr:uid="{07A3BA78-2BA6-4ABE-9DE0-D5BA3DEFBAA6}"/>
    <cellStyle name="20% - Accent5 3 2 5 3" xfId="6195" xr:uid="{00000000-0005-0000-0000-0000E3020000}"/>
    <cellStyle name="20% - Accent5 3 2 5 3 2" xfId="14690" xr:uid="{6BCD98E4-2375-41BF-9962-DE1824604565}"/>
    <cellStyle name="20% - Accent5 3 2 5 4" xfId="10477" xr:uid="{7F423850-653D-4AAD-8FC6-D054AC72DEC7}"/>
    <cellStyle name="20% - Accent5 3 2 6" xfId="2302" xr:uid="{00000000-0005-0000-0000-0000E4020000}"/>
    <cellStyle name="20% - Accent5 3 2 6 2" xfId="6608" xr:uid="{00000000-0005-0000-0000-0000E5020000}"/>
    <cellStyle name="20% - Accent5 3 2 6 2 2" xfId="15103" xr:uid="{F29B156D-1794-4714-84F1-7C3E222BD3F2}"/>
    <cellStyle name="20% - Accent5 3 2 6 3" xfId="10890" xr:uid="{3CB8ECC2-8055-49F0-BAD8-EAB56B0F5713}"/>
    <cellStyle name="20% - Accent5 3 2 7" xfId="4542" xr:uid="{00000000-0005-0000-0000-0000E6020000}"/>
    <cellStyle name="20% - Accent5 3 2 7 2" xfId="13038" xr:uid="{66EA6AD9-9BF8-4DE3-BD52-9A62AF94284C}"/>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2 2 2" xfId="15595" xr:uid="{3E58A8C2-4A17-4B46-85BF-7CCC70494C15}"/>
    <cellStyle name="20% - Accent5 3 3 2 3" xfId="11382" xr:uid="{7C9F1602-BBA5-487D-BDD2-B66CD91A3402}"/>
    <cellStyle name="20% - Accent5 3 3 3" xfId="4955" xr:uid="{00000000-0005-0000-0000-0000EA020000}"/>
    <cellStyle name="20% - Accent5 3 3 3 2" xfId="13450" xr:uid="{412E1CA2-0F7B-44FD-BF1E-5D42FB459A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008" xr:uid="{4D2820FC-61AD-4920-8569-DD43F597EC9E}"/>
    <cellStyle name="20% - Accent5 3 4 2 3" xfId="11795" xr:uid="{C8D81130-324F-4525-BD78-A45BDCAC7BDC}"/>
    <cellStyle name="20% - Accent5 3 4 3" xfId="5368" xr:uid="{00000000-0005-0000-0000-0000EE020000}"/>
    <cellStyle name="20% - Accent5 3 4 3 2" xfId="13863" xr:uid="{01D200D0-E74E-4D29-BDF5-303C374AF9C0}"/>
    <cellStyle name="20% - Accent5 3 4 4" xfId="9650" xr:uid="{97B96820-BD11-40B8-953A-FAEAF7E00275}"/>
    <cellStyle name="20% - Accent5 3 5" xfId="1474" xr:uid="{00000000-0005-0000-0000-0000EF020000}"/>
    <cellStyle name="20% - Accent5 3 5 2" xfId="3704" xr:uid="{00000000-0005-0000-0000-0000F0020000}"/>
    <cellStyle name="20% - Accent5 3 5 2 2" xfId="7926" xr:uid="{00000000-0005-0000-0000-0000F1020000}"/>
    <cellStyle name="20% - Accent5 3 5 2 2 2" xfId="16421" xr:uid="{96539A9A-FF6E-4774-B7B3-9D1178C1AD75}"/>
    <cellStyle name="20% - Accent5 3 5 2 3" xfId="12208" xr:uid="{DF633AE7-C52A-4124-82B0-DF8043DC6074}"/>
    <cellStyle name="20% - Accent5 3 5 3" xfId="5781" xr:uid="{00000000-0005-0000-0000-0000F2020000}"/>
    <cellStyle name="20% - Accent5 3 5 3 2" xfId="14276" xr:uid="{C5AB456F-725C-4D35-A1AD-6E302E28A420}"/>
    <cellStyle name="20% - Accent5 3 5 4" xfId="10063" xr:uid="{3901CE31-F1B4-46F8-BC10-580E6C8740D9}"/>
    <cellStyle name="20% - Accent5 3 6" xfId="1888" xr:uid="{00000000-0005-0000-0000-0000F3020000}"/>
    <cellStyle name="20% - Accent5 3 6 2" xfId="4117" xr:uid="{00000000-0005-0000-0000-0000F4020000}"/>
    <cellStyle name="20% - Accent5 3 6 2 2" xfId="8339" xr:uid="{00000000-0005-0000-0000-0000F5020000}"/>
    <cellStyle name="20% - Accent5 3 6 2 2 2" xfId="16834" xr:uid="{710CF19C-2E40-4F20-AFAD-B411AE902CA1}"/>
    <cellStyle name="20% - Accent5 3 6 2 3" xfId="12621" xr:uid="{D5E8F5B9-9937-403A-AC9C-39C73A56E243}"/>
    <cellStyle name="20% - Accent5 3 6 3" xfId="6194" xr:uid="{00000000-0005-0000-0000-0000F6020000}"/>
    <cellStyle name="20% - Accent5 3 6 3 2" xfId="14689" xr:uid="{36E10368-1A8B-483B-917C-3630AECD816E}"/>
    <cellStyle name="20% - Accent5 3 6 4" xfId="10476" xr:uid="{5D818AEA-E74E-4E52-803C-BDD9F2976670}"/>
    <cellStyle name="20% - Accent5 3 7" xfId="2301" xr:uid="{00000000-0005-0000-0000-0000F7020000}"/>
    <cellStyle name="20% - Accent5 3 7 2" xfId="6607" xr:uid="{00000000-0005-0000-0000-0000F8020000}"/>
    <cellStyle name="20% - Accent5 3 7 2 2" xfId="15102" xr:uid="{64B8BCC0-0106-4E35-A63C-C776713FF70E}"/>
    <cellStyle name="20% - Accent5 3 7 3" xfId="10889" xr:uid="{72A6DE0A-3CCC-45F3-88E8-50C0374A93FA}"/>
    <cellStyle name="20% - Accent5 3 8" xfId="4541" xr:uid="{00000000-0005-0000-0000-0000F9020000}"/>
    <cellStyle name="20% - Accent5 3 8 2" xfId="13037" xr:uid="{B9ACB5E6-E1EC-4D64-AD21-9FE969681318}"/>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5597" xr:uid="{7AA9ECAF-3AEF-40C9-91B7-0C5D6E47338E}"/>
    <cellStyle name="20% - Accent5 4 2 2 3" xfId="11384" xr:uid="{77FCB3E5-3577-4382-8461-7FBB7DD65C5B}"/>
    <cellStyle name="20% - Accent5 4 2 3" xfId="4957" xr:uid="{00000000-0005-0000-0000-0000FE020000}"/>
    <cellStyle name="20% - Accent5 4 2 3 2" xfId="13452" xr:uid="{53A14AAB-5B5F-432F-98DA-DF482537A492}"/>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010" xr:uid="{AE3DF8F5-07DA-441A-8EF4-AFA9695AF87B}"/>
    <cellStyle name="20% - Accent5 4 3 2 3" xfId="11797" xr:uid="{9B264395-F05C-4D79-BDE0-A118A3C06F6A}"/>
    <cellStyle name="20% - Accent5 4 3 3" xfId="5370" xr:uid="{00000000-0005-0000-0000-000002030000}"/>
    <cellStyle name="20% - Accent5 4 3 3 2" xfId="13865" xr:uid="{142A23A3-849D-46E7-98BD-FB81BF448403}"/>
    <cellStyle name="20% - Accent5 4 3 4" xfId="9652" xr:uid="{A0346767-4922-422E-B12D-00782DDAC87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6423" xr:uid="{B2E7C003-E651-4B60-A833-3FD6F7DC1901}"/>
    <cellStyle name="20% - Accent5 4 4 2 3" xfId="12210" xr:uid="{EC1C1501-568D-41ED-9D43-3331DE1FC562}"/>
    <cellStyle name="20% - Accent5 4 4 3" xfId="5783" xr:uid="{00000000-0005-0000-0000-000006030000}"/>
    <cellStyle name="20% - Accent5 4 4 3 2" xfId="14278" xr:uid="{F7850516-C4F3-47EE-B7FF-8A1B98289D2E}"/>
    <cellStyle name="20% - Accent5 4 4 4" xfId="10065" xr:uid="{C531732F-58A7-4E5D-8CB7-103B49767383}"/>
    <cellStyle name="20% - Accent5 4 5" xfId="1890" xr:uid="{00000000-0005-0000-0000-000007030000}"/>
    <cellStyle name="20% - Accent5 4 5 2" xfId="4119" xr:uid="{00000000-0005-0000-0000-000008030000}"/>
    <cellStyle name="20% - Accent5 4 5 2 2" xfId="8341" xr:uid="{00000000-0005-0000-0000-000009030000}"/>
    <cellStyle name="20% - Accent5 4 5 2 2 2" xfId="16836" xr:uid="{8D939D05-359C-4589-97CE-163133CB39C8}"/>
    <cellStyle name="20% - Accent5 4 5 2 3" xfId="12623" xr:uid="{7F47EA4C-40D4-4942-9DF4-734759EFE929}"/>
    <cellStyle name="20% - Accent5 4 5 3" xfId="6196" xr:uid="{00000000-0005-0000-0000-00000A030000}"/>
    <cellStyle name="20% - Accent5 4 5 3 2" xfId="14691" xr:uid="{5BD166F7-EB83-4CBA-AFF1-BDC7326B2916}"/>
    <cellStyle name="20% - Accent5 4 5 4" xfId="10478" xr:uid="{A527C2CF-D810-4B45-BCBC-BF8B2A9F31A2}"/>
    <cellStyle name="20% - Accent5 4 6" xfId="2303" xr:uid="{00000000-0005-0000-0000-00000B030000}"/>
    <cellStyle name="20% - Accent5 4 6 2" xfId="6609" xr:uid="{00000000-0005-0000-0000-00000C030000}"/>
    <cellStyle name="20% - Accent5 4 6 2 2" xfId="15104" xr:uid="{F90AFF43-2562-4C4B-A3A2-E76E9EDFBB56}"/>
    <cellStyle name="20% - Accent5 4 6 3" xfId="10891" xr:uid="{5E6A96C4-7422-46B0-8C66-717ACDE80F51}"/>
    <cellStyle name="20% - Accent5 4 7" xfId="4543" xr:uid="{00000000-0005-0000-0000-00000D030000}"/>
    <cellStyle name="20% - Accent5 4 7 2" xfId="13039" xr:uid="{CF685D9E-30DC-4EFA-BB55-FE5D58A2A11A}"/>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2 2 2" xfId="15590" xr:uid="{02161853-9DB4-48CB-BED6-DCF3A3F5FE30}"/>
    <cellStyle name="20% - Accent5 5 2 3" xfId="11377" xr:uid="{DC1A633D-E6CB-47DC-B9D2-2A1E54E08ADD}"/>
    <cellStyle name="20% - Accent5 5 3" xfId="4950" xr:uid="{00000000-0005-0000-0000-000011030000}"/>
    <cellStyle name="20% - Accent5 5 3 2" xfId="13445" xr:uid="{EA4AE563-4AB5-4A68-B597-EB903B707E4B}"/>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2 2 2" xfId="16003" xr:uid="{16AFD539-2B63-4BAC-AEE5-956CFA2E9268}"/>
    <cellStyle name="20% - Accent5 6 2 3" xfId="11790" xr:uid="{C31B440B-39E2-448E-93CF-3E348C4EDD98}"/>
    <cellStyle name="20% - Accent5 6 3" xfId="5363" xr:uid="{00000000-0005-0000-0000-000015030000}"/>
    <cellStyle name="20% - Accent5 6 3 2" xfId="13858" xr:uid="{33463D9E-80C5-4695-B212-AD7ECEC39CF4}"/>
    <cellStyle name="20% - Accent5 6 4" xfId="9645" xr:uid="{CF8C68F7-8402-467D-9C12-2A110C4684EF}"/>
    <cellStyle name="20% - Accent5 7" xfId="1469" xr:uid="{00000000-0005-0000-0000-000016030000}"/>
    <cellStyle name="20% - Accent5 7 2" xfId="3699" xr:uid="{00000000-0005-0000-0000-000017030000}"/>
    <cellStyle name="20% - Accent5 7 2 2" xfId="7921" xr:uid="{00000000-0005-0000-0000-000018030000}"/>
    <cellStyle name="20% - Accent5 7 2 2 2" xfId="16416" xr:uid="{ED049200-5524-4CA9-962E-A1DB8361CF24}"/>
    <cellStyle name="20% - Accent5 7 2 3" xfId="12203" xr:uid="{1E488A41-8D70-43F7-A69F-B4891B98E340}"/>
    <cellStyle name="20% - Accent5 7 3" xfId="5776" xr:uid="{00000000-0005-0000-0000-000019030000}"/>
    <cellStyle name="20% - Accent5 7 3 2" xfId="14271" xr:uid="{8BC1739E-7398-43AF-9FAD-DCEBBA5E5B62}"/>
    <cellStyle name="20% - Accent5 7 4" xfId="10058" xr:uid="{6703A9B3-47D3-4C9A-883F-0384BD23235B}"/>
    <cellStyle name="20% - Accent5 8" xfId="1883" xr:uid="{00000000-0005-0000-0000-00001A030000}"/>
    <cellStyle name="20% - Accent5 8 2" xfId="4112" xr:uid="{00000000-0005-0000-0000-00001B030000}"/>
    <cellStyle name="20% - Accent5 8 2 2" xfId="8334" xr:uid="{00000000-0005-0000-0000-00001C030000}"/>
    <cellStyle name="20% - Accent5 8 2 2 2" xfId="16829" xr:uid="{ECF30FE0-353B-489D-BD66-1CDF27FDF4D8}"/>
    <cellStyle name="20% - Accent5 8 2 3" xfId="12616" xr:uid="{9011A6AD-7E72-4C02-B9CB-BF1A872C4133}"/>
    <cellStyle name="20% - Accent5 8 3" xfId="6189" xr:uid="{00000000-0005-0000-0000-00001D030000}"/>
    <cellStyle name="20% - Accent5 8 3 2" xfId="14684" xr:uid="{3E970D19-FCF0-4ECF-B874-7C3918EDC23F}"/>
    <cellStyle name="20% - Accent5 8 4" xfId="10471" xr:uid="{704F76C5-37DA-4EEA-B20A-20CDB5610788}"/>
    <cellStyle name="20% - Accent5 9" xfId="2296" xr:uid="{00000000-0005-0000-0000-00001E030000}"/>
    <cellStyle name="20% - Accent5 9 2" xfId="6602" xr:uid="{00000000-0005-0000-0000-00001F030000}"/>
    <cellStyle name="20% - Accent5 9 2 2" xfId="15097" xr:uid="{5714D599-E967-4C18-8814-36D7F0CD7989}"/>
    <cellStyle name="20% - Accent5 9 3" xfId="10884" xr:uid="{753588B4-BE51-4F72-9030-9B74B16E7B7F}"/>
    <cellStyle name="20% - Accent6" xfId="41" builtinId="50" customBuiltin="1"/>
    <cellStyle name="20% - Accent6 10" xfId="4544" xr:uid="{00000000-0005-0000-0000-000021030000}"/>
    <cellStyle name="20% - Accent6 10 2" xfId="13040" xr:uid="{B156EF3D-D06C-4F0B-A786-A5B271A926A8}"/>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5601" xr:uid="{9D311FF0-CE14-4B0C-875E-B2F1FEFFCFF6}"/>
    <cellStyle name="20% - Accent6 2 2 2 2 2 3" xfId="11388" xr:uid="{9647D75C-5D3D-4926-87BB-E1A7BF10D4AC}"/>
    <cellStyle name="20% - Accent6 2 2 2 2 3" xfId="4961" xr:uid="{00000000-0005-0000-0000-000028030000}"/>
    <cellStyle name="20% - Accent6 2 2 2 2 3 2" xfId="13456" xr:uid="{11517A83-3237-4DAD-B898-D732355D4179}"/>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014" xr:uid="{4DD3E6B5-C29B-4E56-B189-AD22CC886E31}"/>
    <cellStyle name="20% - Accent6 2 2 2 3 2 3" xfId="11801" xr:uid="{C376CFE7-B1EE-48C1-BD2B-9C00A77FD6CB}"/>
    <cellStyle name="20% - Accent6 2 2 2 3 3" xfId="5374" xr:uid="{00000000-0005-0000-0000-00002C030000}"/>
    <cellStyle name="20% - Accent6 2 2 2 3 3 2" xfId="13869" xr:uid="{B5137CF4-333A-4A78-BF0E-F043A0955FD8}"/>
    <cellStyle name="20% - Accent6 2 2 2 3 4" xfId="9656" xr:uid="{730ABB32-5030-4A33-B451-D3BC6C6363C2}"/>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6427" xr:uid="{50F66320-83D8-43EE-A826-2E2C7CE518DD}"/>
    <cellStyle name="20% - Accent6 2 2 2 4 2 3" xfId="12214" xr:uid="{17C32B89-2D7E-4FD9-80DC-017F4796E9DE}"/>
    <cellStyle name="20% - Accent6 2 2 2 4 3" xfId="5787" xr:uid="{00000000-0005-0000-0000-000030030000}"/>
    <cellStyle name="20% - Accent6 2 2 2 4 3 2" xfId="14282" xr:uid="{8E2787FF-F0D9-48BF-A683-498FBA508D08}"/>
    <cellStyle name="20% - Accent6 2 2 2 4 4" xfId="10069" xr:uid="{9B6391CE-726C-4ED9-AA4F-CC98DA3EB981}"/>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6840" xr:uid="{375D3E6F-EC40-4BF4-BDCB-82E71E7AC5D9}"/>
    <cellStyle name="20% - Accent6 2 2 2 5 2 3" xfId="12627" xr:uid="{FF51CFF1-732C-4C71-90C2-7B97B437604E}"/>
    <cellStyle name="20% - Accent6 2 2 2 5 3" xfId="6200" xr:uid="{00000000-0005-0000-0000-000034030000}"/>
    <cellStyle name="20% - Accent6 2 2 2 5 3 2" xfId="14695" xr:uid="{FCA0938A-926A-4E7E-BF79-4828AB143335}"/>
    <cellStyle name="20% - Accent6 2 2 2 5 4" xfId="10482" xr:uid="{48A8FB3F-92E0-4358-990E-A0483BD38BD1}"/>
    <cellStyle name="20% - Accent6 2 2 2 6" xfId="2307" xr:uid="{00000000-0005-0000-0000-000035030000}"/>
    <cellStyle name="20% - Accent6 2 2 2 6 2" xfId="6613" xr:uid="{00000000-0005-0000-0000-000036030000}"/>
    <cellStyle name="20% - Accent6 2 2 2 6 2 2" xfId="15108" xr:uid="{B08E662C-336B-4C60-9960-9EC3DE8B7F82}"/>
    <cellStyle name="20% - Accent6 2 2 2 6 3" xfId="10895" xr:uid="{320AA7AA-A5B6-456B-B5D7-FAD4C08F2AFA}"/>
    <cellStyle name="20% - Accent6 2 2 2 7" xfId="4547" xr:uid="{00000000-0005-0000-0000-000037030000}"/>
    <cellStyle name="20% - Accent6 2 2 2 7 2" xfId="13043" xr:uid="{783DE4A9-0E2C-49A8-807A-B981E446EF0D}"/>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5600" xr:uid="{21355723-E374-4A9A-B01F-0A2C19F2FB3C}"/>
    <cellStyle name="20% - Accent6 2 2 3 2 3" xfId="11387" xr:uid="{4D6F13A8-3664-49EE-839A-4573A6DDD4B2}"/>
    <cellStyle name="20% - Accent6 2 2 3 3" xfId="4960" xr:uid="{00000000-0005-0000-0000-00003B030000}"/>
    <cellStyle name="20% - Accent6 2 2 3 3 2" xfId="13455" xr:uid="{4F7F252A-9A7C-427A-BFE0-4B9360373866}"/>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013" xr:uid="{4D1F2D36-3B38-492B-BC6B-13034E187402}"/>
    <cellStyle name="20% - Accent6 2 2 4 2 3" xfId="11800" xr:uid="{AD7A7023-8340-4EF4-950B-359D0CDCA93E}"/>
    <cellStyle name="20% - Accent6 2 2 4 3" xfId="5373" xr:uid="{00000000-0005-0000-0000-00003F030000}"/>
    <cellStyle name="20% - Accent6 2 2 4 3 2" xfId="13868" xr:uid="{5CBDA59E-DB13-4EED-AA00-E13F9CF1378C}"/>
    <cellStyle name="20% - Accent6 2 2 4 4" xfId="9655" xr:uid="{99908DC3-3890-4B07-A83E-63A9BB60A6C8}"/>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6426" xr:uid="{2B639660-96A4-4EBF-B2C6-8E6B8CEC496E}"/>
    <cellStyle name="20% - Accent6 2 2 5 2 3" xfId="12213" xr:uid="{AEDB48F4-EB56-45F9-8B99-1A95EEAC5ACB}"/>
    <cellStyle name="20% - Accent6 2 2 5 3" xfId="5786" xr:uid="{00000000-0005-0000-0000-000043030000}"/>
    <cellStyle name="20% - Accent6 2 2 5 3 2" xfId="14281" xr:uid="{2B83A42D-9DE5-49EA-8D54-B2850AA10DC9}"/>
    <cellStyle name="20% - Accent6 2 2 5 4" xfId="10068" xr:uid="{65BFC93B-C529-4D0E-8115-7B5656D85165}"/>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6839" xr:uid="{2F7182DA-CE79-4089-84B6-E912334A323E}"/>
    <cellStyle name="20% - Accent6 2 2 6 2 3" xfId="12626" xr:uid="{975561F9-1DDF-4FFD-A2AC-0112F6CD2512}"/>
    <cellStyle name="20% - Accent6 2 2 6 3" xfId="6199" xr:uid="{00000000-0005-0000-0000-000047030000}"/>
    <cellStyle name="20% - Accent6 2 2 6 3 2" xfId="14694" xr:uid="{568148E5-9C19-4A8D-A3FB-2660F10EAF06}"/>
    <cellStyle name="20% - Accent6 2 2 6 4" xfId="10481" xr:uid="{61EC541D-D306-4613-B1AE-6B1622B32759}"/>
    <cellStyle name="20% - Accent6 2 2 7" xfId="2306" xr:uid="{00000000-0005-0000-0000-000048030000}"/>
    <cellStyle name="20% - Accent6 2 2 7 2" xfId="6612" xr:uid="{00000000-0005-0000-0000-000049030000}"/>
    <cellStyle name="20% - Accent6 2 2 7 2 2" xfId="15107" xr:uid="{0192CC2B-B711-45FB-850C-FBEE29C10A6D}"/>
    <cellStyle name="20% - Accent6 2 2 7 3" xfId="10894" xr:uid="{9DA3979A-E474-452B-9269-66A700E5D8E1}"/>
    <cellStyle name="20% - Accent6 2 2 8" xfId="4546" xr:uid="{00000000-0005-0000-0000-00004A030000}"/>
    <cellStyle name="20% - Accent6 2 2 8 2" xfId="13042" xr:uid="{BFBCDC12-EDCD-4566-80D0-7F4B04781462}"/>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5602" xr:uid="{EBDE9577-893B-4DD1-B78F-2B5971A95ED7}"/>
    <cellStyle name="20% - Accent6 2 3 2 2 3" xfId="11389" xr:uid="{1EE45BAD-462D-4938-BD05-4103549A0121}"/>
    <cellStyle name="20% - Accent6 2 3 2 3" xfId="4962" xr:uid="{00000000-0005-0000-0000-00004F030000}"/>
    <cellStyle name="20% - Accent6 2 3 2 3 2" xfId="13457" xr:uid="{20F3DC86-BCE9-46F5-ADED-45F7E82E7591}"/>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015" xr:uid="{0F8B49AC-7C15-461C-BFA0-EE426A6E2B28}"/>
    <cellStyle name="20% - Accent6 2 3 3 2 3" xfId="11802" xr:uid="{DBE2CBFE-B89B-4DE8-83DC-1B0ED28B7D16}"/>
    <cellStyle name="20% - Accent6 2 3 3 3" xfId="5375" xr:uid="{00000000-0005-0000-0000-000053030000}"/>
    <cellStyle name="20% - Accent6 2 3 3 3 2" xfId="13870" xr:uid="{C0779DED-87B6-4F21-8E64-8570AEA5E24F}"/>
    <cellStyle name="20% - Accent6 2 3 3 4" xfId="9657" xr:uid="{FE9982B6-7D87-4A14-9DDB-88A33A2C4307}"/>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6428" xr:uid="{1C9841CC-98BB-49B0-A6A7-2C5C58722069}"/>
    <cellStyle name="20% - Accent6 2 3 4 2 3" xfId="12215" xr:uid="{9A5C1BCB-C2C6-4737-B9B8-EFC065E2ED62}"/>
    <cellStyle name="20% - Accent6 2 3 4 3" xfId="5788" xr:uid="{00000000-0005-0000-0000-000057030000}"/>
    <cellStyle name="20% - Accent6 2 3 4 3 2" xfId="14283" xr:uid="{DB4ADE80-E1BC-4393-9A85-489D90009D9E}"/>
    <cellStyle name="20% - Accent6 2 3 4 4" xfId="10070" xr:uid="{EB6A530F-94B8-4CE9-BDA1-93981840EB6C}"/>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6841" xr:uid="{5202AC34-55F6-4F2E-BC80-E9831D55D2F6}"/>
    <cellStyle name="20% - Accent6 2 3 5 2 3" xfId="12628" xr:uid="{8BC359B9-8367-400E-A7AA-CF23474A20D9}"/>
    <cellStyle name="20% - Accent6 2 3 5 3" xfId="6201" xr:uid="{00000000-0005-0000-0000-00005B030000}"/>
    <cellStyle name="20% - Accent6 2 3 5 3 2" xfId="14696" xr:uid="{07E30E48-A809-4271-BAE8-E4B25FA7719B}"/>
    <cellStyle name="20% - Accent6 2 3 5 4" xfId="10483" xr:uid="{CAA78E75-E574-4701-BFAA-6FB9A10EE76F}"/>
    <cellStyle name="20% - Accent6 2 3 6" xfId="2308" xr:uid="{00000000-0005-0000-0000-00005C030000}"/>
    <cellStyle name="20% - Accent6 2 3 6 2" xfId="6614" xr:uid="{00000000-0005-0000-0000-00005D030000}"/>
    <cellStyle name="20% - Accent6 2 3 6 2 2" xfId="15109" xr:uid="{C12287D2-8BA7-4CCC-8090-836A55DCBB3B}"/>
    <cellStyle name="20% - Accent6 2 3 6 3" xfId="10896" xr:uid="{41A7FC92-80C2-4A13-BEA3-460C28B263F5}"/>
    <cellStyle name="20% - Accent6 2 3 7" xfId="4548" xr:uid="{00000000-0005-0000-0000-00005E030000}"/>
    <cellStyle name="20% - Accent6 2 3 7 2" xfId="13044" xr:uid="{9BD416C7-011C-4CBD-BED2-37BDE2A6CDB8}"/>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2 2 2" xfId="15599" xr:uid="{65785049-559A-4304-A55C-239F9DFB8B19}"/>
    <cellStyle name="20% - Accent6 2 4 2 3" xfId="11386" xr:uid="{035B857A-3B6A-4AAD-976C-C42389F1CA16}"/>
    <cellStyle name="20% - Accent6 2 4 3" xfId="4959" xr:uid="{00000000-0005-0000-0000-000062030000}"/>
    <cellStyle name="20% - Accent6 2 4 3 2" xfId="13454" xr:uid="{5D0C1535-345B-49AA-A6D2-15F6C7F2A3AA}"/>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012" xr:uid="{9D3E9577-91C2-42EF-8D4A-8702F1708A94}"/>
    <cellStyle name="20% - Accent6 2 5 2 3" xfId="11799" xr:uid="{EF3DF845-5537-4E77-9580-FF758C3F816A}"/>
    <cellStyle name="20% - Accent6 2 5 3" xfId="5372" xr:uid="{00000000-0005-0000-0000-000066030000}"/>
    <cellStyle name="20% - Accent6 2 5 3 2" xfId="13867" xr:uid="{43216A81-8335-49A2-A438-52D376F5D876}"/>
    <cellStyle name="20% - Accent6 2 5 4" xfId="9654" xr:uid="{2F66EFFD-DC3A-46A3-8DC8-AC31C4F972B9}"/>
    <cellStyle name="20% - Accent6 2 6" xfId="1478" xr:uid="{00000000-0005-0000-0000-000067030000}"/>
    <cellStyle name="20% - Accent6 2 6 2" xfId="3708" xr:uid="{00000000-0005-0000-0000-000068030000}"/>
    <cellStyle name="20% - Accent6 2 6 2 2" xfId="7930" xr:uid="{00000000-0005-0000-0000-000069030000}"/>
    <cellStyle name="20% - Accent6 2 6 2 2 2" xfId="16425" xr:uid="{F0F3F95C-69DB-4E56-B4EC-95282B184E51}"/>
    <cellStyle name="20% - Accent6 2 6 2 3" xfId="12212" xr:uid="{7A8ABAAE-A3CD-4A8D-898A-19EB8E28F27F}"/>
    <cellStyle name="20% - Accent6 2 6 3" xfId="5785" xr:uid="{00000000-0005-0000-0000-00006A030000}"/>
    <cellStyle name="20% - Accent6 2 6 3 2" xfId="14280" xr:uid="{94F7DCDB-B4F0-4F5F-9B65-FBA65642F299}"/>
    <cellStyle name="20% - Accent6 2 6 4" xfId="10067" xr:uid="{94CB7E26-2BDF-460A-8718-F042380B75DC}"/>
    <cellStyle name="20% - Accent6 2 7" xfId="1892" xr:uid="{00000000-0005-0000-0000-00006B030000}"/>
    <cellStyle name="20% - Accent6 2 7 2" xfId="4121" xr:uid="{00000000-0005-0000-0000-00006C030000}"/>
    <cellStyle name="20% - Accent6 2 7 2 2" xfId="8343" xr:uid="{00000000-0005-0000-0000-00006D030000}"/>
    <cellStyle name="20% - Accent6 2 7 2 2 2" xfId="16838" xr:uid="{26953149-5BDF-407F-81F1-39E9383B5E72}"/>
    <cellStyle name="20% - Accent6 2 7 2 3" xfId="12625" xr:uid="{38219D99-4673-4D1E-A079-D18792C8F9BA}"/>
    <cellStyle name="20% - Accent6 2 7 3" xfId="6198" xr:uid="{00000000-0005-0000-0000-00006E030000}"/>
    <cellStyle name="20% - Accent6 2 7 3 2" xfId="14693" xr:uid="{B8DF5567-9E85-4998-AD84-AD4781252D34}"/>
    <cellStyle name="20% - Accent6 2 7 4" xfId="10480" xr:uid="{C9FF432B-45B3-41F4-88C8-D72DDDDED1E8}"/>
    <cellStyle name="20% - Accent6 2 8" xfId="2305" xr:uid="{00000000-0005-0000-0000-00006F030000}"/>
    <cellStyle name="20% - Accent6 2 8 2" xfId="6611" xr:uid="{00000000-0005-0000-0000-000070030000}"/>
    <cellStyle name="20% - Accent6 2 8 2 2" xfId="15106" xr:uid="{E7E7DB54-80C4-4998-B9D6-D837D5BD4B2F}"/>
    <cellStyle name="20% - Accent6 2 8 3" xfId="10893" xr:uid="{E8B95272-CACA-4D01-8213-A5381F9CBA53}"/>
    <cellStyle name="20% - Accent6 2 9" xfId="4545" xr:uid="{00000000-0005-0000-0000-000071030000}"/>
    <cellStyle name="20% - Accent6 2 9 2" xfId="13041" xr:uid="{96CFE66F-06C2-4BCA-9549-5BB3192BD271}"/>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5604" xr:uid="{4251A9BC-8B10-4279-873C-585A2EC46D80}"/>
    <cellStyle name="20% - Accent6 3 2 2 2 3" xfId="11391" xr:uid="{7AFF0F84-90DD-412D-A3D2-0455429A1ECE}"/>
    <cellStyle name="20% - Accent6 3 2 2 3" xfId="4964" xr:uid="{00000000-0005-0000-0000-000077030000}"/>
    <cellStyle name="20% - Accent6 3 2 2 3 2" xfId="13459" xr:uid="{63F3D8F4-3067-42E4-85E3-DA3ECD18107B}"/>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017" xr:uid="{FCD009D9-9779-4C32-B466-754B6797ACDB}"/>
    <cellStyle name="20% - Accent6 3 2 3 2 3" xfId="11804" xr:uid="{EB9A860A-619D-41CE-810E-D9C1F23F670B}"/>
    <cellStyle name="20% - Accent6 3 2 3 3" xfId="5377" xr:uid="{00000000-0005-0000-0000-00007B030000}"/>
    <cellStyle name="20% - Accent6 3 2 3 3 2" xfId="13872" xr:uid="{04B1C9F8-29D7-4D02-B5BC-D5988BF1A58E}"/>
    <cellStyle name="20% - Accent6 3 2 3 4" xfId="9659" xr:uid="{2B83AEA1-1150-47D7-A2A0-3A1C86659B58}"/>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6430" xr:uid="{3BF971AE-C74D-4962-ACF0-E458F4BF7020}"/>
    <cellStyle name="20% - Accent6 3 2 4 2 3" xfId="12217" xr:uid="{9DCC93C8-5207-4A26-A36E-79881312B460}"/>
    <cellStyle name="20% - Accent6 3 2 4 3" xfId="5790" xr:uid="{00000000-0005-0000-0000-00007F030000}"/>
    <cellStyle name="20% - Accent6 3 2 4 3 2" xfId="14285" xr:uid="{F074DF57-E689-4A8D-8D47-18A75ADBC63F}"/>
    <cellStyle name="20% - Accent6 3 2 4 4" xfId="10072" xr:uid="{4EE0FA7A-E1C0-4FBC-B722-5FB0F731649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6843" xr:uid="{7F7FA31C-8F78-4691-8DCE-91528C943B69}"/>
    <cellStyle name="20% - Accent6 3 2 5 2 3" xfId="12630" xr:uid="{988B397F-AF31-47EC-95C1-F797D80BE216}"/>
    <cellStyle name="20% - Accent6 3 2 5 3" xfId="6203" xr:uid="{00000000-0005-0000-0000-000083030000}"/>
    <cellStyle name="20% - Accent6 3 2 5 3 2" xfId="14698" xr:uid="{EA182D7B-AE93-4F7F-9DFC-11E7F7081088}"/>
    <cellStyle name="20% - Accent6 3 2 5 4" xfId="10485" xr:uid="{5ED39FC1-0595-4F37-852D-8B7E5E0C8A39}"/>
    <cellStyle name="20% - Accent6 3 2 6" xfId="2310" xr:uid="{00000000-0005-0000-0000-000084030000}"/>
    <cellStyle name="20% - Accent6 3 2 6 2" xfId="6616" xr:uid="{00000000-0005-0000-0000-000085030000}"/>
    <cellStyle name="20% - Accent6 3 2 6 2 2" xfId="15111" xr:uid="{0A1D7430-A12B-41DB-B856-0B880186AAA8}"/>
    <cellStyle name="20% - Accent6 3 2 6 3" xfId="10898" xr:uid="{7FE5F51A-E3D0-40C5-8F29-4F0FE37D6586}"/>
    <cellStyle name="20% - Accent6 3 2 7" xfId="4550" xr:uid="{00000000-0005-0000-0000-000086030000}"/>
    <cellStyle name="20% - Accent6 3 2 7 2" xfId="13046" xr:uid="{63ED3A08-EC1A-4483-A3F5-349C7B0A26EF}"/>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2 2 2" xfId="15603" xr:uid="{C0A2E6B1-F036-4ADF-A572-528ABB4CA90F}"/>
    <cellStyle name="20% - Accent6 3 3 2 3" xfId="11390" xr:uid="{01EE4F53-0E9D-4455-AB3E-982E7A3CBDA8}"/>
    <cellStyle name="20% - Accent6 3 3 3" xfId="4963" xr:uid="{00000000-0005-0000-0000-00008A030000}"/>
    <cellStyle name="20% - Accent6 3 3 3 2" xfId="13458" xr:uid="{7C42B71F-E695-45BE-B8BC-BCD01C689763}"/>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016" xr:uid="{AFB99F22-6419-40AA-9F06-7C178CB957DE}"/>
    <cellStyle name="20% - Accent6 3 4 2 3" xfId="11803" xr:uid="{640716B9-D667-43B5-BB12-8B3C0416C763}"/>
    <cellStyle name="20% - Accent6 3 4 3" xfId="5376" xr:uid="{00000000-0005-0000-0000-00008E030000}"/>
    <cellStyle name="20% - Accent6 3 4 3 2" xfId="13871" xr:uid="{30DEFE89-B13D-4E20-A205-70C47B423737}"/>
    <cellStyle name="20% - Accent6 3 4 4" xfId="9658" xr:uid="{F2FB768A-E943-49F3-899D-81186DFAA0FE}"/>
    <cellStyle name="20% - Accent6 3 5" xfId="1482" xr:uid="{00000000-0005-0000-0000-00008F030000}"/>
    <cellStyle name="20% - Accent6 3 5 2" xfId="3712" xr:uid="{00000000-0005-0000-0000-000090030000}"/>
    <cellStyle name="20% - Accent6 3 5 2 2" xfId="7934" xr:uid="{00000000-0005-0000-0000-000091030000}"/>
    <cellStyle name="20% - Accent6 3 5 2 2 2" xfId="16429" xr:uid="{5E43BE5F-2D9A-4F2C-ABA8-294F77AFAB26}"/>
    <cellStyle name="20% - Accent6 3 5 2 3" xfId="12216" xr:uid="{8FF89387-F18E-4ACA-80FD-D6612B791EBD}"/>
    <cellStyle name="20% - Accent6 3 5 3" xfId="5789" xr:uid="{00000000-0005-0000-0000-000092030000}"/>
    <cellStyle name="20% - Accent6 3 5 3 2" xfId="14284" xr:uid="{7009D953-23FD-4A6A-8A56-214AB96B9E2C}"/>
    <cellStyle name="20% - Accent6 3 5 4" xfId="10071" xr:uid="{8BC9521F-128B-49B9-AA65-979F399F9814}"/>
    <cellStyle name="20% - Accent6 3 6" xfId="1896" xr:uid="{00000000-0005-0000-0000-000093030000}"/>
    <cellStyle name="20% - Accent6 3 6 2" xfId="4125" xr:uid="{00000000-0005-0000-0000-000094030000}"/>
    <cellStyle name="20% - Accent6 3 6 2 2" xfId="8347" xr:uid="{00000000-0005-0000-0000-000095030000}"/>
    <cellStyle name="20% - Accent6 3 6 2 2 2" xfId="16842" xr:uid="{5535F6E5-780D-46B7-A95D-01BA05CCB481}"/>
    <cellStyle name="20% - Accent6 3 6 2 3" xfId="12629" xr:uid="{B828E621-2785-4BFD-B5F9-1110E21A540A}"/>
    <cellStyle name="20% - Accent6 3 6 3" xfId="6202" xr:uid="{00000000-0005-0000-0000-000096030000}"/>
    <cellStyle name="20% - Accent6 3 6 3 2" xfId="14697" xr:uid="{6E07D5E2-2CBA-4CE9-9F47-616B318D26C8}"/>
    <cellStyle name="20% - Accent6 3 6 4" xfId="10484" xr:uid="{8192FAEE-E098-4C59-BAEF-69CF48749BE3}"/>
    <cellStyle name="20% - Accent6 3 7" xfId="2309" xr:uid="{00000000-0005-0000-0000-000097030000}"/>
    <cellStyle name="20% - Accent6 3 7 2" xfId="6615" xr:uid="{00000000-0005-0000-0000-000098030000}"/>
    <cellStyle name="20% - Accent6 3 7 2 2" xfId="15110" xr:uid="{3FE1DD93-767F-43B3-BE35-D80E3B2F0122}"/>
    <cellStyle name="20% - Accent6 3 7 3" xfId="10897" xr:uid="{D27C5142-5281-48DB-940A-20DEF330E4E9}"/>
    <cellStyle name="20% - Accent6 3 8" xfId="4549" xr:uid="{00000000-0005-0000-0000-000099030000}"/>
    <cellStyle name="20% - Accent6 3 8 2" xfId="13045" xr:uid="{17AEE37C-1890-40F5-A596-776A9F33B595}"/>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5605" xr:uid="{D683E49B-B9CC-4754-8A7D-1103C580EA22}"/>
    <cellStyle name="20% - Accent6 4 2 2 3" xfId="11392" xr:uid="{FE57E964-59B3-48EA-B28C-422506124F67}"/>
    <cellStyle name="20% - Accent6 4 2 3" xfId="4965" xr:uid="{00000000-0005-0000-0000-00009E030000}"/>
    <cellStyle name="20% - Accent6 4 2 3 2" xfId="13460" xr:uid="{7D07299E-D01E-4094-83C8-2E04F07A3F5D}"/>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018" xr:uid="{9ACA828B-0627-45C9-9E57-F69BCE4535B9}"/>
    <cellStyle name="20% - Accent6 4 3 2 3" xfId="11805" xr:uid="{C7EAF478-D010-477C-A1D5-C7E426003692}"/>
    <cellStyle name="20% - Accent6 4 3 3" xfId="5378" xr:uid="{00000000-0005-0000-0000-0000A2030000}"/>
    <cellStyle name="20% - Accent6 4 3 3 2" xfId="13873" xr:uid="{F082B4CA-60DF-41F9-8756-A8A574E0B425}"/>
    <cellStyle name="20% - Accent6 4 3 4" xfId="9660" xr:uid="{6B057984-2E7E-4FBE-850D-F578F979505F}"/>
    <cellStyle name="20% - Accent6 4 4" xfId="1484" xr:uid="{00000000-0005-0000-0000-0000A3030000}"/>
    <cellStyle name="20% - Accent6 4 4 2" xfId="3714" xr:uid="{00000000-0005-0000-0000-0000A4030000}"/>
    <cellStyle name="20% - Accent6 4 4 2 2" xfId="7936" xr:uid="{00000000-0005-0000-0000-0000A5030000}"/>
    <cellStyle name="20% - Accent6 4 4 2 2 2" xfId="16431" xr:uid="{545EC5BE-40FA-4B2D-B67C-C23A27BE0D71}"/>
    <cellStyle name="20% - Accent6 4 4 2 3" xfId="12218" xr:uid="{27DBF055-2D88-44AF-B482-34F07DDD66F7}"/>
    <cellStyle name="20% - Accent6 4 4 3" xfId="5791" xr:uid="{00000000-0005-0000-0000-0000A6030000}"/>
    <cellStyle name="20% - Accent6 4 4 3 2" xfId="14286" xr:uid="{30EF52FC-48C6-4DB4-BD89-E26053C2D3E6}"/>
    <cellStyle name="20% - Accent6 4 4 4" xfId="10073" xr:uid="{4DEBEF89-C61D-4631-9C28-2FB7C606458C}"/>
    <cellStyle name="20% - Accent6 4 5" xfId="1898" xr:uid="{00000000-0005-0000-0000-0000A7030000}"/>
    <cellStyle name="20% - Accent6 4 5 2" xfId="4127" xr:uid="{00000000-0005-0000-0000-0000A8030000}"/>
    <cellStyle name="20% - Accent6 4 5 2 2" xfId="8349" xr:uid="{00000000-0005-0000-0000-0000A9030000}"/>
    <cellStyle name="20% - Accent6 4 5 2 2 2" xfId="16844" xr:uid="{E2C1D1F6-1242-4E93-9447-CDC84E196E31}"/>
    <cellStyle name="20% - Accent6 4 5 2 3" xfId="12631" xr:uid="{2751810B-338F-4E22-B3D4-536EF0885C55}"/>
    <cellStyle name="20% - Accent6 4 5 3" xfId="6204" xr:uid="{00000000-0005-0000-0000-0000AA030000}"/>
    <cellStyle name="20% - Accent6 4 5 3 2" xfId="14699" xr:uid="{A245D7D6-3D19-40B1-A5B2-CDB86640FD8C}"/>
    <cellStyle name="20% - Accent6 4 5 4" xfId="10486" xr:uid="{5953C2AC-A850-4CC1-98C1-044212A1561F}"/>
    <cellStyle name="20% - Accent6 4 6" xfId="2311" xr:uid="{00000000-0005-0000-0000-0000AB030000}"/>
    <cellStyle name="20% - Accent6 4 6 2" xfId="6617" xr:uid="{00000000-0005-0000-0000-0000AC030000}"/>
    <cellStyle name="20% - Accent6 4 6 2 2" xfId="15112" xr:uid="{B856C458-7B17-4CA9-A25B-B10048A8EE40}"/>
    <cellStyle name="20% - Accent6 4 6 3" xfId="10899" xr:uid="{A317822E-C7BA-4B20-B5C8-59832FF4A894}"/>
    <cellStyle name="20% - Accent6 4 7" xfId="4551" xr:uid="{00000000-0005-0000-0000-0000AD030000}"/>
    <cellStyle name="20% - Accent6 4 7 2" xfId="13047" xr:uid="{C68E9E21-602C-4F9B-A9E0-852ECA22288A}"/>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2 2 2" xfId="15598" xr:uid="{C824A036-08A5-4819-80EC-5AB8D659B02B}"/>
    <cellStyle name="20% - Accent6 5 2 3" xfId="11385" xr:uid="{0232AF65-5A91-45C8-BA2E-70B5EA2CAB80}"/>
    <cellStyle name="20% - Accent6 5 3" xfId="4958" xr:uid="{00000000-0005-0000-0000-0000B1030000}"/>
    <cellStyle name="20% - Accent6 5 3 2" xfId="13453" xr:uid="{1F02915C-675A-47AF-816B-A6D048A3DAD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2 2 2" xfId="16011" xr:uid="{B3B34DDE-C1F4-4943-8270-2070124D7E75}"/>
    <cellStyle name="20% - Accent6 6 2 3" xfId="11798" xr:uid="{5D75F9AC-A695-4205-9C10-B3EBEDF4D4E5}"/>
    <cellStyle name="20% - Accent6 6 3" xfId="5371" xr:uid="{00000000-0005-0000-0000-0000B5030000}"/>
    <cellStyle name="20% - Accent6 6 3 2" xfId="13866" xr:uid="{99AAD8BB-402B-4305-A8D6-B292423DFD11}"/>
    <cellStyle name="20% - Accent6 6 4" xfId="9653" xr:uid="{5E0D07C6-C5CE-4B25-9093-C9C5436790A6}"/>
    <cellStyle name="20% - Accent6 7" xfId="1477" xr:uid="{00000000-0005-0000-0000-0000B6030000}"/>
    <cellStyle name="20% - Accent6 7 2" xfId="3707" xr:uid="{00000000-0005-0000-0000-0000B7030000}"/>
    <cellStyle name="20% - Accent6 7 2 2" xfId="7929" xr:uid="{00000000-0005-0000-0000-0000B8030000}"/>
    <cellStyle name="20% - Accent6 7 2 2 2" xfId="16424" xr:uid="{44FA8668-9477-451C-ACF3-3605150E5773}"/>
    <cellStyle name="20% - Accent6 7 2 3" xfId="12211" xr:uid="{5B49502F-5072-49A3-812F-8EB1F7B3315F}"/>
    <cellStyle name="20% - Accent6 7 3" xfId="5784" xr:uid="{00000000-0005-0000-0000-0000B9030000}"/>
    <cellStyle name="20% - Accent6 7 3 2" xfId="14279" xr:uid="{A9469A15-C102-4B0F-BEE7-D14C804AD980}"/>
    <cellStyle name="20% - Accent6 7 4" xfId="10066" xr:uid="{A3565B31-A231-4117-91E3-FC7BBC01DAF5}"/>
    <cellStyle name="20% - Accent6 8" xfId="1891" xr:uid="{00000000-0005-0000-0000-0000BA030000}"/>
    <cellStyle name="20% - Accent6 8 2" xfId="4120" xr:uid="{00000000-0005-0000-0000-0000BB030000}"/>
    <cellStyle name="20% - Accent6 8 2 2" xfId="8342" xr:uid="{00000000-0005-0000-0000-0000BC030000}"/>
    <cellStyle name="20% - Accent6 8 2 2 2" xfId="16837" xr:uid="{F0C9F1E8-A32D-42F3-B166-814F9371C3DD}"/>
    <cellStyle name="20% - Accent6 8 2 3" xfId="12624" xr:uid="{DABD46B9-103D-46DC-882D-5120DA44CD9B}"/>
    <cellStyle name="20% - Accent6 8 3" xfId="6197" xr:uid="{00000000-0005-0000-0000-0000BD030000}"/>
    <cellStyle name="20% - Accent6 8 3 2" xfId="14692" xr:uid="{E60114D7-6B4B-4AD4-8483-8E77561E737A}"/>
    <cellStyle name="20% - Accent6 8 4" xfId="10479" xr:uid="{7913ADAA-42FC-4B15-8E68-8E46BCA73528}"/>
    <cellStyle name="20% - Accent6 9" xfId="2304" xr:uid="{00000000-0005-0000-0000-0000BE030000}"/>
    <cellStyle name="20% - Accent6 9 2" xfId="6610" xr:uid="{00000000-0005-0000-0000-0000BF030000}"/>
    <cellStyle name="20% - Accent6 9 2 2" xfId="15105" xr:uid="{D3F9A28F-2AE5-4638-B1C3-3D82AC45E44F}"/>
    <cellStyle name="20% - Accent6 9 3" xfId="10892" xr:uid="{0F69F4C6-9D82-4CF3-90C7-4BD8D5AFC980}"/>
    <cellStyle name="40% - Accent1" xfId="49" builtinId="31" customBuiltin="1"/>
    <cellStyle name="40% - Accent1 10" xfId="4552" xr:uid="{00000000-0005-0000-0000-0000C1030000}"/>
    <cellStyle name="40% - Accent1 10 2" xfId="13048" xr:uid="{E7FD62EB-3658-4991-B4B2-E41EEBC77737}"/>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5609" xr:uid="{CAC7CED9-CE45-4447-8A7C-61BCDEF4B00E}"/>
    <cellStyle name="40% - Accent1 2 2 2 2 2 3" xfId="11396" xr:uid="{1D0745D7-CF3B-471C-8CCA-C24FD96136C0}"/>
    <cellStyle name="40% - Accent1 2 2 2 2 3" xfId="4969" xr:uid="{00000000-0005-0000-0000-0000C8030000}"/>
    <cellStyle name="40% - Accent1 2 2 2 2 3 2" xfId="13464" xr:uid="{60014294-CC84-491F-864B-3BE90F5E73EA}"/>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022" xr:uid="{F876E7DF-A82D-4736-ACC4-B29DD118208B}"/>
    <cellStyle name="40% - Accent1 2 2 2 3 2 3" xfId="11809" xr:uid="{4046CB90-CB1B-4616-8BF6-6DB95E3BE27D}"/>
    <cellStyle name="40% - Accent1 2 2 2 3 3" xfId="5382" xr:uid="{00000000-0005-0000-0000-0000CC030000}"/>
    <cellStyle name="40% - Accent1 2 2 2 3 3 2" xfId="13877" xr:uid="{62C03B49-4008-4B7D-A31B-153277B11AB8}"/>
    <cellStyle name="40% - Accent1 2 2 2 3 4" xfId="9664" xr:uid="{012FFF2A-BC6E-49A4-A316-8F4E7C111899}"/>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6435" xr:uid="{D9629245-E737-4873-939B-D6F69EC7AEA6}"/>
    <cellStyle name="40% - Accent1 2 2 2 4 2 3" xfId="12222" xr:uid="{45C66754-7016-4FAE-B7FD-26835457D846}"/>
    <cellStyle name="40% - Accent1 2 2 2 4 3" xfId="5795" xr:uid="{00000000-0005-0000-0000-0000D0030000}"/>
    <cellStyle name="40% - Accent1 2 2 2 4 3 2" xfId="14290" xr:uid="{DCF079D8-281E-46CE-A20D-89C383B78541}"/>
    <cellStyle name="40% - Accent1 2 2 2 4 4" xfId="10077" xr:uid="{9A76ACEC-0BBE-4249-A5B6-1135D97B8983}"/>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6848" xr:uid="{A3A0729B-DB2C-4326-8507-12FAE3B7E302}"/>
    <cellStyle name="40% - Accent1 2 2 2 5 2 3" xfId="12635" xr:uid="{147A529D-3F64-411D-8C8A-034FB0115579}"/>
    <cellStyle name="40% - Accent1 2 2 2 5 3" xfId="6208" xr:uid="{00000000-0005-0000-0000-0000D4030000}"/>
    <cellStyle name="40% - Accent1 2 2 2 5 3 2" xfId="14703" xr:uid="{CA175FD8-8AE4-4747-A044-6F16DF4CCF7A}"/>
    <cellStyle name="40% - Accent1 2 2 2 5 4" xfId="10490" xr:uid="{A306345F-C8B7-4514-A17E-4EE3EAC6AFAC}"/>
    <cellStyle name="40% - Accent1 2 2 2 6" xfId="2315" xr:uid="{00000000-0005-0000-0000-0000D5030000}"/>
    <cellStyle name="40% - Accent1 2 2 2 6 2" xfId="6621" xr:uid="{00000000-0005-0000-0000-0000D6030000}"/>
    <cellStyle name="40% - Accent1 2 2 2 6 2 2" xfId="15116" xr:uid="{1D8B2A0B-A53E-46F2-8EB5-D857A878C9B6}"/>
    <cellStyle name="40% - Accent1 2 2 2 6 3" xfId="10903" xr:uid="{7EFA7DC8-31BE-4114-A6C2-46F2A6E8742B}"/>
    <cellStyle name="40% - Accent1 2 2 2 7" xfId="4555" xr:uid="{00000000-0005-0000-0000-0000D7030000}"/>
    <cellStyle name="40% - Accent1 2 2 2 7 2" xfId="13051" xr:uid="{EC16C98B-364A-41B3-AF2C-11E2DB78DDBA}"/>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5608" xr:uid="{E0FF5798-4B7C-4932-98C6-4E8CA0413193}"/>
    <cellStyle name="40% - Accent1 2 2 3 2 3" xfId="11395" xr:uid="{F71B20B6-53E8-4C8E-B922-6714E959AA12}"/>
    <cellStyle name="40% - Accent1 2 2 3 3" xfId="4968" xr:uid="{00000000-0005-0000-0000-0000DB030000}"/>
    <cellStyle name="40% - Accent1 2 2 3 3 2" xfId="13463" xr:uid="{8DA23299-FF9B-4C9B-88C1-6C6F87038D96}"/>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021" xr:uid="{0ADB0CBF-BA51-4CDC-8624-7A352C45450F}"/>
    <cellStyle name="40% - Accent1 2 2 4 2 3" xfId="11808" xr:uid="{26A502CA-09F8-4017-830E-A1320A42D1A1}"/>
    <cellStyle name="40% - Accent1 2 2 4 3" xfId="5381" xr:uid="{00000000-0005-0000-0000-0000DF030000}"/>
    <cellStyle name="40% - Accent1 2 2 4 3 2" xfId="13876" xr:uid="{73FCD419-145E-4095-B39A-B4CA6C9F9B3F}"/>
    <cellStyle name="40% - Accent1 2 2 4 4" xfId="9663" xr:uid="{6980ACBE-60C6-4F6C-9F0D-3745788F53A4}"/>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6434" xr:uid="{8AF917E4-233A-453E-90E6-B1485D01C51F}"/>
    <cellStyle name="40% - Accent1 2 2 5 2 3" xfId="12221" xr:uid="{48FFEC03-54BF-425E-88BE-298106AFA909}"/>
    <cellStyle name="40% - Accent1 2 2 5 3" xfId="5794" xr:uid="{00000000-0005-0000-0000-0000E3030000}"/>
    <cellStyle name="40% - Accent1 2 2 5 3 2" xfId="14289" xr:uid="{D43A23DB-2705-49C0-9743-97F4D07A7784}"/>
    <cellStyle name="40% - Accent1 2 2 5 4" xfId="10076" xr:uid="{800A3C91-668F-491C-9869-A30B72ABB691}"/>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6847" xr:uid="{3276589A-4768-4006-BF34-D1E026163138}"/>
    <cellStyle name="40% - Accent1 2 2 6 2 3" xfId="12634" xr:uid="{0310AF6A-1D94-4266-97ED-2FF669589269}"/>
    <cellStyle name="40% - Accent1 2 2 6 3" xfId="6207" xr:uid="{00000000-0005-0000-0000-0000E7030000}"/>
    <cellStyle name="40% - Accent1 2 2 6 3 2" xfId="14702" xr:uid="{F863FDCB-6962-4058-B2C3-1C4286CE8071}"/>
    <cellStyle name="40% - Accent1 2 2 6 4" xfId="10489" xr:uid="{BFD6BD72-D8F3-4F5F-A6A9-165E18DDB541}"/>
    <cellStyle name="40% - Accent1 2 2 7" xfId="2314" xr:uid="{00000000-0005-0000-0000-0000E8030000}"/>
    <cellStyle name="40% - Accent1 2 2 7 2" xfId="6620" xr:uid="{00000000-0005-0000-0000-0000E9030000}"/>
    <cellStyle name="40% - Accent1 2 2 7 2 2" xfId="15115" xr:uid="{FAB0B4A2-6609-4E99-ADCD-0089BB21D4D8}"/>
    <cellStyle name="40% - Accent1 2 2 7 3" xfId="10902" xr:uid="{0812B4D7-CAFC-4062-A34C-74F4E2A1AA77}"/>
    <cellStyle name="40% - Accent1 2 2 8" xfId="4554" xr:uid="{00000000-0005-0000-0000-0000EA030000}"/>
    <cellStyle name="40% - Accent1 2 2 8 2" xfId="13050" xr:uid="{000ED9BE-EF91-445E-81A2-E44217B8B161}"/>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5610" xr:uid="{C1BDD97E-10B1-4C8C-8ED7-B52FE2A6AE33}"/>
    <cellStyle name="40% - Accent1 2 3 2 2 3" xfId="11397" xr:uid="{D8F2A503-BFD9-43E8-BD95-DB6FDF73314F}"/>
    <cellStyle name="40% - Accent1 2 3 2 3" xfId="4970" xr:uid="{00000000-0005-0000-0000-0000EF030000}"/>
    <cellStyle name="40% - Accent1 2 3 2 3 2" xfId="13465" xr:uid="{1A80C6C6-62EA-453B-B408-2AB20575AF6C}"/>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023" xr:uid="{163454F4-0B58-41F1-AC6C-C313DFEB091C}"/>
    <cellStyle name="40% - Accent1 2 3 3 2 3" xfId="11810" xr:uid="{9CE9CC6B-6B4B-46EC-977B-B8F28BCACB63}"/>
    <cellStyle name="40% - Accent1 2 3 3 3" xfId="5383" xr:uid="{00000000-0005-0000-0000-0000F3030000}"/>
    <cellStyle name="40% - Accent1 2 3 3 3 2" xfId="13878" xr:uid="{3BDE107F-9472-47DE-99EA-B7B8EA2C9A4C}"/>
    <cellStyle name="40% - Accent1 2 3 3 4" xfId="9665" xr:uid="{D6A9B31A-8FF5-4907-A23C-C8952B0DD103}"/>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6436" xr:uid="{06F66C81-7855-4BCF-905D-FC21620851EB}"/>
    <cellStyle name="40% - Accent1 2 3 4 2 3" xfId="12223" xr:uid="{654B26C2-3EB0-4A78-90AD-5EEC4F627E47}"/>
    <cellStyle name="40% - Accent1 2 3 4 3" xfId="5796" xr:uid="{00000000-0005-0000-0000-0000F7030000}"/>
    <cellStyle name="40% - Accent1 2 3 4 3 2" xfId="14291" xr:uid="{8AFF80A9-9126-4603-8630-92EBD2783922}"/>
    <cellStyle name="40% - Accent1 2 3 4 4" xfId="10078" xr:uid="{FDF9D262-B7BD-4120-8BE9-6902148764AA}"/>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6849" xr:uid="{29ED8D0F-9A2E-4031-A265-9C8D70C200D4}"/>
    <cellStyle name="40% - Accent1 2 3 5 2 3" xfId="12636" xr:uid="{48EF0439-F915-4A15-8594-5A1ABA1F3FDC}"/>
    <cellStyle name="40% - Accent1 2 3 5 3" xfId="6209" xr:uid="{00000000-0005-0000-0000-0000FB030000}"/>
    <cellStyle name="40% - Accent1 2 3 5 3 2" xfId="14704" xr:uid="{7B29A673-93C9-4D3B-B764-DA40DDC714BE}"/>
    <cellStyle name="40% - Accent1 2 3 5 4" xfId="10491" xr:uid="{D8752FF5-7B9A-4E35-BFDC-752F20E36214}"/>
    <cellStyle name="40% - Accent1 2 3 6" xfId="2316" xr:uid="{00000000-0005-0000-0000-0000FC030000}"/>
    <cellStyle name="40% - Accent1 2 3 6 2" xfId="6622" xr:uid="{00000000-0005-0000-0000-0000FD030000}"/>
    <cellStyle name="40% - Accent1 2 3 6 2 2" xfId="15117" xr:uid="{9F596492-700C-40EB-8600-6995C3E0AC2D}"/>
    <cellStyle name="40% - Accent1 2 3 6 3" xfId="10904" xr:uid="{F3A627CE-9AE6-4721-8ACA-CA1AA4ADB2EF}"/>
    <cellStyle name="40% - Accent1 2 3 7" xfId="4556" xr:uid="{00000000-0005-0000-0000-0000FE030000}"/>
    <cellStyle name="40% - Accent1 2 3 7 2" xfId="13052" xr:uid="{49FA0815-B713-431E-972E-9CC33FCB9D47}"/>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2 2 2" xfId="15607" xr:uid="{AB7907FB-D14E-4E30-A89C-6D8E12E796E6}"/>
    <cellStyle name="40% - Accent1 2 4 2 3" xfId="11394" xr:uid="{415CFDDB-30FF-4FB5-8380-3DDBA31E61C5}"/>
    <cellStyle name="40% - Accent1 2 4 3" xfId="4967" xr:uid="{00000000-0005-0000-0000-000002040000}"/>
    <cellStyle name="40% - Accent1 2 4 3 2" xfId="13462" xr:uid="{29714CF8-028E-49D9-9A03-46044E3A571A}"/>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020" xr:uid="{662EE54B-7F57-4011-8788-A30C7A648AA6}"/>
    <cellStyle name="40% - Accent1 2 5 2 3" xfId="11807" xr:uid="{2FF7CFDC-CA7D-458E-B0E1-FAFF275D0F1E}"/>
    <cellStyle name="40% - Accent1 2 5 3" xfId="5380" xr:uid="{00000000-0005-0000-0000-000006040000}"/>
    <cellStyle name="40% - Accent1 2 5 3 2" xfId="13875" xr:uid="{9B68582F-5212-407B-8319-637F9A359541}"/>
    <cellStyle name="40% - Accent1 2 5 4" xfId="9662" xr:uid="{757C20D3-9DC5-4F04-9EC8-34C39980C976}"/>
    <cellStyle name="40% - Accent1 2 6" xfId="1486" xr:uid="{00000000-0005-0000-0000-000007040000}"/>
    <cellStyle name="40% - Accent1 2 6 2" xfId="3716" xr:uid="{00000000-0005-0000-0000-000008040000}"/>
    <cellStyle name="40% - Accent1 2 6 2 2" xfId="7938" xr:uid="{00000000-0005-0000-0000-000009040000}"/>
    <cellStyle name="40% - Accent1 2 6 2 2 2" xfId="16433" xr:uid="{E8ABF0D9-C518-4AF3-8614-A242DA6328A9}"/>
    <cellStyle name="40% - Accent1 2 6 2 3" xfId="12220" xr:uid="{B24F6F92-11C6-4B2A-9231-E52A97C3893A}"/>
    <cellStyle name="40% - Accent1 2 6 3" xfId="5793" xr:uid="{00000000-0005-0000-0000-00000A040000}"/>
    <cellStyle name="40% - Accent1 2 6 3 2" xfId="14288" xr:uid="{E0103469-9C6A-49AD-AE08-0CAE212B2C7E}"/>
    <cellStyle name="40% - Accent1 2 6 4" xfId="10075" xr:uid="{9A7A8A7D-8932-4CFD-BC08-600171CCD231}"/>
    <cellStyle name="40% - Accent1 2 7" xfId="1900" xr:uid="{00000000-0005-0000-0000-00000B040000}"/>
    <cellStyle name="40% - Accent1 2 7 2" xfId="4129" xr:uid="{00000000-0005-0000-0000-00000C040000}"/>
    <cellStyle name="40% - Accent1 2 7 2 2" xfId="8351" xr:uid="{00000000-0005-0000-0000-00000D040000}"/>
    <cellStyle name="40% - Accent1 2 7 2 2 2" xfId="16846" xr:uid="{E666BDB7-3940-4CC8-B679-20CB3AC089F4}"/>
    <cellStyle name="40% - Accent1 2 7 2 3" xfId="12633" xr:uid="{8ACC1E69-0FD0-4B8B-AD1A-16E512D148E8}"/>
    <cellStyle name="40% - Accent1 2 7 3" xfId="6206" xr:uid="{00000000-0005-0000-0000-00000E040000}"/>
    <cellStyle name="40% - Accent1 2 7 3 2" xfId="14701" xr:uid="{EE319320-41A5-4536-AB2F-1C42B5D317C7}"/>
    <cellStyle name="40% - Accent1 2 7 4" xfId="10488" xr:uid="{B1B1B5EF-68E4-4517-B699-9D48631E318A}"/>
    <cellStyle name="40% - Accent1 2 8" xfId="2313" xr:uid="{00000000-0005-0000-0000-00000F040000}"/>
    <cellStyle name="40% - Accent1 2 8 2" xfId="6619" xr:uid="{00000000-0005-0000-0000-000010040000}"/>
    <cellStyle name="40% - Accent1 2 8 2 2" xfId="15114" xr:uid="{47E6DF8F-29BA-401A-B8DE-35581432EB24}"/>
    <cellStyle name="40% - Accent1 2 8 3" xfId="10901" xr:uid="{D73C0A5C-FA1F-49A0-9DE0-788D1A502EA7}"/>
    <cellStyle name="40% - Accent1 2 9" xfId="4553" xr:uid="{00000000-0005-0000-0000-000011040000}"/>
    <cellStyle name="40% - Accent1 2 9 2" xfId="13049" xr:uid="{939B42A5-F3C9-4B46-8127-1F8BA32B2CD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5612" xr:uid="{A4D73025-CFEF-4BE0-8A5D-E36778043FFC}"/>
    <cellStyle name="40% - Accent1 3 2 2 2 3" xfId="11399" xr:uid="{2E25789D-319A-49FC-820E-428B14C6E863}"/>
    <cellStyle name="40% - Accent1 3 2 2 3" xfId="4972" xr:uid="{00000000-0005-0000-0000-000017040000}"/>
    <cellStyle name="40% - Accent1 3 2 2 3 2" xfId="13467" xr:uid="{A78D3F88-F713-44F4-A6D4-F260C83C8559}"/>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025" xr:uid="{6A107F2C-518B-4F9B-ADDA-8E93EDE9C301}"/>
    <cellStyle name="40% - Accent1 3 2 3 2 3" xfId="11812" xr:uid="{766215E1-C219-40D2-ACF6-9BC027B4ADF2}"/>
    <cellStyle name="40% - Accent1 3 2 3 3" xfId="5385" xr:uid="{00000000-0005-0000-0000-00001B040000}"/>
    <cellStyle name="40% - Accent1 3 2 3 3 2" xfId="13880" xr:uid="{C532B20E-DB5E-4EEF-B0C7-2DBEA7AA3FA4}"/>
    <cellStyle name="40% - Accent1 3 2 3 4" xfId="9667" xr:uid="{794F74C9-1A64-4078-8CC5-9D06CF98E05D}"/>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6438" xr:uid="{D4E94CEF-C3D5-4203-B005-9093FD60F9CD}"/>
    <cellStyle name="40% - Accent1 3 2 4 2 3" xfId="12225" xr:uid="{240BDA24-B214-4685-A9FF-4766C276C21D}"/>
    <cellStyle name="40% - Accent1 3 2 4 3" xfId="5798" xr:uid="{00000000-0005-0000-0000-00001F040000}"/>
    <cellStyle name="40% - Accent1 3 2 4 3 2" xfId="14293" xr:uid="{838F15C0-D32E-4F90-9736-AF31FFAD49A1}"/>
    <cellStyle name="40% - Accent1 3 2 4 4" xfId="10080" xr:uid="{BD0C9E8E-B4DB-4F19-95F9-9C0DCA891B59}"/>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6851" xr:uid="{6E665073-F7AF-44C9-B5B1-BF8AF3BAE47C}"/>
    <cellStyle name="40% - Accent1 3 2 5 2 3" xfId="12638" xr:uid="{AC86192A-7751-4B85-B0D7-5088F2637874}"/>
    <cellStyle name="40% - Accent1 3 2 5 3" xfId="6211" xr:uid="{00000000-0005-0000-0000-000023040000}"/>
    <cellStyle name="40% - Accent1 3 2 5 3 2" xfId="14706" xr:uid="{5BB48684-FD14-47E3-8A3A-0DF74F74459D}"/>
    <cellStyle name="40% - Accent1 3 2 5 4" xfId="10493" xr:uid="{44E16F36-F857-4CFF-892B-ECD3E5E2FEAB}"/>
    <cellStyle name="40% - Accent1 3 2 6" xfId="2318" xr:uid="{00000000-0005-0000-0000-000024040000}"/>
    <cellStyle name="40% - Accent1 3 2 6 2" xfId="6624" xr:uid="{00000000-0005-0000-0000-000025040000}"/>
    <cellStyle name="40% - Accent1 3 2 6 2 2" xfId="15119" xr:uid="{90BE5CFF-4A6A-43B7-8BAC-4CCD75692C38}"/>
    <cellStyle name="40% - Accent1 3 2 6 3" xfId="10906" xr:uid="{5919CFDB-4993-4059-A4DF-64F2EA854052}"/>
    <cellStyle name="40% - Accent1 3 2 7" xfId="4558" xr:uid="{00000000-0005-0000-0000-000026040000}"/>
    <cellStyle name="40% - Accent1 3 2 7 2" xfId="13054" xr:uid="{471F0D0C-A4D8-4F0D-8FA5-0BD3F6BBE697}"/>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2 2 2" xfId="15611" xr:uid="{8E9ABB3D-2BCB-43FF-8411-A76E853D3720}"/>
    <cellStyle name="40% - Accent1 3 3 2 3" xfId="11398" xr:uid="{814946A1-7A00-448E-8DB5-663200BA8BEC}"/>
    <cellStyle name="40% - Accent1 3 3 3" xfId="4971" xr:uid="{00000000-0005-0000-0000-00002A040000}"/>
    <cellStyle name="40% - Accent1 3 3 3 2" xfId="13466" xr:uid="{6376B9B9-E8A4-4AEB-8F29-2D3F91971E4C}"/>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024" xr:uid="{636F99CA-EF7B-492E-A9C5-C942B1A4DBD0}"/>
    <cellStyle name="40% - Accent1 3 4 2 3" xfId="11811" xr:uid="{4197458D-2EAC-4BDB-A91E-876E85FFA85E}"/>
    <cellStyle name="40% - Accent1 3 4 3" xfId="5384" xr:uid="{00000000-0005-0000-0000-00002E040000}"/>
    <cellStyle name="40% - Accent1 3 4 3 2" xfId="13879" xr:uid="{34AF43BC-553A-43A3-829F-7EE2EBB0D222}"/>
    <cellStyle name="40% - Accent1 3 4 4" xfId="9666" xr:uid="{1E0C517C-EC25-47BD-9ECA-B1A0471888D3}"/>
    <cellStyle name="40% - Accent1 3 5" xfId="1490" xr:uid="{00000000-0005-0000-0000-00002F040000}"/>
    <cellStyle name="40% - Accent1 3 5 2" xfId="3720" xr:uid="{00000000-0005-0000-0000-000030040000}"/>
    <cellStyle name="40% - Accent1 3 5 2 2" xfId="7942" xr:uid="{00000000-0005-0000-0000-000031040000}"/>
    <cellStyle name="40% - Accent1 3 5 2 2 2" xfId="16437" xr:uid="{11D090D6-5664-4047-9055-E29AF810FC76}"/>
    <cellStyle name="40% - Accent1 3 5 2 3" xfId="12224" xr:uid="{D7907F00-EF7C-4DDE-A8C6-313E4D67D776}"/>
    <cellStyle name="40% - Accent1 3 5 3" xfId="5797" xr:uid="{00000000-0005-0000-0000-000032040000}"/>
    <cellStyle name="40% - Accent1 3 5 3 2" xfId="14292" xr:uid="{3424B8EE-AA91-41EE-BA2C-B70A0690BB68}"/>
    <cellStyle name="40% - Accent1 3 5 4" xfId="10079" xr:uid="{E25D662C-83C2-4363-9F75-24B7156AA5F3}"/>
    <cellStyle name="40% - Accent1 3 6" xfId="1904" xr:uid="{00000000-0005-0000-0000-000033040000}"/>
    <cellStyle name="40% - Accent1 3 6 2" xfId="4133" xr:uid="{00000000-0005-0000-0000-000034040000}"/>
    <cellStyle name="40% - Accent1 3 6 2 2" xfId="8355" xr:uid="{00000000-0005-0000-0000-000035040000}"/>
    <cellStyle name="40% - Accent1 3 6 2 2 2" xfId="16850" xr:uid="{58BE2E91-C7B6-491F-9846-54BCD6CF3855}"/>
    <cellStyle name="40% - Accent1 3 6 2 3" xfId="12637" xr:uid="{03AE851E-7813-4933-8455-3B72ED4C83F0}"/>
    <cellStyle name="40% - Accent1 3 6 3" xfId="6210" xr:uid="{00000000-0005-0000-0000-000036040000}"/>
    <cellStyle name="40% - Accent1 3 6 3 2" xfId="14705" xr:uid="{6ECCB840-3266-4994-95CC-B9096F08B9C1}"/>
    <cellStyle name="40% - Accent1 3 6 4" xfId="10492" xr:uid="{B73CE8B3-AE49-4591-B3D5-EBD4AA979B2B}"/>
    <cellStyle name="40% - Accent1 3 7" xfId="2317" xr:uid="{00000000-0005-0000-0000-000037040000}"/>
    <cellStyle name="40% - Accent1 3 7 2" xfId="6623" xr:uid="{00000000-0005-0000-0000-000038040000}"/>
    <cellStyle name="40% - Accent1 3 7 2 2" xfId="15118" xr:uid="{072A34E4-B6DD-47CE-9D96-BACB1E257439}"/>
    <cellStyle name="40% - Accent1 3 7 3" xfId="10905" xr:uid="{86709E79-77A8-4A79-9CD8-B22066056584}"/>
    <cellStyle name="40% - Accent1 3 8" xfId="4557" xr:uid="{00000000-0005-0000-0000-000039040000}"/>
    <cellStyle name="40% - Accent1 3 8 2" xfId="13053" xr:uid="{DAD03A62-1061-4B70-AC15-E7EE03566937}"/>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5613" xr:uid="{28A32B1D-540D-471B-BE3D-ADD59AEB9571}"/>
    <cellStyle name="40% - Accent1 4 2 2 3" xfId="11400" xr:uid="{0AEAF419-5487-4640-A868-599C70E2090B}"/>
    <cellStyle name="40% - Accent1 4 2 3" xfId="4973" xr:uid="{00000000-0005-0000-0000-00003E040000}"/>
    <cellStyle name="40% - Accent1 4 2 3 2" xfId="13468" xr:uid="{88357E57-DDF1-4B45-BF04-C08C57F550F1}"/>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026" xr:uid="{AD519257-C453-4C47-B5A4-39D295D44AB9}"/>
    <cellStyle name="40% - Accent1 4 3 2 3" xfId="11813" xr:uid="{0A9504D3-19C0-4AA1-92DB-A44B23D6F150}"/>
    <cellStyle name="40% - Accent1 4 3 3" xfId="5386" xr:uid="{00000000-0005-0000-0000-000042040000}"/>
    <cellStyle name="40% - Accent1 4 3 3 2" xfId="13881" xr:uid="{36F74E7F-B09C-427A-AECF-AB810124F5F1}"/>
    <cellStyle name="40% - Accent1 4 3 4" xfId="9668" xr:uid="{5AFEFE79-3D22-4E11-A8FA-82F09CA3E694}"/>
    <cellStyle name="40% - Accent1 4 4" xfId="1492" xr:uid="{00000000-0005-0000-0000-000043040000}"/>
    <cellStyle name="40% - Accent1 4 4 2" xfId="3722" xr:uid="{00000000-0005-0000-0000-000044040000}"/>
    <cellStyle name="40% - Accent1 4 4 2 2" xfId="7944" xr:uid="{00000000-0005-0000-0000-000045040000}"/>
    <cellStyle name="40% - Accent1 4 4 2 2 2" xfId="16439" xr:uid="{C8DDE522-E294-41A5-951D-87D06ABE59AB}"/>
    <cellStyle name="40% - Accent1 4 4 2 3" xfId="12226" xr:uid="{615CBE73-C230-4235-BFE1-D301105EE701}"/>
    <cellStyle name="40% - Accent1 4 4 3" xfId="5799" xr:uid="{00000000-0005-0000-0000-000046040000}"/>
    <cellStyle name="40% - Accent1 4 4 3 2" xfId="14294" xr:uid="{CD978239-8C91-439E-95F6-8F69DE9930E9}"/>
    <cellStyle name="40% - Accent1 4 4 4" xfId="10081" xr:uid="{6EEEDF3E-A2F5-45F7-87A7-E1653D94670D}"/>
    <cellStyle name="40% - Accent1 4 5" xfId="1906" xr:uid="{00000000-0005-0000-0000-000047040000}"/>
    <cellStyle name="40% - Accent1 4 5 2" xfId="4135" xr:uid="{00000000-0005-0000-0000-000048040000}"/>
    <cellStyle name="40% - Accent1 4 5 2 2" xfId="8357" xr:uid="{00000000-0005-0000-0000-000049040000}"/>
    <cellStyle name="40% - Accent1 4 5 2 2 2" xfId="16852" xr:uid="{12C2AE86-8BF8-46E4-A55C-75313FD86B53}"/>
    <cellStyle name="40% - Accent1 4 5 2 3" xfId="12639" xr:uid="{8F51D9C3-33EA-46AC-9B03-CD294800D69D}"/>
    <cellStyle name="40% - Accent1 4 5 3" xfId="6212" xr:uid="{00000000-0005-0000-0000-00004A040000}"/>
    <cellStyle name="40% - Accent1 4 5 3 2" xfId="14707" xr:uid="{1123C6EA-933B-4CE5-8DB3-9CB5C1B221BD}"/>
    <cellStyle name="40% - Accent1 4 5 4" xfId="10494" xr:uid="{CD6AF5B3-E5FC-4C1F-BF9D-B6F33D5950E5}"/>
    <cellStyle name="40% - Accent1 4 6" xfId="2319" xr:uid="{00000000-0005-0000-0000-00004B040000}"/>
    <cellStyle name="40% - Accent1 4 6 2" xfId="6625" xr:uid="{00000000-0005-0000-0000-00004C040000}"/>
    <cellStyle name="40% - Accent1 4 6 2 2" xfId="15120" xr:uid="{38033D69-70CF-480F-ACA8-43FB42CF0B80}"/>
    <cellStyle name="40% - Accent1 4 6 3" xfId="10907" xr:uid="{12B5A2F9-AC5B-43DE-9A61-AC7CAEC1ED4A}"/>
    <cellStyle name="40% - Accent1 4 7" xfId="4559" xr:uid="{00000000-0005-0000-0000-00004D040000}"/>
    <cellStyle name="40% - Accent1 4 7 2" xfId="13055" xr:uid="{40284B69-6803-49D1-B3F1-4C1874A18975}"/>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2 2 2" xfId="15606" xr:uid="{BA1D0945-B216-4C94-9FFC-B7692275BCF1}"/>
    <cellStyle name="40% - Accent1 5 2 3" xfId="11393" xr:uid="{82F2ACBB-7A91-4F2F-93AC-012E04FCF429}"/>
    <cellStyle name="40% - Accent1 5 3" xfId="4966" xr:uid="{00000000-0005-0000-0000-000051040000}"/>
    <cellStyle name="40% - Accent1 5 3 2" xfId="13461" xr:uid="{D24AC1B3-2C21-4F0B-9146-12EF25816D76}"/>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2 2 2" xfId="16019" xr:uid="{AAD976B7-BBFC-439E-86A6-872EAF631F49}"/>
    <cellStyle name="40% - Accent1 6 2 3" xfId="11806" xr:uid="{C5664888-6739-4FB1-9A5F-7A96C67115CC}"/>
    <cellStyle name="40% - Accent1 6 3" xfId="5379" xr:uid="{00000000-0005-0000-0000-000055040000}"/>
    <cellStyle name="40% - Accent1 6 3 2" xfId="13874" xr:uid="{4AB8A1B9-22AE-4293-BAB9-CB25F04A9B2B}"/>
    <cellStyle name="40% - Accent1 6 4" xfId="9661" xr:uid="{690057A9-7E7D-439D-BECB-178148AF6B72}"/>
    <cellStyle name="40% - Accent1 7" xfId="1485" xr:uid="{00000000-0005-0000-0000-000056040000}"/>
    <cellStyle name="40% - Accent1 7 2" xfId="3715" xr:uid="{00000000-0005-0000-0000-000057040000}"/>
    <cellStyle name="40% - Accent1 7 2 2" xfId="7937" xr:uid="{00000000-0005-0000-0000-000058040000}"/>
    <cellStyle name="40% - Accent1 7 2 2 2" xfId="16432" xr:uid="{2E8216CA-3E1E-41C7-9727-305B5949EF05}"/>
    <cellStyle name="40% - Accent1 7 2 3" xfId="12219" xr:uid="{A342A966-6F92-42D3-8B98-492DD26FFEE5}"/>
    <cellStyle name="40% - Accent1 7 3" xfId="5792" xr:uid="{00000000-0005-0000-0000-000059040000}"/>
    <cellStyle name="40% - Accent1 7 3 2" xfId="14287" xr:uid="{2D9CBDD6-126F-46EB-878B-31FC0EEACD3A}"/>
    <cellStyle name="40% - Accent1 7 4" xfId="10074" xr:uid="{787E8EBC-D8C7-49CB-921F-AAF9DF070EFA}"/>
    <cellStyle name="40% - Accent1 8" xfId="1899" xr:uid="{00000000-0005-0000-0000-00005A040000}"/>
    <cellStyle name="40% - Accent1 8 2" xfId="4128" xr:uid="{00000000-0005-0000-0000-00005B040000}"/>
    <cellStyle name="40% - Accent1 8 2 2" xfId="8350" xr:uid="{00000000-0005-0000-0000-00005C040000}"/>
    <cellStyle name="40% - Accent1 8 2 2 2" xfId="16845" xr:uid="{079498F8-5557-4801-A9A6-39E0FBB595EF}"/>
    <cellStyle name="40% - Accent1 8 2 3" xfId="12632" xr:uid="{7C0D8342-2952-4FE3-9200-A432D03443AD}"/>
    <cellStyle name="40% - Accent1 8 3" xfId="6205" xr:uid="{00000000-0005-0000-0000-00005D040000}"/>
    <cellStyle name="40% - Accent1 8 3 2" xfId="14700" xr:uid="{B2D61399-0BD7-4046-967A-63D6522E686E}"/>
    <cellStyle name="40% - Accent1 8 4" xfId="10487" xr:uid="{71A5B290-B4AE-4C95-9CC9-C069D0E402EE}"/>
    <cellStyle name="40% - Accent1 9" xfId="2312" xr:uid="{00000000-0005-0000-0000-00005E040000}"/>
    <cellStyle name="40% - Accent1 9 2" xfId="6618" xr:uid="{00000000-0005-0000-0000-00005F040000}"/>
    <cellStyle name="40% - Accent1 9 2 2" xfId="15113" xr:uid="{D0E4B7B8-8386-4E67-B97D-54464A138D9E}"/>
    <cellStyle name="40% - Accent1 9 3" xfId="10900" xr:uid="{2BBD7C43-5A23-4FCB-8D33-C2DFFBEAB39A}"/>
    <cellStyle name="40% - Accent2" xfId="57" builtinId="35" customBuiltin="1"/>
    <cellStyle name="40% - Accent2 10" xfId="4560" xr:uid="{00000000-0005-0000-0000-000061040000}"/>
    <cellStyle name="40% - Accent2 10 2" xfId="13056" xr:uid="{27379876-3B0D-41BC-BA82-6467ECB94A13}"/>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5617" xr:uid="{22ABAA6A-0A0E-4B25-89D2-2911ADE66040}"/>
    <cellStyle name="40% - Accent2 2 2 2 2 2 3" xfId="11404" xr:uid="{C7CB3717-4296-455A-8E1B-81E7EF9C1AE3}"/>
    <cellStyle name="40% - Accent2 2 2 2 2 3" xfId="4977" xr:uid="{00000000-0005-0000-0000-000068040000}"/>
    <cellStyle name="40% - Accent2 2 2 2 2 3 2" xfId="13472" xr:uid="{00B46EC4-7764-4875-878E-AEBAE37DFAC7}"/>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030" xr:uid="{55291D39-D5F0-4D8D-9844-A479BE6571A1}"/>
    <cellStyle name="40% - Accent2 2 2 2 3 2 3" xfId="11817" xr:uid="{4B757E8E-755F-4574-B95A-43C9FFBC5D42}"/>
    <cellStyle name="40% - Accent2 2 2 2 3 3" xfId="5390" xr:uid="{00000000-0005-0000-0000-00006C040000}"/>
    <cellStyle name="40% - Accent2 2 2 2 3 3 2" xfId="13885" xr:uid="{E8CC6D64-0DA9-42FC-9968-3A69A42BE80D}"/>
    <cellStyle name="40% - Accent2 2 2 2 3 4" xfId="9672" xr:uid="{AA290BF4-30ED-4257-AB90-043C565BCBC7}"/>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6443" xr:uid="{221A3EE6-D29F-4DA7-BA4C-7BCD785CA7BD}"/>
    <cellStyle name="40% - Accent2 2 2 2 4 2 3" xfId="12230" xr:uid="{626E5421-DA4B-43A8-95CA-1900BAF4056F}"/>
    <cellStyle name="40% - Accent2 2 2 2 4 3" xfId="5803" xr:uid="{00000000-0005-0000-0000-000070040000}"/>
    <cellStyle name="40% - Accent2 2 2 2 4 3 2" xfId="14298" xr:uid="{7C1F8AFF-B54E-4CC1-BBA3-04FE7445CE1D}"/>
    <cellStyle name="40% - Accent2 2 2 2 4 4" xfId="10085" xr:uid="{00C8FDFE-6A56-4B1D-B403-3AA3D3FEDB5A}"/>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6856" xr:uid="{92BEAB9C-81B3-4765-BD14-30D473005ECF}"/>
    <cellStyle name="40% - Accent2 2 2 2 5 2 3" xfId="12643" xr:uid="{DFB5488C-C6A1-42F4-9023-753D940F6EDA}"/>
    <cellStyle name="40% - Accent2 2 2 2 5 3" xfId="6216" xr:uid="{00000000-0005-0000-0000-000074040000}"/>
    <cellStyle name="40% - Accent2 2 2 2 5 3 2" xfId="14711" xr:uid="{E80B5A35-8E5D-4384-B884-973BB5BE3455}"/>
    <cellStyle name="40% - Accent2 2 2 2 5 4" xfId="10498" xr:uid="{424E0297-9B71-448F-8FD6-BCAB68EF3DD0}"/>
    <cellStyle name="40% - Accent2 2 2 2 6" xfId="2323" xr:uid="{00000000-0005-0000-0000-000075040000}"/>
    <cellStyle name="40% - Accent2 2 2 2 6 2" xfId="6629" xr:uid="{00000000-0005-0000-0000-000076040000}"/>
    <cellStyle name="40% - Accent2 2 2 2 6 2 2" xfId="15124" xr:uid="{1611F39B-ACC9-475F-95F5-847BE8FD9D1B}"/>
    <cellStyle name="40% - Accent2 2 2 2 6 3" xfId="10911" xr:uid="{7A3738DB-33A8-4654-AEEF-17B4C8209D54}"/>
    <cellStyle name="40% - Accent2 2 2 2 7" xfId="4563" xr:uid="{00000000-0005-0000-0000-000077040000}"/>
    <cellStyle name="40% - Accent2 2 2 2 7 2" xfId="13059" xr:uid="{194C045A-0B8F-47EB-88E4-56ECA68887C7}"/>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5616" xr:uid="{D0134CB3-7BA5-4D25-BB2C-6936CE618FF5}"/>
    <cellStyle name="40% - Accent2 2 2 3 2 3" xfId="11403" xr:uid="{B64CD3C0-9053-4025-9F5B-1F517CAE9869}"/>
    <cellStyle name="40% - Accent2 2 2 3 3" xfId="4976" xr:uid="{00000000-0005-0000-0000-00007B040000}"/>
    <cellStyle name="40% - Accent2 2 2 3 3 2" xfId="13471" xr:uid="{76F09CEA-8811-4CD1-AEC7-585E486E9A7C}"/>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029" xr:uid="{F288345F-0D6C-4145-9C13-B0F0C6090DC2}"/>
    <cellStyle name="40% - Accent2 2 2 4 2 3" xfId="11816" xr:uid="{254F3DF2-8EF9-41B7-9B76-16332BD402E2}"/>
    <cellStyle name="40% - Accent2 2 2 4 3" xfId="5389" xr:uid="{00000000-0005-0000-0000-00007F040000}"/>
    <cellStyle name="40% - Accent2 2 2 4 3 2" xfId="13884" xr:uid="{3AABAC69-3F3A-4FE2-B2CF-57D71EA96B2C}"/>
    <cellStyle name="40% - Accent2 2 2 4 4" xfId="9671" xr:uid="{685966A2-F47E-4B95-80D9-671BA7C3136D}"/>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6442" xr:uid="{B89DE386-4422-4F9A-9227-4CAE6D76C003}"/>
    <cellStyle name="40% - Accent2 2 2 5 2 3" xfId="12229" xr:uid="{6F31744E-AEDC-4512-B16B-41301C3151DB}"/>
    <cellStyle name="40% - Accent2 2 2 5 3" xfId="5802" xr:uid="{00000000-0005-0000-0000-000083040000}"/>
    <cellStyle name="40% - Accent2 2 2 5 3 2" xfId="14297" xr:uid="{50E9E4EB-1D06-4045-ABD8-35FE1DA59464}"/>
    <cellStyle name="40% - Accent2 2 2 5 4" xfId="10084" xr:uid="{F5FA26F1-31C5-4831-B528-80FF68C62E5C}"/>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6855" xr:uid="{223FE5DA-14A0-48DD-B20D-D7A8933BB172}"/>
    <cellStyle name="40% - Accent2 2 2 6 2 3" xfId="12642" xr:uid="{F0A9C29D-4048-4E88-9B52-AF930D6635A5}"/>
    <cellStyle name="40% - Accent2 2 2 6 3" xfId="6215" xr:uid="{00000000-0005-0000-0000-000087040000}"/>
    <cellStyle name="40% - Accent2 2 2 6 3 2" xfId="14710" xr:uid="{1F5EFAE2-55D0-4726-B08C-0119262A195A}"/>
    <cellStyle name="40% - Accent2 2 2 6 4" xfId="10497" xr:uid="{5747480A-A756-4606-A35D-A459909F7BCA}"/>
    <cellStyle name="40% - Accent2 2 2 7" xfId="2322" xr:uid="{00000000-0005-0000-0000-000088040000}"/>
    <cellStyle name="40% - Accent2 2 2 7 2" xfId="6628" xr:uid="{00000000-0005-0000-0000-000089040000}"/>
    <cellStyle name="40% - Accent2 2 2 7 2 2" xfId="15123" xr:uid="{F292FE45-C3E6-456A-A482-714CF5A901AF}"/>
    <cellStyle name="40% - Accent2 2 2 7 3" xfId="10910" xr:uid="{96C58A82-BE4A-48AF-A09C-E732EF40F4CE}"/>
    <cellStyle name="40% - Accent2 2 2 8" xfId="4562" xr:uid="{00000000-0005-0000-0000-00008A040000}"/>
    <cellStyle name="40% - Accent2 2 2 8 2" xfId="13058" xr:uid="{4467B4A9-D8FC-4E68-90EB-27A262DEB7E7}"/>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5618" xr:uid="{5349BE24-D1FF-4B76-BC24-F38EC1C4CDCA}"/>
    <cellStyle name="40% - Accent2 2 3 2 2 3" xfId="11405" xr:uid="{BA1E4DDB-7D61-4EEA-A64F-A0ACEAE9A6D2}"/>
    <cellStyle name="40% - Accent2 2 3 2 3" xfId="4978" xr:uid="{00000000-0005-0000-0000-00008F040000}"/>
    <cellStyle name="40% - Accent2 2 3 2 3 2" xfId="13473" xr:uid="{6CC1CACE-B4BA-49A0-A081-BBE523DF1183}"/>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031" xr:uid="{7DE78D82-49ED-49A1-841F-BD7E4D22F65D}"/>
    <cellStyle name="40% - Accent2 2 3 3 2 3" xfId="11818" xr:uid="{2495257A-7A4E-4404-A47A-ED1B8F9CAE84}"/>
    <cellStyle name="40% - Accent2 2 3 3 3" xfId="5391" xr:uid="{00000000-0005-0000-0000-000093040000}"/>
    <cellStyle name="40% - Accent2 2 3 3 3 2" xfId="13886" xr:uid="{7D4EE8F6-AA98-44A2-A9C5-D714127304A7}"/>
    <cellStyle name="40% - Accent2 2 3 3 4" xfId="9673" xr:uid="{7EEE2175-2E5E-43F5-80A0-100ABD94B5DB}"/>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6444" xr:uid="{1A34750D-4931-41F2-85E0-CD330D2AED0E}"/>
    <cellStyle name="40% - Accent2 2 3 4 2 3" xfId="12231" xr:uid="{A7A331E7-FF25-4CC5-97F9-6BFD89E46069}"/>
    <cellStyle name="40% - Accent2 2 3 4 3" xfId="5804" xr:uid="{00000000-0005-0000-0000-000097040000}"/>
    <cellStyle name="40% - Accent2 2 3 4 3 2" xfId="14299" xr:uid="{46F52FEA-8E21-43D2-81EC-AC0C61E72625}"/>
    <cellStyle name="40% - Accent2 2 3 4 4" xfId="10086" xr:uid="{FB6124B8-5E45-47A6-858B-4CF59CAF057F}"/>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6857" xr:uid="{84FF646B-9EA2-47A4-84A8-9DDA189B9073}"/>
    <cellStyle name="40% - Accent2 2 3 5 2 3" xfId="12644" xr:uid="{064B9CCB-44A6-4123-A18D-919536D4AFAE}"/>
    <cellStyle name="40% - Accent2 2 3 5 3" xfId="6217" xr:uid="{00000000-0005-0000-0000-00009B040000}"/>
    <cellStyle name="40% - Accent2 2 3 5 3 2" xfId="14712" xr:uid="{32199323-D984-478D-9075-7F99FD72178F}"/>
    <cellStyle name="40% - Accent2 2 3 5 4" xfId="10499" xr:uid="{71ED0275-7E95-467D-99BE-AC908BB5F499}"/>
    <cellStyle name="40% - Accent2 2 3 6" xfId="2324" xr:uid="{00000000-0005-0000-0000-00009C040000}"/>
    <cellStyle name="40% - Accent2 2 3 6 2" xfId="6630" xr:uid="{00000000-0005-0000-0000-00009D040000}"/>
    <cellStyle name="40% - Accent2 2 3 6 2 2" xfId="15125" xr:uid="{6B19AC9B-645F-4211-857F-B25DA81A9A7A}"/>
    <cellStyle name="40% - Accent2 2 3 6 3" xfId="10912" xr:uid="{F4E501B2-50E9-4AC2-B2C9-3935CEB19AEE}"/>
    <cellStyle name="40% - Accent2 2 3 7" xfId="4564" xr:uid="{00000000-0005-0000-0000-00009E040000}"/>
    <cellStyle name="40% - Accent2 2 3 7 2" xfId="13060" xr:uid="{A5739799-C1B7-425B-9045-F59A05D75B45}"/>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2 2 2" xfId="15615" xr:uid="{A47B03CB-FDA7-40A2-BDB6-8C5AFAFC3302}"/>
    <cellStyle name="40% - Accent2 2 4 2 3" xfId="11402" xr:uid="{4E9F2BCF-E71A-466D-96BF-E955C15F24B3}"/>
    <cellStyle name="40% - Accent2 2 4 3" xfId="4975" xr:uid="{00000000-0005-0000-0000-0000A2040000}"/>
    <cellStyle name="40% - Accent2 2 4 3 2" xfId="13470" xr:uid="{381326CA-7DD3-4607-BE5C-880E9F4727D5}"/>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028" xr:uid="{963783AF-648A-4FF8-AF64-C4C7FFEB775F}"/>
    <cellStyle name="40% - Accent2 2 5 2 3" xfId="11815" xr:uid="{F1277605-E2CA-4D06-916E-762727B2938D}"/>
    <cellStyle name="40% - Accent2 2 5 3" xfId="5388" xr:uid="{00000000-0005-0000-0000-0000A6040000}"/>
    <cellStyle name="40% - Accent2 2 5 3 2" xfId="13883" xr:uid="{8C1E3E12-0EF9-434E-BB04-97E4ADA6F633}"/>
    <cellStyle name="40% - Accent2 2 5 4" xfId="9670" xr:uid="{F997F944-68F5-45CA-903C-9E74A3954AE0}"/>
    <cellStyle name="40% - Accent2 2 6" xfId="1494" xr:uid="{00000000-0005-0000-0000-0000A7040000}"/>
    <cellStyle name="40% - Accent2 2 6 2" xfId="3724" xr:uid="{00000000-0005-0000-0000-0000A8040000}"/>
    <cellStyle name="40% - Accent2 2 6 2 2" xfId="7946" xr:uid="{00000000-0005-0000-0000-0000A9040000}"/>
    <cellStyle name="40% - Accent2 2 6 2 2 2" xfId="16441" xr:uid="{EB770989-EB0A-42F0-9693-CE9993AC9826}"/>
    <cellStyle name="40% - Accent2 2 6 2 3" xfId="12228" xr:uid="{C58E890E-51A2-4E9A-8558-E37897A8A3A4}"/>
    <cellStyle name="40% - Accent2 2 6 3" xfId="5801" xr:uid="{00000000-0005-0000-0000-0000AA040000}"/>
    <cellStyle name="40% - Accent2 2 6 3 2" xfId="14296" xr:uid="{BED9AAC8-BBF8-4887-A1E7-F765F7FE4BB8}"/>
    <cellStyle name="40% - Accent2 2 6 4" xfId="10083" xr:uid="{557922E7-789F-45C9-9E2F-3ABBF70BF24F}"/>
    <cellStyle name="40% - Accent2 2 7" xfId="1908" xr:uid="{00000000-0005-0000-0000-0000AB040000}"/>
    <cellStyle name="40% - Accent2 2 7 2" xfId="4137" xr:uid="{00000000-0005-0000-0000-0000AC040000}"/>
    <cellStyle name="40% - Accent2 2 7 2 2" xfId="8359" xr:uid="{00000000-0005-0000-0000-0000AD040000}"/>
    <cellStyle name="40% - Accent2 2 7 2 2 2" xfId="16854" xr:uid="{FD1CEDB4-42EF-4942-A5BC-16E4443EAB2A}"/>
    <cellStyle name="40% - Accent2 2 7 2 3" xfId="12641" xr:uid="{17A0EF88-A4B3-4F81-B8BC-0F297A97282B}"/>
    <cellStyle name="40% - Accent2 2 7 3" xfId="6214" xr:uid="{00000000-0005-0000-0000-0000AE040000}"/>
    <cellStyle name="40% - Accent2 2 7 3 2" xfId="14709" xr:uid="{F7A0FBF2-FFE5-42F6-BC01-43CFB7B68762}"/>
    <cellStyle name="40% - Accent2 2 7 4" xfId="10496" xr:uid="{164C94FC-F99D-4C20-ACAD-CD3E42AFFBDC}"/>
    <cellStyle name="40% - Accent2 2 8" xfId="2321" xr:uid="{00000000-0005-0000-0000-0000AF040000}"/>
    <cellStyle name="40% - Accent2 2 8 2" xfId="6627" xr:uid="{00000000-0005-0000-0000-0000B0040000}"/>
    <cellStyle name="40% - Accent2 2 8 2 2" xfId="15122" xr:uid="{61787DE6-86E8-487C-81E8-15A3D630770E}"/>
    <cellStyle name="40% - Accent2 2 8 3" xfId="10909" xr:uid="{55057934-5219-481E-B616-18518AF9BD94}"/>
    <cellStyle name="40% - Accent2 2 9" xfId="4561" xr:uid="{00000000-0005-0000-0000-0000B1040000}"/>
    <cellStyle name="40% - Accent2 2 9 2" xfId="13057" xr:uid="{2D180192-C749-4F97-BA66-F97782619E0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5620" xr:uid="{D2E0C264-E10B-4407-9117-F275857FA5C6}"/>
    <cellStyle name="40% - Accent2 3 2 2 2 3" xfId="11407" xr:uid="{A7662265-A646-4611-830E-D8A1889C8C0D}"/>
    <cellStyle name="40% - Accent2 3 2 2 3" xfId="4980" xr:uid="{00000000-0005-0000-0000-0000B7040000}"/>
    <cellStyle name="40% - Accent2 3 2 2 3 2" xfId="13475" xr:uid="{1A775954-471C-49A7-B5CD-7F4A69B4A847}"/>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033" xr:uid="{8FE1BCE4-C765-4A57-B3EE-48F519CA9611}"/>
    <cellStyle name="40% - Accent2 3 2 3 2 3" xfId="11820" xr:uid="{DFDE27DE-43E2-4253-9810-63875926D65B}"/>
    <cellStyle name="40% - Accent2 3 2 3 3" xfId="5393" xr:uid="{00000000-0005-0000-0000-0000BB040000}"/>
    <cellStyle name="40% - Accent2 3 2 3 3 2" xfId="13888" xr:uid="{FBB17C7E-8C7D-48A7-AD7B-2D785C4A9A89}"/>
    <cellStyle name="40% - Accent2 3 2 3 4" xfId="9675" xr:uid="{F90343A5-DEE1-41DD-8649-ADA0F0AAB440}"/>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6446" xr:uid="{8149D9E3-831E-45F9-A0B6-4423C396662E}"/>
    <cellStyle name="40% - Accent2 3 2 4 2 3" xfId="12233" xr:uid="{5440AA6A-6AF3-4B9F-9BBF-CBC68711DBDF}"/>
    <cellStyle name="40% - Accent2 3 2 4 3" xfId="5806" xr:uid="{00000000-0005-0000-0000-0000BF040000}"/>
    <cellStyle name="40% - Accent2 3 2 4 3 2" xfId="14301" xr:uid="{E5016F24-64D5-425F-8895-6E0E91F80C83}"/>
    <cellStyle name="40% - Accent2 3 2 4 4" xfId="10088" xr:uid="{EAA91627-0206-48D6-8199-E38D31B12A59}"/>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6859" xr:uid="{C13E7F34-C1DB-48BF-9B25-7D1316694497}"/>
    <cellStyle name="40% - Accent2 3 2 5 2 3" xfId="12646" xr:uid="{F09F7D73-6899-44A3-8EDB-44440E1FC005}"/>
    <cellStyle name="40% - Accent2 3 2 5 3" xfId="6219" xr:uid="{00000000-0005-0000-0000-0000C3040000}"/>
    <cellStyle name="40% - Accent2 3 2 5 3 2" xfId="14714" xr:uid="{2F9B7F22-4B6A-46D3-B607-833BA62CCE09}"/>
    <cellStyle name="40% - Accent2 3 2 5 4" xfId="10501" xr:uid="{28EFA9DD-AB24-486A-A12C-8B3F6CAFEC14}"/>
    <cellStyle name="40% - Accent2 3 2 6" xfId="2326" xr:uid="{00000000-0005-0000-0000-0000C4040000}"/>
    <cellStyle name="40% - Accent2 3 2 6 2" xfId="6632" xr:uid="{00000000-0005-0000-0000-0000C5040000}"/>
    <cellStyle name="40% - Accent2 3 2 6 2 2" xfId="15127" xr:uid="{4AD0DEB8-7E68-401A-B149-4C4EEB2A6EE4}"/>
    <cellStyle name="40% - Accent2 3 2 6 3" xfId="10914" xr:uid="{A5BF5F2A-2AA5-4296-841E-888A562917B2}"/>
    <cellStyle name="40% - Accent2 3 2 7" xfId="4566" xr:uid="{00000000-0005-0000-0000-0000C6040000}"/>
    <cellStyle name="40% - Accent2 3 2 7 2" xfId="13062" xr:uid="{C3B7ECAE-37A9-4814-913B-683C3E9806FD}"/>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2 2 2" xfId="15619" xr:uid="{1AEE379A-7771-4523-832A-D4EEDD147FDF}"/>
    <cellStyle name="40% - Accent2 3 3 2 3" xfId="11406" xr:uid="{6EF3A837-7378-4798-AAF6-799B29343153}"/>
    <cellStyle name="40% - Accent2 3 3 3" xfId="4979" xr:uid="{00000000-0005-0000-0000-0000CA040000}"/>
    <cellStyle name="40% - Accent2 3 3 3 2" xfId="13474" xr:uid="{DB72D2B5-DC53-4652-81E0-DE72B47ED87D}"/>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032" xr:uid="{AF948092-8414-4BA5-A8F1-8C37E5D57734}"/>
    <cellStyle name="40% - Accent2 3 4 2 3" xfId="11819" xr:uid="{CCC69AEB-2171-4271-BD2B-1482F3E4385F}"/>
    <cellStyle name="40% - Accent2 3 4 3" xfId="5392" xr:uid="{00000000-0005-0000-0000-0000CE040000}"/>
    <cellStyle name="40% - Accent2 3 4 3 2" xfId="13887" xr:uid="{437AB000-9B96-40CB-8A0B-D243BC6F1670}"/>
    <cellStyle name="40% - Accent2 3 4 4" xfId="9674" xr:uid="{5E806374-5C13-48B0-9E75-9C78AAB1862C}"/>
    <cellStyle name="40% - Accent2 3 5" xfId="1498" xr:uid="{00000000-0005-0000-0000-0000CF040000}"/>
    <cellStyle name="40% - Accent2 3 5 2" xfId="3728" xr:uid="{00000000-0005-0000-0000-0000D0040000}"/>
    <cellStyle name="40% - Accent2 3 5 2 2" xfId="7950" xr:uid="{00000000-0005-0000-0000-0000D1040000}"/>
    <cellStyle name="40% - Accent2 3 5 2 2 2" xfId="16445" xr:uid="{59049194-6C29-4AA2-8F3C-34254B489905}"/>
    <cellStyle name="40% - Accent2 3 5 2 3" xfId="12232" xr:uid="{F4A86AA6-C141-4FB1-AFEC-454CDD7D6000}"/>
    <cellStyle name="40% - Accent2 3 5 3" xfId="5805" xr:uid="{00000000-0005-0000-0000-0000D2040000}"/>
    <cellStyle name="40% - Accent2 3 5 3 2" xfId="14300" xr:uid="{3BBFC8D2-26E8-4DDC-AD93-3DADBB4B5B0D}"/>
    <cellStyle name="40% - Accent2 3 5 4" xfId="10087" xr:uid="{3B9A74F4-4E32-4D73-B968-93467360059D}"/>
    <cellStyle name="40% - Accent2 3 6" xfId="1912" xr:uid="{00000000-0005-0000-0000-0000D3040000}"/>
    <cellStyle name="40% - Accent2 3 6 2" xfId="4141" xr:uid="{00000000-0005-0000-0000-0000D4040000}"/>
    <cellStyle name="40% - Accent2 3 6 2 2" xfId="8363" xr:uid="{00000000-0005-0000-0000-0000D5040000}"/>
    <cellStyle name="40% - Accent2 3 6 2 2 2" xfId="16858" xr:uid="{2ED4C946-732E-417D-97E0-15CA3C0EE709}"/>
    <cellStyle name="40% - Accent2 3 6 2 3" xfId="12645" xr:uid="{CB26C4CB-717D-491C-BB2F-B7D1D12E8AEE}"/>
    <cellStyle name="40% - Accent2 3 6 3" xfId="6218" xr:uid="{00000000-0005-0000-0000-0000D6040000}"/>
    <cellStyle name="40% - Accent2 3 6 3 2" xfId="14713" xr:uid="{69772122-EEB0-416C-94F6-FE3FA0AC7BC8}"/>
    <cellStyle name="40% - Accent2 3 6 4" xfId="10500" xr:uid="{49464528-1D4E-4E64-9383-94676215EBD0}"/>
    <cellStyle name="40% - Accent2 3 7" xfId="2325" xr:uid="{00000000-0005-0000-0000-0000D7040000}"/>
    <cellStyle name="40% - Accent2 3 7 2" xfId="6631" xr:uid="{00000000-0005-0000-0000-0000D8040000}"/>
    <cellStyle name="40% - Accent2 3 7 2 2" xfId="15126" xr:uid="{E9511C11-4132-4122-8BC8-C03032F26D65}"/>
    <cellStyle name="40% - Accent2 3 7 3" xfId="10913" xr:uid="{C6FADB4F-C854-4C71-9E15-8CFDC5E09AB1}"/>
    <cellStyle name="40% - Accent2 3 8" xfId="4565" xr:uid="{00000000-0005-0000-0000-0000D9040000}"/>
    <cellStyle name="40% - Accent2 3 8 2" xfId="13061" xr:uid="{B2CED689-9157-46B5-8A40-D4BFAAA715CA}"/>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5621" xr:uid="{10CB6022-582F-49A7-8755-0FB9C651B12D}"/>
    <cellStyle name="40% - Accent2 4 2 2 3" xfId="11408" xr:uid="{55E6C360-F85D-4526-8E56-A86D507B0DE0}"/>
    <cellStyle name="40% - Accent2 4 2 3" xfId="4981" xr:uid="{00000000-0005-0000-0000-0000DE040000}"/>
    <cellStyle name="40% - Accent2 4 2 3 2" xfId="13476" xr:uid="{A24C6C5B-6E13-4A84-9325-907961A5D495}"/>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034" xr:uid="{00885648-B557-4E8F-9B56-75D1C360290B}"/>
    <cellStyle name="40% - Accent2 4 3 2 3" xfId="11821" xr:uid="{72EDBCDB-BD36-4942-98DB-7C53484C7B9B}"/>
    <cellStyle name="40% - Accent2 4 3 3" xfId="5394" xr:uid="{00000000-0005-0000-0000-0000E2040000}"/>
    <cellStyle name="40% - Accent2 4 3 3 2" xfId="13889" xr:uid="{7A0E0BD5-23EA-45F5-B1C1-03D0C4B26981}"/>
    <cellStyle name="40% - Accent2 4 3 4" xfId="9676" xr:uid="{5489A526-E321-4CE4-BAA2-1670BA7836E2}"/>
    <cellStyle name="40% - Accent2 4 4" xfId="1500" xr:uid="{00000000-0005-0000-0000-0000E3040000}"/>
    <cellStyle name="40% - Accent2 4 4 2" xfId="3730" xr:uid="{00000000-0005-0000-0000-0000E4040000}"/>
    <cellStyle name="40% - Accent2 4 4 2 2" xfId="7952" xr:uid="{00000000-0005-0000-0000-0000E5040000}"/>
    <cellStyle name="40% - Accent2 4 4 2 2 2" xfId="16447" xr:uid="{33A9BBEE-D0C2-40AF-BE1F-8CC449717E1D}"/>
    <cellStyle name="40% - Accent2 4 4 2 3" xfId="12234" xr:uid="{1237B53E-6395-4CC5-9ED6-61008939A4A3}"/>
    <cellStyle name="40% - Accent2 4 4 3" xfId="5807" xr:uid="{00000000-0005-0000-0000-0000E6040000}"/>
    <cellStyle name="40% - Accent2 4 4 3 2" xfId="14302" xr:uid="{395A1478-01BE-4397-8E64-0B25E557E4FF}"/>
    <cellStyle name="40% - Accent2 4 4 4" xfId="10089" xr:uid="{990459B3-E31F-4F1D-8E14-53E7CD5A0751}"/>
    <cellStyle name="40% - Accent2 4 5" xfId="1914" xr:uid="{00000000-0005-0000-0000-0000E7040000}"/>
    <cellStyle name="40% - Accent2 4 5 2" xfId="4143" xr:uid="{00000000-0005-0000-0000-0000E8040000}"/>
    <cellStyle name="40% - Accent2 4 5 2 2" xfId="8365" xr:uid="{00000000-0005-0000-0000-0000E9040000}"/>
    <cellStyle name="40% - Accent2 4 5 2 2 2" xfId="16860" xr:uid="{580BBE9F-83A5-4B96-AF22-590F95B7FC0D}"/>
    <cellStyle name="40% - Accent2 4 5 2 3" xfId="12647" xr:uid="{8318BE68-C539-4349-A2D2-5FCB5BF1B30E}"/>
    <cellStyle name="40% - Accent2 4 5 3" xfId="6220" xr:uid="{00000000-0005-0000-0000-0000EA040000}"/>
    <cellStyle name="40% - Accent2 4 5 3 2" xfId="14715" xr:uid="{CB5C2541-5630-4FB1-B019-5AEF214F26B8}"/>
    <cellStyle name="40% - Accent2 4 5 4" xfId="10502" xr:uid="{4700AE7A-D0EE-4341-9DE6-EEF4DF9AF02F}"/>
    <cellStyle name="40% - Accent2 4 6" xfId="2327" xr:uid="{00000000-0005-0000-0000-0000EB040000}"/>
    <cellStyle name="40% - Accent2 4 6 2" xfId="6633" xr:uid="{00000000-0005-0000-0000-0000EC040000}"/>
    <cellStyle name="40% - Accent2 4 6 2 2" xfId="15128" xr:uid="{D5CC395B-53D4-4D07-AF51-93C9DF4068E4}"/>
    <cellStyle name="40% - Accent2 4 6 3" xfId="10915" xr:uid="{7AE586A6-5DC1-44E3-8093-BD46FB741470}"/>
    <cellStyle name="40% - Accent2 4 7" xfId="4567" xr:uid="{00000000-0005-0000-0000-0000ED040000}"/>
    <cellStyle name="40% - Accent2 4 7 2" xfId="13063" xr:uid="{BEEA2268-89EF-4DA3-9D61-84801DFBE8A5}"/>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2 2 2" xfId="15614" xr:uid="{F0303C76-F911-42AD-A973-4B08E838F6F1}"/>
    <cellStyle name="40% - Accent2 5 2 3" xfId="11401" xr:uid="{06CF5228-48F0-4AD9-8596-BF41FB4DAE13}"/>
    <cellStyle name="40% - Accent2 5 3" xfId="4974" xr:uid="{00000000-0005-0000-0000-0000F1040000}"/>
    <cellStyle name="40% - Accent2 5 3 2" xfId="13469" xr:uid="{F5D3070B-58E9-4940-9949-D68D82DD39FE}"/>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2 2 2" xfId="16027" xr:uid="{133B4086-3B36-46B3-A5D9-27C759225FEC}"/>
    <cellStyle name="40% - Accent2 6 2 3" xfId="11814" xr:uid="{ACB01EE8-B161-4A9C-AFAE-115A93FDE33D}"/>
    <cellStyle name="40% - Accent2 6 3" xfId="5387" xr:uid="{00000000-0005-0000-0000-0000F5040000}"/>
    <cellStyle name="40% - Accent2 6 3 2" xfId="13882" xr:uid="{03A5BA61-1412-4BF4-A4BB-DA22FBC37A68}"/>
    <cellStyle name="40% - Accent2 6 4" xfId="9669" xr:uid="{7F72F518-8BB7-4D88-A661-08F16FCF481A}"/>
    <cellStyle name="40% - Accent2 7" xfId="1493" xr:uid="{00000000-0005-0000-0000-0000F6040000}"/>
    <cellStyle name="40% - Accent2 7 2" xfId="3723" xr:uid="{00000000-0005-0000-0000-0000F7040000}"/>
    <cellStyle name="40% - Accent2 7 2 2" xfId="7945" xr:uid="{00000000-0005-0000-0000-0000F8040000}"/>
    <cellStyle name="40% - Accent2 7 2 2 2" xfId="16440" xr:uid="{3032C5E3-AD07-4822-B4B3-C645CCCBDBFE}"/>
    <cellStyle name="40% - Accent2 7 2 3" xfId="12227" xr:uid="{6D6A7A7B-6092-4957-8C06-7E4BD28547D2}"/>
    <cellStyle name="40% - Accent2 7 3" xfId="5800" xr:uid="{00000000-0005-0000-0000-0000F9040000}"/>
    <cellStyle name="40% - Accent2 7 3 2" xfId="14295" xr:uid="{21DEFE50-92CC-429D-AEDE-F48D702C783B}"/>
    <cellStyle name="40% - Accent2 7 4" xfId="10082" xr:uid="{76468FA8-05D8-467D-A59E-A7463DEBF5A5}"/>
    <cellStyle name="40% - Accent2 8" xfId="1907" xr:uid="{00000000-0005-0000-0000-0000FA040000}"/>
    <cellStyle name="40% - Accent2 8 2" xfId="4136" xr:uid="{00000000-0005-0000-0000-0000FB040000}"/>
    <cellStyle name="40% - Accent2 8 2 2" xfId="8358" xr:uid="{00000000-0005-0000-0000-0000FC040000}"/>
    <cellStyle name="40% - Accent2 8 2 2 2" xfId="16853" xr:uid="{46C55264-6FE0-423E-AA61-6997709C8819}"/>
    <cellStyle name="40% - Accent2 8 2 3" xfId="12640" xr:uid="{026392F9-B86A-43BB-A4F1-BD1C635E06E3}"/>
    <cellStyle name="40% - Accent2 8 3" xfId="6213" xr:uid="{00000000-0005-0000-0000-0000FD040000}"/>
    <cellStyle name="40% - Accent2 8 3 2" xfId="14708" xr:uid="{A92EA83B-44BD-47ED-B1F3-56DE489102A9}"/>
    <cellStyle name="40% - Accent2 8 4" xfId="10495" xr:uid="{970D93A5-3EBE-4DE9-AE84-1B9A2827F344}"/>
    <cellStyle name="40% - Accent2 9" xfId="2320" xr:uid="{00000000-0005-0000-0000-0000FE040000}"/>
    <cellStyle name="40% - Accent2 9 2" xfId="6626" xr:uid="{00000000-0005-0000-0000-0000FF040000}"/>
    <cellStyle name="40% - Accent2 9 2 2" xfId="15121" xr:uid="{F0242998-DE8C-456E-BE8C-D1C7588DC995}"/>
    <cellStyle name="40% - Accent2 9 3" xfId="10908" xr:uid="{060E54DD-6515-4743-AE9A-FA2C9CA44DDA}"/>
    <cellStyle name="40% - Accent3" xfId="65" builtinId="39" customBuiltin="1"/>
    <cellStyle name="40% - Accent3 10" xfId="4568" xr:uid="{00000000-0005-0000-0000-000001050000}"/>
    <cellStyle name="40% - Accent3 10 2" xfId="13064" xr:uid="{BBC5CFC8-9DE3-4EB9-A8A2-C2CB970E0396}"/>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5625" xr:uid="{11CF3572-1F26-4842-A423-BF16F7A5E4CE}"/>
    <cellStyle name="40% - Accent3 2 2 2 2 2 3" xfId="11412" xr:uid="{65E873B8-9891-4120-B340-5ED6B39455CC}"/>
    <cellStyle name="40% - Accent3 2 2 2 2 3" xfId="4985" xr:uid="{00000000-0005-0000-0000-000008050000}"/>
    <cellStyle name="40% - Accent3 2 2 2 2 3 2" xfId="13480" xr:uid="{352B44F4-DB59-437D-A071-FBE6937EECCC}"/>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038" xr:uid="{66172FA6-1568-42A5-83BB-8E25DF9FA745}"/>
    <cellStyle name="40% - Accent3 2 2 2 3 2 3" xfId="11825" xr:uid="{2C1C9EE0-2C1C-4A86-BC3C-EC3F0551E6F0}"/>
    <cellStyle name="40% - Accent3 2 2 2 3 3" xfId="5398" xr:uid="{00000000-0005-0000-0000-00000C050000}"/>
    <cellStyle name="40% - Accent3 2 2 2 3 3 2" xfId="13893" xr:uid="{9DAA6B58-3ACC-4186-BCEC-BBB5E801D019}"/>
    <cellStyle name="40% - Accent3 2 2 2 3 4" xfId="9680" xr:uid="{BB8BF5D5-A706-484E-8AC4-C69E09EDB75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6451" xr:uid="{C13C695E-6571-4615-81A3-B83F7753018B}"/>
    <cellStyle name="40% - Accent3 2 2 2 4 2 3" xfId="12238" xr:uid="{C5C859EB-CA32-4E18-B3FD-5EE4B5D0E77D}"/>
    <cellStyle name="40% - Accent3 2 2 2 4 3" xfId="5811" xr:uid="{00000000-0005-0000-0000-000010050000}"/>
    <cellStyle name="40% - Accent3 2 2 2 4 3 2" xfId="14306" xr:uid="{C0FF826C-00D8-421B-B205-15D7F013AF5D}"/>
    <cellStyle name="40% - Accent3 2 2 2 4 4" xfId="10093" xr:uid="{4141279F-1839-4B97-B1B3-A01B22234BEC}"/>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6864" xr:uid="{DFB9E9A4-F9CB-49AE-8A3E-40E4A13AA373}"/>
    <cellStyle name="40% - Accent3 2 2 2 5 2 3" xfId="12651" xr:uid="{9FBC0CC1-6199-4B7D-8DD9-7D01237E74A1}"/>
    <cellStyle name="40% - Accent3 2 2 2 5 3" xfId="6224" xr:uid="{00000000-0005-0000-0000-000014050000}"/>
    <cellStyle name="40% - Accent3 2 2 2 5 3 2" xfId="14719" xr:uid="{FF06B80B-1E63-4A54-8674-D57997FE9610}"/>
    <cellStyle name="40% - Accent3 2 2 2 5 4" xfId="10506" xr:uid="{901856E0-8231-4B00-A75C-6AAB42B4CBB8}"/>
    <cellStyle name="40% - Accent3 2 2 2 6" xfId="2331" xr:uid="{00000000-0005-0000-0000-000015050000}"/>
    <cellStyle name="40% - Accent3 2 2 2 6 2" xfId="6637" xr:uid="{00000000-0005-0000-0000-000016050000}"/>
    <cellStyle name="40% - Accent3 2 2 2 6 2 2" xfId="15132" xr:uid="{939091C9-501F-4EED-A10A-5D324BC22811}"/>
    <cellStyle name="40% - Accent3 2 2 2 6 3" xfId="10919" xr:uid="{0767E354-996D-4195-8B99-C3BEC520F6C0}"/>
    <cellStyle name="40% - Accent3 2 2 2 7" xfId="4571" xr:uid="{00000000-0005-0000-0000-000017050000}"/>
    <cellStyle name="40% - Accent3 2 2 2 7 2" xfId="13067" xr:uid="{59FF3FC6-6D13-4DAA-877B-167EBCA3F614}"/>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5624" xr:uid="{F4672E7A-C974-4168-81AE-3A0F045B0B08}"/>
    <cellStyle name="40% - Accent3 2 2 3 2 3" xfId="11411" xr:uid="{0E8EE1D7-005B-4AB2-AF9C-5A8D6F7A28B7}"/>
    <cellStyle name="40% - Accent3 2 2 3 3" xfId="4984" xr:uid="{00000000-0005-0000-0000-00001B050000}"/>
    <cellStyle name="40% - Accent3 2 2 3 3 2" xfId="13479" xr:uid="{B795338D-6AAF-425E-93DE-6406461B087E}"/>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037" xr:uid="{58A20D5B-B100-44BF-86F5-D185D6CFF105}"/>
    <cellStyle name="40% - Accent3 2 2 4 2 3" xfId="11824" xr:uid="{3AFB4FB8-6246-4372-A795-66B2899C163B}"/>
    <cellStyle name="40% - Accent3 2 2 4 3" xfId="5397" xr:uid="{00000000-0005-0000-0000-00001F050000}"/>
    <cellStyle name="40% - Accent3 2 2 4 3 2" xfId="13892" xr:uid="{22D7D72F-6076-4187-8394-B41E0B4892D2}"/>
    <cellStyle name="40% - Accent3 2 2 4 4" xfId="9679" xr:uid="{7D98AC39-5635-49A3-A146-B56F5E5F1205}"/>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6450" xr:uid="{290733DF-0FF8-4950-8E85-D4D0D033A3DF}"/>
    <cellStyle name="40% - Accent3 2 2 5 2 3" xfId="12237" xr:uid="{C1919F28-C521-44D6-A071-CA58596BD1FF}"/>
    <cellStyle name="40% - Accent3 2 2 5 3" xfId="5810" xr:uid="{00000000-0005-0000-0000-000023050000}"/>
    <cellStyle name="40% - Accent3 2 2 5 3 2" xfId="14305" xr:uid="{511BB488-1A45-4F2C-9676-3F61199A9198}"/>
    <cellStyle name="40% - Accent3 2 2 5 4" xfId="10092" xr:uid="{DF297CED-6C5B-4ADF-873C-BFB3EBB14829}"/>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6863" xr:uid="{BB61FC75-9C9A-4512-A8F9-72E0D05D71A4}"/>
    <cellStyle name="40% - Accent3 2 2 6 2 3" xfId="12650" xr:uid="{99AF1E57-CFE1-4B90-91A5-366EEF3BC9CF}"/>
    <cellStyle name="40% - Accent3 2 2 6 3" xfId="6223" xr:uid="{00000000-0005-0000-0000-000027050000}"/>
    <cellStyle name="40% - Accent3 2 2 6 3 2" xfId="14718" xr:uid="{7DC05A6C-3621-4F4B-AD96-31AB33B2D7D0}"/>
    <cellStyle name="40% - Accent3 2 2 6 4" xfId="10505" xr:uid="{B545029B-61DF-4795-B4D1-85164CEDC9BB}"/>
    <cellStyle name="40% - Accent3 2 2 7" xfId="2330" xr:uid="{00000000-0005-0000-0000-000028050000}"/>
    <cellStyle name="40% - Accent3 2 2 7 2" xfId="6636" xr:uid="{00000000-0005-0000-0000-000029050000}"/>
    <cellStyle name="40% - Accent3 2 2 7 2 2" xfId="15131" xr:uid="{44867073-9561-4F0C-811F-A565385EBEE4}"/>
    <cellStyle name="40% - Accent3 2 2 7 3" xfId="10918" xr:uid="{AAC69EC6-B865-4490-98B2-D62D125E9409}"/>
    <cellStyle name="40% - Accent3 2 2 8" xfId="4570" xr:uid="{00000000-0005-0000-0000-00002A050000}"/>
    <cellStyle name="40% - Accent3 2 2 8 2" xfId="13066" xr:uid="{7FFE6B28-289D-4537-BF6B-9F6B5D812514}"/>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5626" xr:uid="{5115DB97-14D3-4C4A-89BA-C04663AE2985}"/>
    <cellStyle name="40% - Accent3 2 3 2 2 3" xfId="11413" xr:uid="{AA237C60-8781-4615-924E-F69D0F5E81E4}"/>
    <cellStyle name="40% - Accent3 2 3 2 3" xfId="4986" xr:uid="{00000000-0005-0000-0000-00002F050000}"/>
    <cellStyle name="40% - Accent3 2 3 2 3 2" xfId="13481" xr:uid="{7DF449F2-18FD-4C64-8A38-54D80D6CB715}"/>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039" xr:uid="{F434C3B3-7D9F-4999-A177-CA89E9248200}"/>
    <cellStyle name="40% - Accent3 2 3 3 2 3" xfId="11826" xr:uid="{CCF54D46-4165-48E6-86A2-C07D40BE0F57}"/>
    <cellStyle name="40% - Accent3 2 3 3 3" xfId="5399" xr:uid="{00000000-0005-0000-0000-000033050000}"/>
    <cellStyle name="40% - Accent3 2 3 3 3 2" xfId="13894" xr:uid="{220A72BB-F7F1-4FD0-851C-A9DD6AB85723}"/>
    <cellStyle name="40% - Accent3 2 3 3 4" xfId="9681" xr:uid="{B183BC7B-B07F-433B-A35E-A782EA059D41}"/>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6452" xr:uid="{F44FC7F1-A185-4E9C-ACB6-FAB1CB005B0E}"/>
    <cellStyle name="40% - Accent3 2 3 4 2 3" xfId="12239" xr:uid="{3181F141-7081-4E8C-BB65-DB25E5C2BBEF}"/>
    <cellStyle name="40% - Accent3 2 3 4 3" xfId="5812" xr:uid="{00000000-0005-0000-0000-000037050000}"/>
    <cellStyle name="40% - Accent3 2 3 4 3 2" xfId="14307" xr:uid="{2056B97D-E412-49B6-9A2E-5999F6620373}"/>
    <cellStyle name="40% - Accent3 2 3 4 4" xfId="10094" xr:uid="{29821049-004A-4449-9178-B4E3057E97C1}"/>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6865" xr:uid="{4C9EEC9A-02DB-4881-9104-26A3871A9A27}"/>
    <cellStyle name="40% - Accent3 2 3 5 2 3" xfId="12652" xr:uid="{197E389E-9C50-4892-BA86-CC3B4EFA68B8}"/>
    <cellStyle name="40% - Accent3 2 3 5 3" xfId="6225" xr:uid="{00000000-0005-0000-0000-00003B050000}"/>
    <cellStyle name="40% - Accent3 2 3 5 3 2" xfId="14720" xr:uid="{EC16A05E-261F-4452-B12F-6DC56779571C}"/>
    <cellStyle name="40% - Accent3 2 3 5 4" xfId="10507" xr:uid="{899E5096-58CC-45BF-8172-9AEDE52A937A}"/>
    <cellStyle name="40% - Accent3 2 3 6" xfId="2332" xr:uid="{00000000-0005-0000-0000-00003C050000}"/>
    <cellStyle name="40% - Accent3 2 3 6 2" xfId="6638" xr:uid="{00000000-0005-0000-0000-00003D050000}"/>
    <cellStyle name="40% - Accent3 2 3 6 2 2" xfId="15133" xr:uid="{56AF1A84-04EB-4E80-AFC7-C548D218B24B}"/>
    <cellStyle name="40% - Accent3 2 3 6 3" xfId="10920" xr:uid="{2D89CEA3-CA81-48EF-ABE5-A212FA954443}"/>
    <cellStyle name="40% - Accent3 2 3 7" xfId="4572" xr:uid="{00000000-0005-0000-0000-00003E050000}"/>
    <cellStyle name="40% - Accent3 2 3 7 2" xfId="13068" xr:uid="{F2F3D109-FB50-4035-8417-45C31114F9BF}"/>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2 2 2" xfId="15623" xr:uid="{3F559280-C0C9-44EF-B508-5EBA21A7AC83}"/>
    <cellStyle name="40% - Accent3 2 4 2 3" xfId="11410" xr:uid="{5D33CBFF-2A4F-4B00-9C80-6546BD55FB8E}"/>
    <cellStyle name="40% - Accent3 2 4 3" xfId="4983" xr:uid="{00000000-0005-0000-0000-000042050000}"/>
    <cellStyle name="40% - Accent3 2 4 3 2" xfId="13478" xr:uid="{1014D0ED-C4D5-4A90-B7F5-13DBBBF7DDDA}"/>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036" xr:uid="{22F2DCAA-6E0A-4D14-952C-C74D63E82538}"/>
    <cellStyle name="40% - Accent3 2 5 2 3" xfId="11823" xr:uid="{673C06EF-B56E-490A-912B-BFAA22F252AE}"/>
    <cellStyle name="40% - Accent3 2 5 3" xfId="5396" xr:uid="{00000000-0005-0000-0000-000046050000}"/>
    <cellStyle name="40% - Accent3 2 5 3 2" xfId="13891" xr:uid="{1BBC50F7-D421-4F64-B52A-C9A10ED2D5DD}"/>
    <cellStyle name="40% - Accent3 2 5 4" xfId="9678" xr:uid="{DC7C5BFF-BA66-441F-B2EA-722953013600}"/>
    <cellStyle name="40% - Accent3 2 6" xfId="1502" xr:uid="{00000000-0005-0000-0000-000047050000}"/>
    <cellStyle name="40% - Accent3 2 6 2" xfId="3732" xr:uid="{00000000-0005-0000-0000-000048050000}"/>
    <cellStyle name="40% - Accent3 2 6 2 2" xfId="7954" xr:uid="{00000000-0005-0000-0000-000049050000}"/>
    <cellStyle name="40% - Accent3 2 6 2 2 2" xfId="16449" xr:uid="{7CF2C7FA-E5E4-4FC5-BA64-0701226C9FB9}"/>
    <cellStyle name="40% - Accent3 2 6 2 3" xfId="12236" xr:uid="{0519228A-A764-48ED-8BF2-01171FA819C9}"/>
    <cellStyle name="40% - Accent3 2 6 3" xfId="5809" xr:uid="{00000000-0005-0000-0000-00004A050000}"/>
    <cellStyle name="40% - Accent3 2 6 3 2" xfId="14304" xr:uid="{9CC79298-3868-4AD2-8CE8-939274990B67}"/>
    <cellStyle name="40% - Accent3 2 6 4" xfId="10091" xr:uid="{14289208-8F82-4F07-9EFD-180BB5C59024}"/>
    <cellStyle name="40% - Accent3 2 7" xfId="1916" xr:uid="{00000000-0005-0000-0000-00004B050000}"/>
    <cellStyle name="40% - Accent3 2 7 2" xfId="4145" xr:uid="{00000000-0005-0000-0000-00004C050000}"/>
    <cellStyle name="40% - Accent3 2 7 2 2" xfId="8367" xr:uid="{00000000-0005-0000-0000-00004D050000}"/>
    <cellStyle name="40% - Accent3 2 7 2 2 2" xfId="16862" xr:uid="{52F3B2A9-C742-4DDF-A911-AB8776AE7F6D}"/>
    <cellStyle name="40% - Accent3 2 7 2 3" xfId="12649" xr:uid="{E5D9AB6E-B788-4FEB-94D6-A9F0CAC75A09}"/>
    <cellStyle name="40% - Accent3 2 7 3" xfId="6222" xr:uid="{00000000-0005-0000-0000-00004E050000}"/>
    <cellStyle name="40% - Accent3 2 7 3 2" xfId="14717" xr:uid="{D12102C0-7DD5-404C-ABDB-D14994A984F4}"/>
    <cellStyle name="40% - Accent3 2 7 4" xfId="10504" xr:uid="{F2C898D6-F540-4E74-8EF1-065B3370AFEB}"/>
    <cellStyle name="40% - Accent3 2 8" xfId="2329" xr:uid="{00000000-0005-0000-0000-00004F050000}"/>
    <cellStyle name="40% - Accent3 2 8 2" xfId="6635" xr:uid="{00000000-0005-0000-0000-000050050000}"/>
    <cellStyle name="40% - Accent3 2 8 2 2" xfId="15130" xr:uid="{CA6F5A83-7D9A-4120-97A3-13AC321A992C}"/>
    <cellStyle name="40% - Accent3 2 8 3" xfId="10917" xr:uid="{04D2B875-0DEA-42CC-B630-D659C602C9DC}"/>
    <cellStyle name="40% - Accent3 2 9" xfId="4569" xr:uid="{00000000-0005-0000-0000-000051050000}"/>
    <cellStyle name="40% - Accent3 2 9 2" xfId="13065" xr:uid="{9EF216B6-6AE3-4FEC-87EA-74C5743AEE36}"/>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5628" xr:uid="{54BB02E8-2240-4D49-9076-A66541CFC0AB}"/>
    <cellStyle name="40% - Accent3 3 2 2 2 3" xfId="11415" xr:uid="{BB8BAF1A-DD51-470E-A75B-034A2312F038}"/>
    <cellStyle name="40% - Accent3 3 2 2 3" xfId="4988" xr:uid="{00000000-0005-0000-0000-000057050000}"/>
    <cellStyle name="40% - Accent3 3 2 2 3 2" xfId="13483" xr:uid="{81E8B7F9-FB25-438A-8EDE-7E6FF8AF8B34}"/>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041" xr:uid="{F760B29C-9048-4B4B-8E91-BD40677DEE1A}"/>
    <cellStyle name="40% - Accent3 3 2 3 2 3" xfId="11828" xr:uid="{1C450DE5-90E8-45C3-9041-C79190C09739}"/>
    <cellStyle name="40% - Accent3 3 2 3 3" xfId="5401" xr:uid="{00000000-0005-0000-0000-00005B050000}"/>
    <cellStyle name="40% - Accent3 3 2 3 3 2" xfId="13896" xr:uid="{94DB351D-4E8B-4C2F-AD12-730153047A24}"/>
    <cellStyle name="40% - Accent3 3 2 3 4" xfId="9683" xr:uid="{7D3AC2D5-7965-4CB4-B713-E24276433E7D}"/>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6454" xr:uid="{2EA7D5A6-C6A9-4BB0-80C9-393A1ADD5343}"/>
    <cellStyle name="40% - Accent3 3 2 4 2 3" xfId="12241" xr:uid="{623B4BA5-D4D4-4C31-94EE-65E3931089A0}"/>
    <cellStyle name="40% - Accent3 3 2 4 3" xfId="5814" xr:uid="{00000000-0005-0000-0000-00005F050000}"/>
    <cellStyle name="40% - Accent3 3 2 4 3 2" xfId="14309" xr:uid="{344F32D6-A32A-431B-8E41-F4E104C5651E}"/>
    <cellStyle name="40% - Accent3 3 2 4 4" xfId="10096" xr:uid="{A4FB765F-A5A4-46E3-B1FF-0E43CEB02431}"/>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6867" xr:uid="{83573C7A-4C3C-48B6-AB07-B73993541E7B}"/>
    <cellStyle name="40% - Accent3 3 2 5 2 3" xfId="12654" xr:uid="{7184C698-524C-4011-8922-87C63B475654}"/>
    <cellStyle name="40% - Accent3 3 2 5 3" xfId="6227" xr:uid="{00000000-0005-0000-0000-000063050000}"/>
    <cellStyle name="40% - Accent3 3 2 5 3 2" xfId="14722" xr:uid="{762C625A-1D4C-4D75-AE14-C7EF3A4CB28C}"/>
    <cellStyle name="40% - Accent3 3 2 5 4" xfId="10509" xr:uid="{EA89AFD6-79C1-41BB-8FE2-BA0956A90C25}"/>
    <cellStyle name="40% - Accent3 3 2 6" xfId="2334" xr:uid="{00000000-0005-0000-0000-000064050000}"/>
    <cellStyle name="40% - Accent3 3 2 6 2" xfId="6640" xr:uid="{00000000-0005-0000-0000-000065050000}"/>
    <cellStyle name="40% - Accent3 3 2 6 2 2" xfId="15135" xr:uid="{655B9166-9AE7-4380-B846-A7B7B559480B}"/>
    <cellStyle name="40% - Accent3 3 2 6 3" xfId="10922" xr:uid="{BF6E1952-44FF-415D-8239-717DB2BA1437}"/>
    <cellStyle name="40% - Accent3 3 2 7" xfId="4574" xr:uid="{00000000-0005-0000-0000-000066050000}"/>
    <cellStyle name="40% - Accent3 3 2 7 2" xfId="13070" xr:uid="{26223965-9D88-4497-BC8F-208FCBE5F0E8}"/>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2 2 2" xfId="15627" xr:uid="{5DE5C9A6-B2CB-4BA4-A81D-815187FAD64A}"/>
    <cellStyle name="40% - Accent3 3 3 2 3" xfId="11414" xr:uid="{75C2DD54-4E64-479F-9756-9C5BD195943E}"/>
    <cellStyle name="40% - Accent3 3 3 3" xfId="4987" xr:uid="{00000000-0005-0000-0000-00006A050000}"/>
    <cellStyle name="40% - Accent3 3 3 3 2" xfId="13482" xr:uid="{5E184545-2BC6-462A-B726-17825178E8CD}"/>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040" xr:uid="{C2023052-0EC5-4CC1-A8AE-17A80C7F08E8}"/>
    <cellStyle name="40% - Accent3 3 4 2 3" xfId="11827" xr:uid="{C6DC897E-35FF-4131-B123-F69E86113F32}"/>
    <cellStyle name="40% - Accent3 3 4 3" xfId="5400" xr:uid="{00000000-0005-0000-0000-00006E050000}"/>
    <cellStyle name="40% - Accent3 3 4 3 2" xfId="13895" xr:uid="{D32EC799-8BFB-4427-A754-5378A4B35EB4}"/>
    <cellStyle name="40% - Accent3 3 4 4" xfId="9682" xr:uid="{1B79ABF5-57E1-4524-98E0-40920C2530F7}"/>
    <cellStyle name="40% - Accent3 3 5" xfId="1506" xr:uid="{00000000-0005-0000-0000-00006F050000}"/>
    <cellStyle name="40% - Accent3 3 5 2" xfId="3736" xr:uid="{00000000-0005-0000-0000-000070050000}"/>
    <cellStyle name="40% - Accent3 3 5 2 2" xfId="7958" xr:uid="{00000000-0005-0000-0000-000071050000}"/>
    <cellStyle name="40% - Accent3 3 5 2 2 2" xfId="16453" xr:uid="{B427633F-7EA3-4A20-BDCB-7C7485BC7928}"/>
    <cellStyle name="40% - Accent3 3 5 2 3" xfId="12240" xr:uid="{A967207B-71EC-4C8E-A318-ED157040E42A}"/>
    <cellStyle name="40% - Accent3 3 5 3" xfId="5813" xr:uid="{00000000-0005-0000-0000-000072050000}"/>
    <cellStyle name="40% - Accent3 3 5 3 2" xfId="14308" xr:uid="{0DE075D2-3DD7-4625-AF9D-387458D124FC}"/>
    <cellStyle name="40% - Accent3 3 5 4" xfId="10095" xr:uid="{91E00369-02B1-4933-B364-490373D2ACA0}"/>
    <cellStyle name="40% - Accent3 3 6" xfId="1920" xr:uid="{00000000-0005-0000-0000-000073050000}"/>
    <cellStyle name="40% - Accent3 3 6 2" xfId="4149" xr:uid="{00000000-0005-0000-0000-000074050000}"/>
    <cellStyle name="40% - Accent3 3 6 2 2" xfId="8371" xr:uid="{00000000-0005-0000-0000-000075050000}"/>
    <cellStyle name="40% - Accent3 3 6 2 2 2" xfId="16866" xr:uid="{78638BCF-44DD-4456-A57C-630C2E50C9B5}"/>
    <cellStyle name="40% - Accent3 3 6 2 3" xfId="12653" xr:uid="{2B94AA11-E7B3-4D7B-A7F3-8F9F1C9A40BA}"/>
    <cellStyle name="40% - Accent3 3 6 3" xfId="6226" xr:uid="{00000000-0005-0000-0000-000076050000}"/>
    <cellStyle name="40% - Accent3 3 6 3 2" xfId="14721" xr:uid="{B6A2BD81-BB8F-4077-85A2-AB29E87A1FFF}"/>
    <cellStyle name="40% - Accent3 3 6 4" xfId="10508" xr:uid="{0F43AC1A-37F4-4E62-B2D0-DD76E841F125}"/>
    <cellStyle name="40% - Accent3 3 7" xfId="2333" xr:uid="{00000000-0005-0000-0000-000077050000}"/>
    <cellStyle name="40% - Accent3 3 7 2" xfId="6639" xr:uid="{00000000-0005-0000-0000-000078050000}"/>
    <cellStyle name="40% - Accent3 3 7 2 2" xfId="15134" xr:uid="{F86F8905-D33F-43F7-AE6E-F9613045C417}"/>
    <cellStyle name="40% - Accent3 3 7 3" xfId="10921" xr:uid="{0C18BAA9-4D1B-4533-859B-7A15D798582A}"/>
    <cellStyle name="40% - Accent3 3 8" xfId="4573" xr:uid="{00000000-0005-0000-0000-000079050000}"/>
    <cellStyle name="40% - Accent3 3 8 2" xfId="13069" xr:uid="{3B9EA845-3888-406D-8B14-8149B8E464FE}"/>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5629" xr:uid="{B51E689D-57C8-4F7D-A255-24CEC186CB25}"/>
    <cellStyle name="40% - Accent3 4 2 2 3" xfId="11416" xr:uid="{435788AA-6596-4C11-A814-5EB50018AACB}"/>
    <cellStyle name="40% - Accent3 4 2 3" xfId="4989" xr:uid="{00000000-0005-0000-0000-00007E050000}"/>
    <cellStyle name="40% - Accent3 4 2 3 2" xfId="13484" xr:uid="{8E1E5379-7DCF-43AF-BFD1-F6851ADA34DA}"/>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042" xr:uid="{DB464F6A-F266-427F-9E9E-107EA85C2686}"/>
    <cellStyle name="40% - Accent3 4 3 2 3" xfId="11829" xr:uid="{54627EE9-F270-4DD6-A9F6-10D8C47EBE53}"/>
    <cellStyle name="40% - Accent3 4 3 3" xfId="5402" xr:uid="{00000000-0005-0000-0000-000082050000}"/>
    <cellStyle name="40% - Accent3 4 3 3 2" xfId="13897" xr:uid="{ECCE0B03-D8F5-4091-B9DF-B90EDF5AA884}"/>
    <cellStyle name="40% - Accent3 4 3 4" xfId="9684" xr:uid="{38E5C89F-8D8C-49F9-B69C-A40582BD0288}"/>
    <cellStyle name="40% - Accent3 4 4" xfId="1508" xr:uid="{00000000-0005-0000-0000-000083050000}"/>
    <cellStyle name="40% - Accent3 4 4 2" xfId="3738" xr:uid="{00000000-0005-0000-0000-000084050000}"/>
    <cellStyle name="40% - Accent3 4 4 2 2" xfId="7960" xr:uid="{00000000-0005-0000-0000-000085050000}"/>
    <cellStyle name="40% - Accent3 4 4 2 2 2" xfId="16455" xr:uid="{8EF70889-1E69-468C-B2DA-DB027D502AFC}"/>
    <cellStyle name="40% - Accent3 4 4 2 3" xfId="12242" xr:uid="{5D3146BA-DCCE-4F03-9400-7594B64ADC71}"/>
    <cellStyle name="40% - Accent3 4 4 3" xfId="5815" xr:uid="{00000000-0005-0000-0000-000086050000}"/>
    <cellStyle name="40% - Accent3 4 4 3 2" xfId="14310" xr:uid="{B9EED9E7-8758-42F8-93BE-2E272945502A}"/>
    <cellStyle name="40% - Accent3 4 4 4" xfId="10097" xr:uid="{7C01FDF4-6DE2-40AC-9022-3BAC46B63D80}"/>
    <cellStyle name="40% - Accent3 4 5" xfId="1922" xr:uid="{00000000-0005-0000-0000-000087050000}"/>
    <cellStyle name="40% - Accent3 4 5 2" xfId="4151" xr:uid="{00000000-0005-0000-0000-000088050000}"/>
    <cellStyle name="40% - Accent3 4 5 2 2" xfId="8373" xr:uid="{00000000-0005-0000-0000-000089050000}"/>
    <cellStyle name="40% - Accent3 4 5 2 2 2" xfId="16868" xr:uid="{95A6593B-39CE-46BC-9798-9E67DC004CE9}"/>
    <cellStyle name="40% - Accent3 4 5 2 3" xfId="12655" xr:uid="{BF77C97D-1CA3-47EA-87E5-F2B720F90F68}"/>
    <cellStyle name="40% - Accent3 4 5 3" xfId="6228" xr:uid="{00000000-0005-0000-0000-00008A050000}"/>
    <cellStyle name="40% - Accent3 4 5 3 2" xfId="14723" xr:uid="{B263FA68-16CD-4FA2-8AB6-E218AE3A1C7E}"/>
    <cellStyle name="40% - Accent3 4 5 4" xfId="10510" xr:uid="{02A84747-59B0-4AD5-922E-8613FD204A3E}"/>
    <cellStyle name="40% - Accent3 4 6" xfId="2335" xr:uid="{00000000-0005-0000-0000-00008B050000}"/>
    <cellStyle name="40% - Accent3 4 6 2" xfId="6641" xr:uid="{00000000-0005-0000-0000-00008C050000}"/>
    <cellStyle name="40% - Accent3 4 6 2 2" xfId="15136" xr:uid="{FC1FB740-9EC0-4902-A377-2B83C2619D46}"/>
    <cellStyle name="40% - Accent3 4 6 3" xfId="10923" xr:uid="{51064676-C3B8-4D1F-A1AE-3204ADA14243}"/>
    <cellStyle name="40% - Accent3 4 7" xfId="4575" xr:uid="{00000000-0005-0000-0000-00008D050000}"/>
    <cellStyle name="40% - Accent3 4 7 2" xfId="13071" xr:uid="{AC2E5C23-10CB-47FB-8351-96D98A24CE55}"/>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2 2 2" xfId="15622" xr:uid="{D22789AF-36FF-497A-938D-EE42AC53A30F}"/>
    <cellStyle name="40% - Accent3 5 2 3" xfId="11409" xr:uid="{8F42E6DB-9305-4C97-B49A-51DBFA9D53BA}"/>
    <cellStyle name="40% - Accent3 5 3" xfId="4982" xr:uid="{00000000-0005-0000-0000-000091050000}"/>
    <cellStyle name="40% - Accent3 5 3 2" xfId="13477" xr:uid="{DFB59D40-1377-4FA3-84C4-123024825F1C}"/>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2 2 2" xfId="16035" xr:uid="{7EE03FF9-9BDD-4408-9A6E-DF4C5D2F92F8}"/>
    <cellStyle name="40% - Accent3 6 2 3" xfId="11822" xr:uid="{8F4DA4D7-AA8C-43B8-9640-93A5FD29055E}"/>
    <cellStyle name="40% - Accent3 6 3" xfId="5395" xr:uid="{00000000-0005-0000-0000-000095050000}"/>
    <cellStyle name="40% - Accent3 6 3 2" xfId="13890" xr:uid="{7E72BFF0-594B-4940-805B-5612CC12E5E3}"/>
    <cellStyle name="40% - Accent3 6 4" xfId="9677" xr:uid="{E616342B-5829-4BA4-852F-69297AD132AB}"/>
    <cellStyle name="40% - Accent3 7" xfId="1501" xr:uid="{00000000-0005-0000-0000-000096050000}"/>
    <cellStyle name="40% - Accent3 7 2" xfId="3731" xr:uid="{00000000-0005-0000-0000-000097050000}"/>
    <cellStyle name="40% - Accent3 7 2 2" xfId="7953" xr:uid="{00000000-0005-0000-0000-000098050000}"/>
    <cellStyle name="40% - Accent3 7 2 2 2" xfId="16448" xr:uid="{63D129E9-1FED-48BC-8912-B0FFA66A17DE}"/>
    <cellStyle name="40% - Accent3 7 2 3" xfId="12235" xr:uid="{81B2D1CF-44A5-444C-ABD7-7D63901D405B}"/>
    <cellStyle name="40% - Accent3 7 3" xfId="5808" xr:uid="{00000000-0005-0000-0000-000099050000}"/>
    <cellStyle name="40% - Accent3 7 3 2" xfId="14303" xr:uid="{44A9B8EC-127C-4AB8-8313-ACC65A01F53D}"/>
    <cellStyle name="40% - Accent3 7 4" xfId="10090" xr:uid="{991D5CCA-813F-4C93-98E0-EEA7D14DCD6C}"/>
    <cellStyle name="40% - Accent3 8" xfId="1915" xr:uid="{00000000-0005-0000-0000-00009A050000}"/>
    <cellStyle name="40% - Accent3 8 2" xfId="4144" xr:uid="{00000000-0005-0000-0000-00009B050000}"/>
    <cellStyle name="40% - Accent3 8 2 2" xfId="8366" xr:uid="{00000000-0005-0000-0000-00009C050000}"/>
    <cellStyle name="40% - Accent3 8 2 2 2" xfId="16861" xr:uid="{3AD5404A-596B-417B-856D-3C64216EB912}"/>
    <cellStyle name="40% - Accent3 8 2 3" xfId="12648" xr:uid="{E24CA2E5-A43F-47F8-95EC-15F4295AA521}"/>
    <cellStyle name="40% - Accent3 8 3" xfId="6221" xr:uid="{00000000-0005-0000-0000-00009D050000}"/>
    <cellStyle name="40% - Accent3 8 3 2" xfId="14716" xr:uid="{92641C9C-C590-4BAD-B334-C16227C85A16}"/>
    <cellStyle name="40% - Accent3 8 4" xfId="10503" xr:uid="{62346198-3E00-4534-AAF7-843FC8B1B3B5}"/>
    <cellStyle name="40% - Accent3 9" xfId="2328" xr:uid="{00000000-0005-0000-0000-00009E050000}"/>
    <cellStyle name="40% - Accent3 9 2" xfId="6634" xr:uid="{00000000-0005-0000-0000-00009F050000}"/>
    <cellStyle name="40% - Accent3 9 2 2" xfId="15129" xr:uid="{B3728F2D-121C-4C88-B229-494F386862DD}"/>
    <cellStyle name="40% - Accent3 9 3" xfId="10916" xr:uid="{25AA58FE-D612-4EB4-8B7B-DAFBFD4C68DA}"/>
    <cellStyle name="40% - Accent4" xfId="73" builtinId="43" customBuiltin="1"/>
    <cellStyle name="40% - Accent4 10" xfId="4576" xr:uid="{00000000-0005-0000-0000-0000A1050000}"/>
    <cellStyle name="40% - Accent4 10 2" xfId="13072" xr:uid="{8CA4091C-066A-4BCE-BA2A-9E31FAE6450D}"/>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5633" xr:uid="{99E924FC-9353-4C8A-8F1F-6CBE04683409}"/>
    <cellStyle name="40% - Accent4 2 2 2 2 2 3" xfId="11420" xr:uid="{2A6F5620-F4BE-49FB-B3F6-80FE80C8AF65}"/>
    <cellStyle name="40% - Accent4 2 2 2 2 3" xfId="4993" xr:uid="{00000000-0005-0000-0000-0000A8050000}"/>
    <cellStyle name="40% - Accent4 2 2 2 2 3 2" xfId="13488" xr:uid="{AFE2B670-CAC4-4DC3-B55B-7E0539988208}"/>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046" xr:uid="{EFADA5B0-E70C-4125-B28C-D756F66F3574}"/>
    <cellStyle name="40% - Accent4 2 2 2 3 2 3" xfId="11833" xr:uid="{909CA679-B723-4DAC-91B7-FEA1D58AEC94}"/>
    <cellStyle name="40% - Accent4 2 2 2 3 3" xfId="5406" xr:uid="{00000000-0005-0000-0000-0000AC050000}"/>
    <cellStyle name="40% - Accent4 2 2 2 3 3 2" xfId="13901" xr:uid="{1D1DB58C-8F20-4531-A258-326162B85333}"/>
    <cellStyle name="40% - Accent4 2 2 2 3 4" xfId="9688" xr:uid="{F73D9099-AE17-4CF9-9AC0-7F3A9E4AF3A9}"/>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6459" xr:uid="{20CE4E50-036A-4BE2-A82D-483C8FB98888}"/>
    <cellStyle name="40% - Accent4 2 2 2 4 2 3" xfId="12246" xr:uid="{2BD1EAE2-0F32-4B1F-AB40-A370493AA3BF}"/>
    <cellStyle name="40% - Accent4 2 2 2 4 3" xfId="5819" xr:uid="{00000000-0005-0000-0000-0000B0050000}"/>
    <cellStyle name="40% - Accent4 2 2 2 4 3 2" xfId="14314" xr:uid="{68F33B11-1464-4FFA-BA51-640F3249D8E2}"/>
    <cellStyle name="40% - Accent4 2 2 2 4 4" xfId="10101" xr:uid="{77DC7ED8-B15F-4472-A842-45491E10088D}"/>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6872" xr:uid="{DEA94176-CD72-4F6B-92DD-3E3CE1CDC868}"/>
    <cellStyle name="40% - Accent4 2 2 2 5 2 3" xfId="12659" xr:uid="{DDE49B5C-2CED-4889-BD61-B2DEE49D3105}"/>
    <cellStyle name="40% - Accent4 2 2 2 5 3" xfId="6232" xr:uid="{00000000-0005-0000-0000-0000B4050000}"/>
    <cellStyle name="40% - Accent4 2 2 2 5 3 2" xfId="14727" xr:uid="{7E9582C3-C1E0-497A-892E-5C793A4E2AD0}"/>
    <cellStyle name="40% - Accent4 2 2 2 5 4" xfId="10514" xr:uid="{70471930-46C7-47AB-A343-918981267A2C}"/>
    <cellStyle name="40% - Accent4 2 2 2 6" xfId="2339" xr:uid="{00000000-0005-0000-0000-0000B5050000}"/>
    <cellStyle name="40% - Accent4 2 2 2 6 2" xfId="6645" xr:uid="{00000000-0005-0000-0000-0000B6050000}"/>
    <cellStyle name="40% - Accent4 2 2 2 6 2 2" xfId="15140" xr:uid="{3D6012B4-845E-4843-B0A9-D065FAEE7857}"/>
    <cellStyle name="40% - Accent4 2 2 2 6 3" xfId="10927" xr:uid="{BEF3C97E-8227-4AB7-BF49-459C415FEE33}"/>
    <cellStyle name="40% - Accent4 2 2 2 7" xfId="4579" xr:uid="{00000000-0005-0000-0000-0000B7050000}"/>
    <cellStyle name="40% - Accent4 2 2 2 7 2" xfId="13075" xr:uid="{BD03565D-E1AF-4F4E-B243-C99A7913AD44}"/>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5632" xr:uid="{BB3B80E9-8057-436C-9553-A61488614834}"/>
    <cellStyle name="40% - Accent4 2 2 3 2 3" xfId="11419" xr:uid="{E3906363-8F3F-4272-A77F-FF21DF733775}"/>
    <cellStyle name="40% - Accent4 2 2 3 3" xfId="4992" xr:uid="{00000000-0005-0000-0000-0000BB050000}"/>
    <cellStyle name="40% - Accent4 2 2 3 3 2" xfId="13487" xr:uid="{14A504BC-9406-4680-AC9D-9D9D7D23B5E2}"/>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045" xr:uid="{DC7CC473-A664-4CCA-AFB0-23609E9A2F0B}"/>
    <cellStyle name="40% - Accent4 2 2 4 2 3" xfId="11832" xr:uid="{573FB256-E291-4208-9D9B-796D68F08726}"/>
    <cellStyle name="40% - Accent4 2 2 4 3" xfId="5405" xr:uid="{00000000-0005-0000-0000-0000BF050000}"/>
    <cellStyle name="40% - Accent4 2 2 4 3 2" xfId="13900" xr:uid="{390DC890-6534-4438-A946-38B80AAAB251}"/>
    <cellStyle name="40% - Accent4 2 2 4 4" xfId="9687" xr:uid="{DFAC00A4-AFFE-44FF-BBC2-C4B65370006A}"/>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6458" xr:uid="{3C774DFB-DC23-4B2A-9E35-404DAFC9F046}"/>
    <cellStyle name="40% - Accent4 2 2 5 2 3" xfId="12245" xr:uid="{DAD3A634-EC12-4432-8AA2-DBA76FD99041}"/>
    <cellStyle name="40% - Accent4 2 2 5 3" xfId="5818" xr:uid="{00000000-0005-0000-0000-0000C3050000}"/>
    <cellStyle name="40% - Accent4 2 2 5 3 2" xfId="14313" xr:uid="{1DDB60EA-22D0-415D-A58C-CA79FCD41A83}"/>
    <cellStyle name="40% - Accent4 2 2 5 4" xfId="10100" xr:uid="{DA01B761-1B52-4213-B343-6E7D714CB4C7}"/>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6871" xr:uid="{07E9DC53-A806-49F1-B966-70E05A592101}"/>
    <cellStyle name="40% - Accent4 2 2 6 2 3" xfId="12658" xr:uid="{0256E289-2B49-4CA2-A244-399834C4D273}"/>
    <cellStyle name="40% - Accent4 2 2 6 3" xfId="6231" xr:uid="{00000000-0005-0000-0000-0000C7050000}"/>
    <cellStyle name="40% - Accent4 2 2 6 3 2" xfId="14726" xr:uid="{2114E498-FC9D-4437-97E8-6493B23BABED}"/>
    <cellStyle name="40% - Accent4 2 2 6 4" xfId="10513" xr:uid="{F94866E2-900F-4783-A3F5-66888A84DEAE}"/>
    <cellStyle name="40% - Accent4 2 2 7" xfId="2338" xr:uid="{00000000-0005-0000-0000-0000C8050000}"/>
    <cellStyle name="40% - Accent4 2 2 7 2" xfId="6644" xr:uid="{00000000-0005-0000-0000-0000C9050000}"/>
    <cellStyle name="40% - Accent4 2 2 7 2 2" xfId="15139" xr:uid="{19174E4D-8F6F-480D-AB00-82DD47335B85}"/>
    <cellStyle name="40% - Accent4 2 2 7 3" xfId="10926" xr:uid="{C52117FD-D04D-40D6-8FE4-A9B3E2D9BA6B}"/>
    <cellStyle name="40% - Accent4 2 2 8" xfId="4578" xr:uid="{00000000-0005-0000-0000-0000CA050000}"/>
    <cellStyle name="40% - Accent4 2 2 8 2" xfId="13074" xr:uid="{4C284381-D705-444A-8D71-F5F89FAF0F4F}"/>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5634" xr:uid="{DB9AE404-0CD6-44C4-8F2E-2AAADC8CC3A8}"/>
    <cellStyle name="40% - Accent4 2 3 2 2 3" xfId="11421" xr:uid="{D6EA4783-F99F-496F-B69A-CF90D8D74E9F}"/>
    <cellStyle name="40% - Accent4 2 3 2 3" xfId="4994" xr:uid="{00000000-0005-0000-0000-0000CF050000}"/>
    <cellStyle name="40% - Accent4 2 3 2 3 2" xfId="13489" xr:uid="{8BC260BC-2E17-46AC-8F56-38E93C4E3EA9}"/>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047" xr:uid="{4F85F355-96C8-4EC3-9117-83D517A669B1}"/>
    <cellStyle name="40% - Accent4 2 3 3 2 3" xfId="11834" xr:uid="{96A9D52F-61E1-4B50-9C74-044AF8BAC7C1}"/>
    <cellStyle name="40% - Accent4 2 3 3 3" xfId="5407" xr:uid="{00000000-0005-0000-0000-0000D3050000}"/>
    <cellStyle name="40% - Accent4 2 3 3 3 2" xfId="13902" xr:uid="{22928063-0DCC-46C9-9931-2B7C6FD19B43}"/>
    <cellStyle name="40% - Accent4 2 3 3 4" xfId="9689" xr:uid="{8D2F6C7B-26F0-4DB7-87D4-8D40B85C015B}"/>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6460" xr:uid="{12A4D89F-5DA7-4E95-9A25-37EA9568338F}"/>
    <cellStyle name="40% - Accent4 2 3 4 2 3" xfId="12247" xr:uid="{AC13DDF0-67DC-42F5-A14D-5028A0DE26FC}"/>
    <cellStyle name="40% - Accent4 2 3 4 3" xfId="5820" xr:uid="{00000000-0005-0000-0000-0000D7050000}"/>
    <cellStyle name="40% - Accent4 2 3 4 3 2" xfId="14315" xr:uid="{24C312DE-2771-4C69-92F6-7B1E92EB9F8B}"/>
    <cellStyle name="40% - Accent4 2 3 4 4" xfId="10102" xr:uid="{5EF91CE7-FFDE-4CF7-AE64-D088B9261D01}"/>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6873" xr:uid="{B22E4723-D55C-4ED4-A223-D5B076947072}"/>
    <cellStyle name="40% - Accent4 2 3 5 2 3" xfId="12660" xr:uid="{CDDBB7D4-7672-47E6-A942-C159C69FF5FB}"/>
    <cellStyle name="40% - Accent4 2 3 5 3" xfId="6233" xr:uid="{00000000-0005-0000-0000-0000DB050000}"/>
    <cellStyle name="40% - Accent4 2 3 5 3 2" xfId="14728" xr:uid="{9267CF20-DAD0-4609-981C-FB0BA7BE8D29}"/>
    <cellStyle name="40% - Accent4 2 3 5 4" xfId="10515" xr:uid="{C5186103-AF1E-4C16-B464-183B6D5E48E2}"/>
    <cellStyle name="40% - Accent4 2 3 6" xfId="2340" xr:uid="{00000000-0005-0000-0000-0000DC050000}"/>
    <cellStyle name="40% - Accent4 2 3 6 2" xfId="6646" xr:uid="{00000000-0005-0000-0000-0000DD050000}"/>
    <cellStyle name="40% - Accent4 2 3 6 2 2" xfId="15141" xr:uid="{060C8DBA-37F6-4364-87D6-71925D70D667}"/>
    <cellStyle name="40% - Accent4 2 3 6 3" xfId="10928" xr:uid="{A9E2A9BC-7884-4057-BFF4-E17C06C0B209}"/>
    <cellStyle name="40% - Accent4 2 3 7" xfId="4580" xr:uid="{00000000-0005-0000-0000-0000DE050000}"/>
    <cellStyle name="40% - Accent4 2 3 7 2" xfId="13076" xr:uid="{44A0250A-0D8C-4BF9-B8F7-CF529406A4C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2 2 2" xfId="15631" xr:uid="{28A578C9-1131-4D5E-88C1-9494259BC0F3}"/>
    <cellStyle name="40% - Accent4 2 4 2 3" xfId="11418" xr:uid="{0D3C8DDD-D9DA-463E-9E3D-D84D15FB34B5}"/>
    <cellStyle name="40% - Accent4 2 4 3" xfId="4991" xr:uid="{00000000-0005-0000-0000-0000E2050000}"/>
    <cellStyle name="40% - Accent4 2 4 3 2" xfId="13486" xr:uid="{7B49AF6C-8B60-473A-933C-150BC677DB4E}"/>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044" xr:uid="{45F487DD-8F24-41FF-A161-C1BB36AF711F}"/>
    <cellStyle name="40% - Accent4 2 5 2 3" xfId="11831" xr:uid="{F082D060-2561-4B2C-B91A-A30F6511E756}"/>
    <cellStyle name="40% - Accent4 2 5 3" xfId="5404" xr:uid="{00000000-0005-0000-0000-0000E6050000}"/>
    <cellStyle name="40% - Accent4 2 5 3 2" xfId="13899" xr:uid="{27FF1792-02C0-4451-A412-CB1C80BD61B2}"/>
    <cellStyle name="40% - Accent4 2 5 4" xfId="9686" xr:uid="{3FA6FC9B-2F08-45CF-8D2A-589209F6F5EF}"/>
    <cellStyle name="40% - Accent4 2 6" xfId="1510" xr:uid="{00000000-0005-0000-0000-0000E7050000}"/>
    <cellStyle name="40% - Accent4 2 6 2" xfId="3740" xr:uid="{00000000-0005-0000-0000-0000E8050000}"/>
    <cellStyle name="40% - Accent4 2 6 2 2" xfId="7962" xr:uid="{00000000-0005-0000-0000-0000E9050000}"/>
    <cellStyle name="40% - Accent4 2 6 2 2 2" xfId="16457" xr:uid="{D59350B1-5529-43F6-BFFA-501BE9F32BA7}"/>
    <cellStyle name="40% - Accent4 2 6 2 3" xfId="12244" xr:uid="{70E2BE8E-CB8D-4F09-A524-F9B6DFE9DC87}"/>
    <cellStyle name="40% - Accent4 2 6 3" xfId="5817" xr:uid="{00000000-0005-0000-0000-0000EA050000}"/>
    <cellStyle name="40% - Accent4 2 6 3 2" xfId="14312" xr:uid="{BFAFF081-3C20-4A42-BB4E-9D214E811FC6}"/>
    <cellStyle name="40% - Accent4 2 6 4" xfId="10099" xr:uid="{036AD67B-B102-4CD4-ADF6-CE9B78E503C7}"/>
    <cellStyle name="40% - Accent4 2 7" xfId="1924" xr:uid="{00000000-0005-0000-0000-0000EB050000}"/>
    <cellStyle name="40% - Accent4 2 7 2" xfId="4153" xr:uid="{00000000-0005-0000-0000-0000EC050000}"/>
    <cellStyle name="40% - Accent4 2 7 2 2" xfId="8375" xr:uid="{00000000-0005-0000-0000-0000ED050000}"/>
    <cellStyle name="40% - Accent4 2 7 2 2 2" xfId="16870" xr:uid="{642F7C89-2620-40F9-A05F-05A2900B5C59}"/>
    <cellStyle name="40% - Accent4 2 7 2 3" xfId="12657" xr:uid="{57F689B4-73A3-4FC1-A566-E0F0999AD501}"/>
    <cellStyle name="40% - Accent4 2 7 3" xfId="6230" xr:uid="{00000000-0005-0000-0000-0000EE050000}"/>
    <cellStyle name="40% - Accent4 2 7 3 2" xfId="14725" xr:uid="{47A37F65-7F73-48B6-9FBC-E5CEED5F13B5}"/>
    <cellStyle name="40% - Accent4 2 7 4" xfId="10512" xr:uid="{3E973F1C-1EE2-457B-A4A6-4F016CDDDEC9}"/>
    <cellStyle name="40% - Accent4 2 8" xfId="2337" xr:uid="{00000000-0005-0000-0000-0000EF050000}"/>
    <cellStyle name="40% - Accent4 2 8 2" xfId="6643" xr:uid="{00000000-0005-0000-0000-0000F0050000}"/>
    <cellStyle name="40% - Accent4 2 8 2 2" xfId="15138" xr:uid="{B7306B02-DB89-41D0-A128-7C504BBE6E6B}"/>
    <cellStyle name="40% - Accent4 2 8 3" xfId="10925" xr:uid="{F0D67162-A125-4FE9-84ED-225A2C840B37}"/>
    <cellStyle name="40% - Accent4 2 9" xfId="4577" xr:uid="{00000000-0005-0000-0000-0000F1050000}"/>
    <cellStyle name="40% - Accent4 2 9 2" xfId="13073" xr:uid="{66F066FA-718D-436E-B236-1B400DFB6DEC}"/>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5636" xr:uid="{9F086D9C-3955-467E-898D-9D47FF7FA13C}"/>
    <cellStyle name="40% - Accent4 3 2 2 2 3" xfId="11423" xr:uid="{D027140A-D589-412A-8DFE-57B61C63F6A4}"/>
    <cellStyle name="40% - Accent4 3 2 2 3" xfId="4996" xr:uid="{00000000-0005-0000-0000-0000F7050000}"/>
    <cellStyle name="40% - Accent4 3 2 2 3 2" xfId="13491" xr:uid="{ACBEF26E-F7FB-4024-A7E2-89DF5993E13D}"/>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049" xr:uid="{D0B4FD7F-A491-46C0-86DF-1F144D9DB92D}"/>
    <cellStyle name="40% - Accent4 3 2 3 2 3" xfId="11836" xr:uid="{ED1EAF6B-9FBB-42AE-843B-DDE9A62F8FA7}"/>
    <cellStyle name="40% - Accent4 3 2 3 3" xfId="5409" xr:uid="{00000000-0005-0000-0000-0000FB050000}"/>
    <cellStyle name="40% - Accent4 3 2 3 3 2" xfId="13904" xr:uid="{2563AD5F-4372-44D1-B0AD-DFF245FB7E2A}"/>
    <cellStyle name="40% - Accent4 3 2 3 4" xfId="9691" xr:uid="{B99EAB23-23F1-4454-A599-89383AA08394}"/>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6462" xr:uid="{422EEA93-62A8-487D-90B1-6C1FCADCFF44}"/>
    <cellStyle name="40% - Accent4 3 2 4 2 3" xfId="12249" xr:uid="{FDBA851D-0FE0-4EC4-9C36-E67806FBE467}"/>
    <cellStyle name="40% - Accent4 3 2 4 3" xfId="5822" xr:uid="{00000000-0005-0000-0000-0000FF050000}"/>
    <cellStyle name="40% - Accent4 3 2 4 3 2" xfId="14317" xr:uid="{3DB0E351-E257-42CC-B9AD-6991975C960C}"/>
    <cellStyle name="40% - Accent4 3 2 4 4" xfId="10104" xr:uid="{DD3B5BDC-DA0D-4FE9-A514-66711B32C210}"/>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6875" xr:uid="{0845782D-CFC5-42F6-B4DC-1F0F402CAB53}"/>
    <cellStyle name="40% - Accent4 3 2 5 2 3" xfId="12662" xr:uid="{B4AE202D-6629-4CBC-9F6C-011394914A63}"/>
    <cellStyle name="40% - Accent4 3 2 5 3" xfId="6235" xr:uid="{00000000-0005-0000-0000-000003060000}"/>
    <cellStyle name="40% - Accent4 3 2 5 3 2" xfId="14730" xr:uid="{C8B1453B-A360-43A3-8B40-1496B7079342}"/>
    <cellStyle name="40% - Accent4 3 2 5 4" xfId="10517" xr:uid="{BD6B0E1B-AE31-42B5-91B7-AD8CCC71C73A}"/>
    <cellStyle name="40% - Accent4 3 2 6" xfId="2342" xr:uid="{00000000-0005-0000-0000-000004060000}"/>
    <cellStyle name="40% - Accent4 3 2 6 2" xfId="6648" xr:uid="{00000000-0005-0000-0000-000005060000}"/>
    <cellStyle name="40% - Accent4 3 2 6 2 2" xfId="15143" xr:uid="{15002819-3583-46D7-B63E-72BDA2E40352}"/>
    <cellStyle name="40% - Accent4 3 2 6 3" xfId="10930" xr:uid="{40FB6D3A-9FBA-4695-AEF4-9A3C6F23EFA3}"/>
    <cellStyle name="40% - Accent4 3 2 7" xfId="4582" xr:uid="{00000000-0005-0000-0000-000006060000}"/>
    <cellStyle name="40% - Accent4 3 2 7 2" xfId="13078" xr:uid="{9B098121-622F-4384-A142-2705A47DFF85}"/>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5635" xr:uid="{DC3F960B-1837-403F-AE91-7915CDB7B739}"/>
    <cellStyle name="40% - Accent4 3 3 2 3" xfId="11422" xr:uid="{24623563-A5DB-4386-9683-48A6D97B6427}"/>
    <cellStyle name="40% - Accent4 3 3 3" xfId="4995" xr:uid="{00000000-0005-0000-0000-00000A060000}"/>
    <cellStyle name="40% - Accent4 3 3 3 2" xfId="13490" xr:uid="{70D77FEB-E98C-4724-8267-C11CE863E16F}"/>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048" xr:uid="{825BA997-BC8F-4FFB-B3F4-A6D46A7F9BE7}"/>
    <cellStyle name="40% - Accent4 3 4 2 3" xfId="11835" xr:uid="{13F863F6-4DCE-401A-8704-981E00A0CEA5}"/>
    <cellStyle name="40% - Accent4 3 4 3" xfId="5408" xr:uid="{00000000-0005-0000-0000-00000E060000}"/>
    <cellStyle name="40% - Accent4 3 4 3 2" xfId="13903" xr:uid="{623E5645-5D9D-4B4A-B4DE-01283A2A85E3}"/>
    <cellStyle name="40% - Accent4 3 4 4" xfId="9690" xr:uid="{DFE2CD6E-BE61-4516-A831-2738BD4F2430}"/>
    <cellStyle name="40% - Accent4 3 5" xfId="1514" xr:uid="{00000000-0005-0000-0000-00000F060000}"/>
    <cellStyle name="40% - Accent4 3 5 2" xfId="3744" xr:uid="{00000000-0005-0000-0000-000010060000}"/>
    <cellStyle name="40% - Accent4 3 5 2 2" xfId="7966" xr:uid="{00000000-0005-0000-0000-000011060000}"/>
    <cellStyle name="40% - Accent4 3 5 2 2 2" xfId="16461" xr:uid="{9C02DA6F-9D6B-40A8-A8A6-B5D1E6E87918}"/>
    <cellStyle name="40% - Accent4 3 5 2 3" xfId="12248" xr:uid="{0D546448-780F-463F-9D73-6EA4E3559BC9}"/>
    <cellStyle name="40% - Accent4 3 5 3" xfId="5821" xr:uid="{00000000-0005-0000-0000-000012060000}"/>
    <cellStyle name="40% - Accent4 3 5 3 2" xfId="14316" xr:uid="{302F79E6-6B71-4D91-A0F2-33FD020FAE20}"/>
    <cellStyle name="40% - Accent4 3 5 4" xfId="10103" xr:uid="{59B49B97-4742-405E-95E6-97826C5ECB99}"/>
    <cellStyle name="40% - Accent4 3 6" xfId="1928" xr:uid="{00000000-0005-0000-0000-000013060000}"/>
    <cellStyle name="40% - Accent4 3 6 2" xfId="4157" xr:uid="{00000000-0005-0000-0000-000014060000}"/>
    <cellStyle name="40% - Accent4 3 6 2 2" xfId="8379" xr:uid="{00000000-0005-0000-0000-000015060000}"/>
    <cellStyle name="40% - Accent4 3 6 2 2 2" xfId="16874" xr:uid="{156DAE9B-BD77-47E5-ABAF-31461DF73C4C}"/>
    <cellStyle name="40% - Accent4 3 6 2 3" xfId="12661" xr:uid="{BE2398A0-0D8E-45E6-8E38-4C0B017C9032}"/>
    <cellStyle name="40% - Accent4 3 6 3" xfId="6234" xr:uid="{00000000-0005-0000-0000-000016060000}"/>
    <cellStyle name="40% - Accent4 3 6 3 2" xfId="14729" xr:uid="{E184922A-8A0D-4738-9298-22F60ABB0B16}"/>
    <cellStyle name="40% - Accent4 3 6 4" xfId="10516" xr:uid="{FD75C568-6155-4C99-B0FA-7F7FB24C4EB6}"/>
    <cellStyle name="40% - Accent4 3 7" xfId="2341" xr:uid="{00000000-0005-0000-0000-000017060000}"/>
    <cellStyle name="40% - Accent4 3 7 2" xfId="6647" xr:uid="{00000000-0005-0000-0000-000018060000}"/>
    <cellStyle name="40% - Accent4 3 7 2 2" xfId="15142" xr:uid="{87CF9E15-6EAD-4985-8F5E-1F92FF4F926C}"/>
    <cellStyle name="40% - Accent4 3 7 3" xfId="10929" xr:uid="{A1E3AF8C-9A26-4C32-9854-80DF8CA911C3}"/>
    <cellStyle name="40% - Accent4 3 8" xfId="4581" xr:uid="{00000000-0005-0000-0000-000019060000}"/>
    <cellStyle name="40% - Accent4 3 8 2" xfId="13077" xr:uid="{AEB5AA9E-C09B-42E9-BFE1-1046279CD372}"/>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5637" xr:uid="{637B630B-4BE6-4D7E-B9AA-CA0D7A01E8C2}"/>
    <cellStyle name="40% - Accent4 4 2 2 3" xfId="11424" xr:uid="{8142CACA-C2E4-44A7-81D2-24657C0F2C3E}"/>
    <cellStyle name="40% - Accent4 4 2 3" xfId="4997" xr:uid="{00000000-0005-0000-0000-00001E060000}"/>
    <cellStyle name="40% - Accent4 4 2 3 2" xfId="13492" xr:uid="{17211C20-B63A-424B-AE46-4C8AC6964D71}"/>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050" xr:uid="{46D9CE3F-745C-4D39-B855-79B5CEB430A4}"/>
    <cellStyle name="40% - Accent4 4 3 2 3" xfId="11837" xr:uid="{4404871C-FD97-4897-B1D9-19280BC4501A}"/>
    <cellStyle name="40% - Accent4 4 3 3" xfId="5410" xr:uid="{00000000-0005-0000-0000-000022060000}"/>
    <cellStyle name="40% - Accent4 4 3 3 2" xfId="13905" xr:uid="{DA4B12A5-515B-42FD-BECF-4A01A342E0D6}"/>
    <cellStyle name="40% - Accent4 4 3 4" xfId="9692" xr:uid="{9648C771-DEAF-4B33-A284-DCCE9EDAC954}"/>
    <cellStyle name="40% - Accent4 4 4" xfId="1516" xr:uid="{00000000-0005-0000-0000-000023060000}"/>
    <cellStyle name="40% - Accent4 4 4 2" xfId="3746" xr:uid="{00000000-0005-0000-0000-000024060000}"/>
    <cellStyle name="40% - Accent4 4 4 2 2" xfId="7968" xr:uid="{00000000-0005-0000-0000-000025060000}"/>
    <cellStyle name="40% - Accent4 4 4 2 2 2" xfId="16463" xr:uid="{48B75611-556F-4B3C-8B5B-A34284159D38}"/>
    <cellStyle name="40% - Accent4 4 4 2 3" xfId="12250" xr:uid="{65F04A0D-AFCD-4AF6-B8F8-37962A98E112}"/>
    <cellStyle name="40% - Accent4 4 4 3" xfId="5823" xr:uid="{00000000-0005-0000-0000-000026060000}"/>
    <cellStyle name="40% - Accent4 4 4 3 2" xfId="14318" xr:uid="{7C9371AE-AC9A-4C44-A004-CF24330B39E6}"/>
    <cellStyle name="40% - Accent4 4 4 4" xfId="10105" xr:uid="{920B0821-D91B-4623-8189-471D896D16F9}"/>
    <cellStyle name="40% - Accent4 4 5" xfId="1930" xr:uid="{00000000-0005-0000-0000-000027060000}"/>
    <cellStyle name="40% - Accent4 4 5 2" xfId="4159" xr:uid="{00000000-0005-0000-0000-000028060000}"/>
    <cellStyle name="40% - Accent4 4 5 2 2" xfId="8381" xr:uid="{00000000-0005-0000-0000-000029060000}"/>
    <cellStyle name="40% - Accent4 4 5 2 2 2" xfId="16876" xr:uid="{AAEA5E31-89CE-45E8-B2A9-82FD20800FF9}"/>
    <cellStyle name="40% - Accent4 4 5 2 3" xfId="12663" xr:uid="{9E2083C9-698C-45C6-BEED-80DBF47DBB5E}"/>
    <cellStyle name="40% - Accent4 4 5 3" xfId="6236" xr:uid="{00000000-0005-0000-0000-00002A060000}"/>
    <cellStyle name="40% - Accent4 4 5 3 2" xfId="14731" xr:uid="{F1030044-82B1-4950-99A8-EDFBDDEA01FF}"/>
    <cellStyle name="40% - Accent4 4 5 4" xfId="10518" xr:uid="{F9899C28-35C5-41D4-B4FC-37B9AD201FA5}"/>
    <cellStyle name="40% - Accent4 4 6" xfId="2343" xr:uid="{00000000-0005-0000-0000-00002B060000}"/>
    <cellStyle name="40% - Accent4 4 6 2" xfId="6649" xr:uid="{00000000-0005-0000-0000-00002C060000}"/>
    <cellStyle name="40% - Accent4 4 6 2 2" xfId="15144" xr:uid="{9A353137-29F1-4382-BEB1-7B392EE4A353}"/>
    <cellStyle name="40% - Accent4 4 6 3" xfId="10931" xr:uid="{F1800C7F-8746-4589-9288-6F5220FF8B44}"/>
    <cellStyle name="40% - Accent4 4 7" xfId="4583" xr:uid="{00000000-0005-0000-0000-00002D060000}"/>
    <cellStyle name="40% - Accent4 4 7 2" xfId="13079" xr:uid="{45CB2E0A-8EC3-4A47-B73F-C9469186CE41}"/>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2 2 2" xfId="15630" xr:uid="{5ACDA206-B086-4D96-8675-6E86E3F4337A}"/>
    <cellStyle name="40% - Accent4 5 2 3" xfId="11417" xr:uid="{8028241F-70CD-4D24-98E9-4ABC8AA3D858}"/>
    <cellStyle name="40% - Accent4 5 3" xfId="4990" xr:uid="{00000000-0005-0000-0000-000031060000}"/>
    <cellStyle name="40% - Accent4 5 3 2" xfId="13485" xr:uid="{09332A0D-7960-438A-BCDE-825C055CE50C}"/>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2 2 2" xfId="16043" xr:uid="{A18E984D-CF19-4BCD-96BC-9C1B719B6FCF}"/>
    <cellStyle name="40% - Accent4 6 2 3" xfId="11830" xr:uid="{DA2747B7-D550-45D7-BF9F-A9B7E53382F2}"/>
    <cellStyle name="40% - Accent4 6 3" xfId="5403" xr:uid="{00000000-0005-0000-0000-000035060000}"/>
    <cellStyle name="40% - Accent4 6 3 2" xfId="13898" xr:uid="{C94E4350-444F-47E6-9B8D-4C9B5B30B1BC}"/>
    <cellStyle name="40% - Accent4 6 4" xfId="9685" xr:uid="{6E3CA4E8-EB36-4270-B6F5-2BB299B104F5}"/>
    <cellStyle name="40% - Accent4 7" xfId="1509" xr:uid="{00000000-0005-0000-0000-000036060000}"/>
    <cellStyle name="40% - Accent4 7 2" xfId="3739" xr:uid="{00000000-0005-0000-0000-000037060000}"/>
    <cellStyle name="40% - Accent4 7 2 2" xfId="7961" xr:uid="{00000000-0005-0000-0000-000038060000}"/>
    <cellStyle name="40% - Accent4 7 2 2 2" xfId="16456" xr:uid="{B4D9F687-4E60-4DB9-80AF-442F07EBD725}"/>
    <cellStyle name="40% - Accent4 7 2 3" xfId="12243" xr:uid="{1A35075B-13B2-4EC5-BF2B-45D350A9950B}"/>
    <cellStyle name="40% - Accent4 7 3" xfId="5816" xr:uid="{00000000-0005-0000-0000-000039060000}"/>
    <cellStyle name="40% - Accent4 7 3 2" xfId="14311" xr:uid="{2542F9B4-44F7-458A-80C4-75DE7FE001C7}"/>
    <cellStyle name="40% - Accent4 7 4" xfId="10098" xr:uid="{3447189C-765D-472F-916F-84408F05CA51}"/>
    <cellStyle name="40% - Accent4 8" xfId="1923" xr:uid="{00000000-0005-0000-0000-00003A060000}"/>
    <cellStyle name="40% - Accent4 8 2" xfId="4152" xr:uid="{00000000-0005-0000-0000-00003B060000}"/>
    <cellStyle name="40% - Accent4 8 2 2" xfId="8374" xr:uid="{00000000-0005-0000-0000-00003C060000}"/>
    <cellStyle name="40% - Accent4 8 2 2 2" xfId="16869" xr:uid="{C58DC644-EA07-47C5-9811-C58ED4D08A68}"/>
    <cellStyle name="40% - Accent4 8 2 3" xfId="12656" xr:uid="{ED845CCA-CCD0-43C4-9D47-DE3446790CDE}"/>
    <cellStyle name="40% - Accent4 8 3" xfId="6229" xr:uid="{00000000-0005-0000-0000-00003D060000}"/>
    <cellStyle name="40% - Accent4 8 3 2" xfId="14724" xr:uid="{DAB81C5B-C51D-4790-8DE9-3FDC81E1D915}"/>
    <cellStyle name="40% - Accent4 8 4" xfId="10511" xr:uid="{22481394-8264-40A6-8A62-F655DCAA40CC}"/>
    <cellStyle name="40% - Accent4 9" xfId="2336" xr:uid="{00000000-0005-0000-0000-00003E060000}"/>
    <cellStyle name="40% - Accent4 9 2" xfId="6642" xr:uid="{00000000-0005-0000-0000-00003F060000}"/>
    <cellStyle name="40% - Accent4 9 2 2" xfId="15137" xr:uid="{A75F7C9B-10EE-4F6D-BF9E-FEB1C9E8989C}"/>
    <cellStyle name="40% - Accent4 9 3" xfId="10924" xr:uid="{98317F8D-BF86-4685-835E-0F1B9D73E371}"/>
    <cellStyle name="40% - Accent5" xfId="81" builtinId="47" customBuiltin="1"/>
    <cellStyle name="40% - Accent5 10" xfId="4584" xr:uid="{00000000-0005-0000-0000-000041060000}"/>
    <cellStyle name="40% - Accent5 10 2" xfId="13080" xr:uid="{06E780DD-4754-4A66-940C-C3B3417B4D89}"/>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5641" xr:uid="{6E68A734-0D21-41DC-8255-4F5901B19D7D}"/>
    <cellStyle name="40% - Accent5 2 2 2 2 2 3" xfId="11428" xr:uid="{30AB85C0-088D-41D6-945E-CF17901DFE2E}"/>
    <cellStyle name="40% - Accent5 2 2 2 2 3" xfId="5001" xr:uid="{00000000-0005-0000-0000-000048060000}"/>
    <cellStyle name="40% - Accent5 2 2 2 2 3 2" xfId="13496" xr:uid="{9E88F3F2-04C6-42F9-8771-6E42591561B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054" xr:uid="{89796D04-1759-41FF-93F3-50B2138B37DF}"/>
    <cellStyle name="40% - Accent5 2 2 2 3 2 3" xfId="11841" xr:uid="{008A1754-4A45-4C2E-BB31-EB0D6E96EEA5}"/>
    <cellStyle name="40% - Accent5 2 2 2 3 3" xfId="5414" xr:uid="{00000000-0005-0000-0000-00004C060000}"/>
    <cellStyle name="40% - Accent5 2 2 2 3 3 2" xfId="13909" xr:uid="{984EE808-2DAF-4D01-A1FE-24F767B33835}"/>
    <cellStyle name="40% - Accent5 2 2 2 3 4" xfId="9696" xr:uid="{9664BC42-6224-41FF-B470-1F3BB0FE961E}"/>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6467" xr:uid="{5F255FF4-F681-4CC3-B40B-79B1B3769F06}"/>
    <cellStyle name="40% - Accent5 2 2 2 4 2 3" xfId="12254" xr:uid="{C1CD55BB-644F-4112-A86F-DBD131727B62}"/>
    <cellStyle name="40% - Accent5 2 2 2 4 3" xfId="5827" xr:uid="{00000000-0005-0000-0000-000050060000}"/>
    <cellStyle name="40% - Accent5 2 2 2 4 3 2" xfId="14322" xr:uid="{49DA42B2-0EAB-4AFB-AEED-99F6E43D622D}"/>
    <cellStyle name="40% - Accent5 2 2 2 4 4" xfId="10109" xr:uid="{3131D9C6-9331-4453-80D0-DF6484C63286}"/>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6880" xr:uid="{AA37F64D-AA3F-4730-A58B-36001AFCDCFB}"/>
    <cellStyle name="40% - Accent5 2 2 2 5 2 3" xfId="12667" xr:uid="{2B7D9B0E-B366-4CAD-83F6-D53CC9473C8A}"/>
    <cellStyle name="40% - Accent5 2 2 2 5 3" xfId="6240" xr:uid="{00000000-0005-0000-0000-000054060000}"/>
    <cellStyle name="40% - Accent5 2 2 2 5 3 2" xfId="14735" xr:uid="{5787C60E-0909-483B-AEAC-213837AE2693}"/>
    <cellStyle name="40% - Accent5 2 2 2 5 4" xfId="10522" xr:uid="{90478BEE-3BE2-45CC-9A59-FBAF718BE3C3}"/>
    <cellStyle name="40% - Accent5 2 2 2 6" xfId="2347" xr:uid="{00000000-0005-0000-0000-000055060000}"/>
    <cellStyle name="40% - Accent5 2 2 2 6 2" xfId="6653" xr:uid="{00000000-0005-0000-0000-000056060000}"/>
    <cellStyle name="40% - Accent5 2 2 2 6 2 2" xfId="15148" xr:uid="{B28973D9-6AC8-4FFA-AD02-8B982ED159A6}"/>
    <cellStyle name="40% - Accent5 2 2 2 6 3" xfId="10935" xr:uid="{17ECD68B-B72B-4204-81B4-B9B3E068C31B}"/>
    <cellStyle name="40% - Accent5 2 2 2 7" xfId="4587" xr:uid="{00000000-0005-0000-0000-000057060000}"/>
    <cellStyle name="40% - Accent5 2 2 2 7 2" xfId="13083" xr:uid="{85288AE6-005A-4943-91DB-FE8165B968AD}"/>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5640" xr:uid="{AD2C5BF7-3C57-454F-B17F-C0AC4575A52C}"/>
    <cellStyle name="40% - Accent5 2 2 3 2 3" xfId="11427" xr:uid="{DCFEDFC7-4CA1-427E-A342-A1B85CBED832}"/>
    <cellStyle name="40% - Accent5 2 2 3 3" xfId="5000" xr:uid="{00000000-0005-0000-0000-00005B060000}"/>
    <cellStyle name="40% - Accent5 2 2 3 3 2" xfId="13495" xr:uid="{854E2F02-6E8E-4539-8067-7022C08C1677}"/>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053" xr:uid="{F5FF52C2-F9D8-4006-A5A2-5A0D63474780}"/>
    <cellStyle name="40% - Accent5 2 2 4 2 3" xfId="11840" xr:uid="{4221E55A-1A4D-4313-9307-D6507F2FED9D}"/>
    <cellStyle name="40% - Accent5 2 2 4 3" xfId="5413" xr:uid="{00000000-0005-0000-0000-00005F060000}"/>
    <cellStyle name="40% - Accent5 2 2 4 3 2" xfId="13908" xr:uid="{4F16E7E2-4B86-4765-B8D1-3588F65A7B77}"/>
    <cellStyle name="40% - Accent5 2 2 4 4" xfId="9695" xr:uid="{A1BA5DDE-92CF-43CA-A500-F7A7185A1B13}"/>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6466" xr:uid="{EFD15DF4-2A63-4DEE-97EC-4C68A63E6619}"/>
    <cellStyle name="40% - Accent5 2 2 5 2 3" xfId="12253" xr:uid="{C7EB3702-D89E-4034-81E3-28338542FF95}"/>
    <cellStyle name="40% - Accent5 2 2 5 3" xfId="5826" xr:uid="{00000000-0005-0000-0000-000063060000}"/>
    <cellStyle name="40% - Accent5 2 2 5 3 2" xfId="14321" xr:uid="{5AE2C1FA-85CB-4038-B6BC-EE4FB32C5256}"/>
    <cellStyle name="40% - Accent5 2 2 5 4" xfId="10108" xr:uid="{F38AAA47-9811-4F19-9B94-5A8D7FE1D60F}"/>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6879" xr:uid="{1E4BAC15-3C7E-4884-A611-340525538D2E}"/>
    <cellStyle name="40% - Accent5 2 2 6 2 3" xfId="12666" xr:uid="{3D558227-6AB5-42A8-BE39-BC97410C8721}"/>
    <cellStyle name="40% - Accent5 2 2 6 3" xfId="6239" xr:uid="{00000000-0005-0000-0000-000067060000}"/>
    <cellStyle name="40% - Accent5 2 2 6 3 2" xfId="14734" xr:uid="{7BD8CA11-2A19-4DAE-A2C8-C8AB1F2DEF16}"/>
    <cellStyle name="40% - Accent5 2 2 6 4" xfId="10521" xr:uid="{A23B2F5E-A110-45FC-A3A7-770BDE6F4103}"/>
    <cellStyle name="40% - Accent5 2 2 7" xfId="2346" xr:uid="{00000000-0005-0000-0000-000068060000}"/>
    <cellStyle name="40% - Accent5 2 2 7 2" xfId="6652" xr:uid="{00000000-0005-0000-0000-000069060000}"/>
    <cellStyle name="40% - Accent5 2 2 7 2 2" xfId="15147" xr:uid="{37E8D7D5-7D52-48AB-83F5-52AF65924B21}"/>
    <cellStyle name="40% - Accent5 2 2 7 3" xfId="10934" xr:uid="{EC23391F-2907-46B0-B5C4-37732366C444}"/>
    <cellStyle name="40% - Accent5 2 2 8" xfId="4586" xr:uid="{00000000-0005-0000-0000-00006A060000}"/>
    <cellStyle name="40% - Accent5 2 2 8 2" xfId="13082" xr:uid="{4FB6C8B6-5DC2-4BD2-89A5-FC6483457211}"/>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5642" xr:uid="{CD7C9766-17E4-4F12-808D-66BE59660724}"/>
    <cellStyle name="40% - Accent5 2 3 2 2 3" xfId="11429" xr:uid="{ABBE9D5B-1390-4A69-88D6-B4038C52CE69}"/>
    <cellStyle name="40% - Accent5 2 3 2 3" xfId="5002" xr:uid="{00000000-0005-0000-0000-00006F060000}"/>
    <cellStyle name="40% - Accent5 2 3 2 3 2" xfId="13497" xr:uid="{717A1894-C69C-48AF-9DD6-54A63266CB32}"/>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055" xr:uid="{80A2A642-3993-491E-9108-044F7311B6CF}"/>
    <cellStyle name="40% - Accent5 2 3 3 2 3" xfId="11842" xr:uid="{D81F3339-4395-4811-9C2E-73970ACE9DE9}"/>
    <cellStyle name="40% - Accent5 2 3 3 3" xfId="5415" xr:uid="{00000000-0005-0000-0000-000073060000}"/>
    <cellStyle name="40% - Accent5 2 3 3 3 2" xfId="13910" xr:uid="{22ED81FD-40A6-40C2-84E6-64C0D1C4A91E}"/>
    <cellStyle name="40% - Accent5 2 3 3 4" xfId="9697" xr:uid="{BCC22446-EAA7-4566-A7B4-D8A367E110B7}"/>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6468" xr:uid="{8D7DB73F-6A8C-4D92-96EC-06BCACEE5AE7}"/>
    <cellStyle name="40% - Accent5 2 3 4 2 3" xfId="12255" xr:uid="{9E245ADC-CA29-48C4-93A7-0B36E19267D3}"/>
    <cellStyle name="40% - Accent5 2 3 4 3" xfId="5828" xr:uid="{00000000-0005-0000-0000-000077060000}"/>
    <cellStyle name="40% - Accent5 2 3 4 3 2" xfId="14323" xr:uid="{A92978C4-427A-485E-80DE-268AEC2142B3}"/>
    <cellStyle name="40% - Accent5 2 3 4 4" xfId="10110" xr:uid="{951725F4-6556-4EEC-AF93-92A78064691F}"/>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6881" xr:uid="{ADFB2486-AF65-4134-9B8E-BA220824B96E}"/>
    <cellStyle name="40% - Accent5 2 3 5 2 3" xfId="12668" xr:uid="{643B72BC-2398-4C1B-8554-51926FBF4762}"/>
    <cellStyle name="40% - Accent5 2 3 5 3" xfId="6241" xr:uid="{00000000-0005-0000-0000-00007B060000}"/>
    <cellStyle name="40% - Accent5 2 3 5 3 2" xfId="14736" xr:uid="{A2F49B1A-1B67-4C36-839C-90714D0F4FD3}"/>
    <cellStyle name="40% - Accent5 2 3 5 4" xfId="10523" xr:uid="{1B62B5C6-27E1-43E5-80CF-CD501C271D74}"/>
    <cellStyle name="40% - Accent5 2 3 6" xfId="2348" xr:uid="{00000000-0005-0000-0000-00007C060000}"/>
    <cellStyle name="40% - Accent5 2 3 6 2" xfId="6654" xr:uid="{00000000-0005-0000-0000-00007D060000}"/>
    <cellStyle name="40% - Accent5 2 3 6 2 2" xfId="15149" xr:uid="{512CA427-893E-4675-B8CB-423C17D02634}"/>
    <cellStyle name="40% - Accent5 2 3 6 3" xfId="10936" xr:uid="{D8A7E857-A27D-4E06-8DAB-4F9B75540483}"/>
    <cellStyle name="40% - Accent5 2 3 7" xfId="4588" xr:uid="{00000000-0005-0000-0000-00007E060000}"/>
    <cellStyle name="40% - Accent5 2 3 7 2" xfId="13084" xr:uid="{457BBFAA-973B-49E0-8578-27C5CF2A91E2}"/>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2 2 2" xfId="15639" xr:uid="{4C0D2E02-B9EA-41B1-B763-F98FBFF22392}"/>
    <cellStyle name="40% - Accent5 2 4 2 3" xfId="11426" xr:uid="{65D60586-5E67-4443-9245-AA16C96EE417}"/>
    <cellStyle name="40% - Accent5 2 4 3" xfId="4999" xr:uid="{00000000-0005-0000-0000-000082060000}"/>
    <cellStyle name="40% - Accent5 2 4 3 2" xfId="13494" xr:uid="{84ED6BE1-38A6-40EE-B894-AAFB3A9CCC52}"/>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052" xr:uid="{E3721CBE-154D-4850-90CE-45DFED86F8F3}"/>
    <cellStyle name="40% - Accent5 2 5 2 3" xfId="11839" xr:uid="{03A712E3-B550-4291-BB30-81DA270C5B86}"/>
    <cellStyle name="40% - Accent5 2 5 3" xfId="5412" xr:uid="{00000000-0005-0000-0000-000086060000}"/>
    <cellStyle name="40% - Accent5 2 5 3 2" xfId="13907" xr:uid="{A63F44CD-8E67-4513-A69A-6D65B6E24F68}"/>
    <cellStyle name="40% - Accent5 2 5 4" xfId="9694" xr:uid="{993B4918-1CD4-4652-B332-B3DCB5195FE1}"/>
    <cellStyle name="40% - Accent5 2 6" xfId="1518" xr:uid="{00000000-0005-0000-0000-000087060000}"/>
    <cellStyle name="40% - Accent5 2 6 2" xfId="3748" xr:uid="{00000000-0005-0000-0000-000088060000}"/>
    <cellStyle name="40% - Accent5 2 6 2 2" xfId="7970" xr:uid="{00000000-0005-0000-0000-000089060000}"/>
    <cellStyle name="40% - Accent5 2 6 2 2 2" xfId="16465" xr:uid="{63FC9786-1709-478B-AF66-F24278B57618}"/>
    <cellStyle name="40% - Accent5 2 6 2 3" xfId="12252" xr:uid="{0BD39718-42DB-4C72-8945-3A3F3B676E50}"/>
    <cellStyle name="40% - Accent5 2 6 3" xfId="5825" xr:uid="{00000000-0005-0000-0000-00008A060000}"/>
    <cellStyle name="40% - Accent5 2 6 3 2" xfId="14320" xr:uid="{36F4395D-9324-433F-9CF0-6EE3D94290B2}"/>
    <cellStyle name="40% - Accent5 2 6 4" xfId="10107" xr:uid="{9BC2CF9B-25DB-48D2-8F4B-90E9EB2B6DC3}"/>
    <cellStyle name="40% - Accent5 2 7" xfId="1932" xr:uid="{00000000-0005-0000-0000-00008B060000}"/>
    <cellStyle name="40% - Accent5 2 7 2" xfId="4161" xr:uid="{00000000-0005-0000-0000-00008C060000}"/>
    <cellStyle name="40% - Accent5 2 7 2 2" xfId="8383" xr:uid="{00000000-0005-0000-0000-00008D060000}"/>
    <cellStyle name="40% - Accent5 2 7 2 2 2" xfId="16878" xr:uid="{616F2575-8780-4173-9904-64FC53CC8A83}"/>
    <cellStyle name="40% - Accent5 2 7 2 3" xfId="12665" xr:uid="{97345F9E-8695-4A0D-B9FE-BA0EA2090480}"/>
    <cellStyle name="40% - Accent5 2 7 3" xfId="6238" xr:uid="{00000000-0005-0000-0000-00008E060000}"/>
    <cellStyle name="40% - Accent5 2 7 3 2" xfId="14733" xr:uid="{12DF661C-2396-4507-9FA8-C52CEECA1067}"/>
    <cellStyle name="40% - Accent5 2 7 4" xfId="10520" xr:uid="{9989558A-9322-4A72-98C9-ECEAC92D4A04}"/>
    <cellStyle name="40% - Accent5 2 8" xfId="2345" xr:uid="{00000000-0005-0000-0000-00008F060000}"/>
    <cellStyle name="40% - Accent5 2 8 2" xfId="6651" xr:uid="{00000000-0005-0000-0000-000090060000}"/>
    <cellStyle name="40% - Accent5 2 8 2 2" xfId="15146" xr:uid="{95DA4203-58BB-45B9-94B1-2E7395DF2DD7}"/>
    <cellStyle name="40% - Accent5 2 8 3" xfId="10933" xr:uid="{1C04DC94-4201-45BC-A78D-BC7DFE4D92B0}"/>
    <cellStyle name="40% - Accent5 2 9" xfId="4585" xr:uid="{00000000-0005-0000-0000-000091060000}"/>
    <cellStyle name="40% - Accent5 2 9 2" xfId="13081" xr:uid="{BD904D90-AFFB-40E7-8051-A96546BD7008}"/>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5644" xr:uid="{B1AD5106-2565-471E-9DC3-AA30AB1B19F7}"/>
    <cellStyle name="40% - Accent5 3 2 2 2 3" xfId="11431" xr:uid="{F74D3C1A-C7D1-4F63-B1E4-CFDB2B4A4A08}"/>
    <cellStyle name="40% - Accent5 3 2 2 3" xfId="5004" xr:uid="{00000000-0005-0000-0000-000097060000}"/>
    <cellStyle name="40% - Accent5 3 2 2 3 2" xfId="13499" xr:uid="{9E41D824-C5D1-4FF8-B756-8D17897BA259}"/>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057" xr:uid="{E4DF7321-128F-4355-8461-61462D968429}"/>
    <cellStyle name="40% - Accent5 3 2 3 2 3" xfId="11844" xr:uid="{9DC79051-8364-4B73-AC4D-A2E7F00A3450}"/>
    <cellStyle name="40% - Accent5 3 2 3 3" xfId="5417" xr:uid="{00000000-0005-0000-0000-00009B060000}"/>
    <cellStyle name="40% - Accent5 3 2 3 3 2" xfId="13912" xr:uid="{7A144B3D-3320-497E-9D44-142B3F56DD28}"/>
    <cellStyle name="40% - Accent5 3 2 3 4" xfId="9699" xr:uid="{2A53A06E-E901-44F7-B609-0B86735904D7}"/>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6470" xr:uid="{F12A4403-9829-4BE3-89F3-0E8F9E56B996}"/>
    <cellStyle name="40% - Accent5 3 2 4 2 3" xfId="12257" xr:uid="{51089E14-27F1-4547-83C9-50FC7A1D6155}"/>
    <cellStyle name="40% - Accent5 3 2 4 3" xfId="5830" xr:uid="{00000000-0005-0000-0000-00009F060000}"/>
    <cellStyle name="40% - Accent5 3 2 4 3 2" xfId="14325" xr:uid="{DC1D136F-0B3E-4DB5-A6E4-D6F2ED6B2779}"/>
    <cellStyle name="40% - Accent5 3 2 4 4" xfId="10112" xr:uid="{1AE83E50-D319-4997-A66B-D2DD30EDFBC2}"/>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6883" xr:uid="{D66FAC49-6BE4-4ACC-AD37-9D04134418D9}"/>
    <cellStyle name="40% - Accent5 3 2 5 2 3" xfId="12670" xr:uid="{40BDF642-5AE4-45DB-AAFB-A99AC2DA10F3}"/>
    <cellStyle name="40% - Accent5 3 2 5 3" xfId="6243" xr:uid="{00000000-0005-0000-0000-0000A3060000}"/>
    <cellStyle name="40% - Accent5 3 2 5 3 2" xfId="14738" xr:uid="{6DCE7C2F-41A9-415E-8B2D-677BB352AE58}"/>
    <cellStyle name="40% - Accent5 3 2 5 4" xfId="10525" xr:uid="{6724C810-0542-4B39-83D4-63DB7D7C4A8C}"/>
    <cellStyle name="40% - Accent5 3 2 6" xfId="2350" xr:uid="{00000000-0005-0000-0000-0000A4060000}"/>
    <cellStyle name="40% - Accent5 3 2 6 2" xfId="6656" xr:uid="{00000000-0005-0000-0000-0000A5060000}"/>
    <cellStyle name="40% - Accent5 3 2 6 2 2" xfId="15151" xr:uid="{1FB998EF-2C2D-4993-BC98-EC6A2A11C1BE}"/>
    <cellStyle name="40% - Accent5 3 2 6 3" xfId="10938" xr:uid="{83039510-9DCD-401E-81D2-B7D2409E0611}"/>
    <cellStyle name="40% - Accent5 3 2 7" xfId="4590" xr:uid="{00000000-0005-0000-0000-0000A6060000}"/>
    <cellStyle name="40% - Accent5 3 2 7 2" xfId="13086" xr:uid="{3985A36F-8FE7-47D5-B654-BDBE993DB755}"/>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2 2 2" xfId="15643" xr:uid="{67E53F69-5D70-4261-B4BA-02E62EFE5C5D}"/>
    <cellStyle name="40% - Accent5 3 3 2 3" xfId="11430" xr:uid="{3C65C835-2AA4-4E09-8B80-A134839E649A}"/>
    <cellStyle name="40% - Accent5 3 3 3" xfId="5003" xr:uid="{00000000-0005-0000-0000-0000AA060000}"/>
    <cellStyle name="40% - Accent5 3 3 3 2" xfId="13498" xr:uid="{C1B5AF9A-571B-466B-A798-A8EC0FFE1949}"/>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056" xr:uid="{131759C1-ABF9-4835-8D45-78B1883DDD73}"/>
    <cellStyle name="40% - Accent5 3 4 2 3" xfId="11843" xr:uid="{E9B0B52B-962C-4F66-BAC0-D9B3381BC15B}"/>
    <cellStyle name="40% - Accent5 3 4 3" xfId="5416" xr:uid="{00000000-0005-0000-0000-0000AE060000}"/>
    <cellStyle name="40% - Accent5 3 4 3 2" xfId="13911" xr:uid="{F39A8A9A-2EAF-4F9B-A9EE-65D3C483C2DB}"/>
    <cellStyle name="40% - Accent5 3 4 4" xfId="9698" xr:uid="{B5C1486E-D80B-4969-9DAA-C8C6F272116E}"/>
    <cellStyle name="40% - Accent5 3 5" xfId="1522" xr:uid="{00000000-0005-0000-0000-0000AF060000}"/>
    <cellStyle name="40% - Accent5 3 5 2" xfId="3752" xr:uid="{00000000-0005-0000-0000-0000B0060000}"/>
    <cellStyle name="40% - Accent5 3 5 2 2" xfId="7974" xr:uid="{00000000-0005-0000-0000-0000B1060000}"/>
    <cellStyle name="40% - Accent5 3 5 2 2 2" xfId="16469" xr:uid="{2D2E6BAE-A450-41C4-93B5-34DB9BFDF2BC}"/>
    <cellStyle name="40% - Accent5 3 5 2 3" xfId="12256" xr:uid="{F1793B2B-686A-4B14-BAE5-3A9A1EFE8260}"/>
    <cellStyle name="40% - Accent5 3 5 3" xfId="5829" xr:uid="{00000000-0005-0000-0000-0000B2060000}"/>
    <cellStyle name="40% - Accent5 3 5 3 2" xfId="14324" xr:uid="{DA11FA99-EF8F-4AB3-A9CE-62A9705F45C9}"/>
    <cellStyle name="40% - Accent5 3 5 4" xfId="10111" xr:uid="{4FF30AF3-3326-4AF9-939A-8922C53F8B40}"/>
    <cellStyle name="40% - Accent5 3 6" xfId="1936" xr:uid="{00000000-0005-0000-0000-0000B3060000}"/>
    <cellStyle name="40% - Accent5 3 6 2" xfId="4165" xr:uid="{00000000-0005-0000-0000-0000B4060000}"/>
    <cellStyle name="40% - Accent5 3 6 2 2" xfId="8387" xr:uid="{00000000-0005-0000-0000-0000B5060000}"/>
    <cellStyle name="40% - Accent5 3 6 2 2 2" xfId="16882" xr:uid="{E9D4FC63-ECD5-409D-92EF-D3F3F8F976E8}"/>
    <cellStyle name="40% - Accent5 3 6 2 3" xfId="12669" xr:uid="{BBF326B6-D61B-4B3E-83E4-8504464F9404}"/>
    <cellStyle name="40% - Accent5 3 6 3" xfId="6242" xr:uid="{00000000-0005-0000-0000-0000B6060000}"/>
    <cellStyle name="40% - Accent5 3 6 3 2" xfId="14737" xr:uid="{6965066A-6979-4521-8DBC-E848CDC09C90}"/>
    <cellStyle name="40% - Accent5 3 6 4" xfId="10524" xr:uid="{F32D4929-A51C-4FB4-93D1-71C2448CC3CE}"/>
    <cellStyle name="40% - Accent5 3 7" xfId="2349" xr:uid="{00000000-0005-0000-0000-0000B7060000}"/>
    <cellStyle name="40% - Accent5 3 7 2" xfId="6655" xr:uid="{00000000-0005-0000-0000-0000B8060000}"/>
    <cellStyle name="40% - Accent5 3 7 2 2" xfId="15150" xr:uid="{C4CBAFFD-ED52-41FC-BDCE-74D945A535F8}"/>
    <cellStyle name="40% - Accent5 3 7 3" xfId="10937" xr:uid="{A27D383E-F1D3-456D-AE87-1F9DFFC9CA00}"/>
    <cellStyle name="40% - Accent5 3 8" xfId="4589" xr:uid="{00000000-0005-0000-0000-0000B9060000}"/>
    <cellStyle name="40% - Accent5 3 8 2" xfId="13085" xr:uid="{64E0E91E-7F60-4026-9E58-AB71EFB13468}"/>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5645" xr:uid="{766A0945-6B79-45A9-8C53-C860959C4CF6}"/>
    <cellStyle name="40% - Accent5 4 2 2 3" xfId="11432" xr:uid="{2096674E-D2FC-42A9-B039-A0208B959FD0}"/>
    <cellStyle name="40% - Accent5 4 2 3" xfId="5005" xr:uid="{00000000-0005-0000-0000-0000BE060000}"/>
    <cellStyle name="40% - Accent5 4 2 3 2" xfId="13500" xr:uid="{C78CB5C6-B73C-41D9-A6DA-AB236182EDCA}"/>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058" xr:uid="{733CA6F1-188E-4F85-B6A2-FAB2F3CF05CA}"/>
    <cellStyle name="40% - Accent5 4 3 2 3" xfId="11845" xr:uid="{AB60FD3F-B4CF-4D0F-8CF9-535967134767}"/>
    <cellStyle name="40% - Accent5 4 3 3" xfId="5418" xr:uid="{00000000-0005-0000-0000-0000C2060000}"/>
    <cellStyle name="40% - Accent5 4 3 3 2" xfId="13913" xr:uid="{D6AEC22B-E7DD-4D2C-98CF-4DB55FE48737}"/>
    <cellStyle name="40% - Accent5 4 3 4" xfId="9700" xr:uid="{6BF1F756-0BBC-4325-AD64-5792A6B40522}"/>
    <cellStyle name="40% - Accent5 4 4" xfId="1524" xr:uid="{00000000-0005-0000-0000-0000C3060000}"/>
    <cellStyle name="40% - Accent5 4 4 2" xfId="3754" xr:uid="{00000000-0005-0000-0000-0000C4060000}"/>
    <cellStyle name="40% - Accent5 4 4 2 2" xfId="7976" xr:uid="{00000000-0005-0000-0000-0000C5060000}"/>
    <cellStyle name="40% - Accent5 4 4 2 2 2" xfId="16471" xr:uid="{93B6AA09-4840-4DC6-8B36-126083316BAE}"/>
    <cellStyle name="40% - Accent5 4 4 2 3" xfId="12258" xr:uid="{8887EF39-D8B8-47D0-8126-9F18044F7D99}"/>
    <cellStyle name="40% - Accent5 4 4 3" xfId="5831" xr:uid="{00000000-0005-0000-0000-0000C6060000}"/>
    <cellStyle name="40% - Accent5 4 4 3 2" xfId="14326" xr:uid="{F29982B2-CFBD-46AB-B6DE-CF111E8EEBD9}"/>
    <cellStyle name="40% - Accent5 4 4 4" xfId="10113" xr:uid="{B21509F2-B641-4E0F-9075-F09EABBEFC1F}"/>
    <cellStyle name="40% - Accent5 4 5" xfId="1938" xr:uid="{00000000-0005-0000-0000-0000C7060000}"/>
    <cellStyle name="40% - Accent5 4 5 2" xfId="4167" xr:uid="{00000000-0005-0000-0000-0000C8060000}"/>
    <cellStyle name="40% - Accent5 4 5 2 2" xfId="8389" xr:uid="{00000000-0005-0000-0000-0000C9060000}"/>
    <cellStyle name="40% - Accent5 4 5 2 2 2" xfId="16884" xr:uid="{C492651A-3A32-4213-9279-E936ECB20CE5}"/>
    <cellStyle name="40% - Accent5 4 5 2 3" xfId="12671" xr:uid="{FCFFDD44-ED38-4ABF-8ED4-0A6FB84AC3CB}"/>
    <cellStyle name="40% - Accent5 4 5 3" xfId="6244" xr:uid="{00000000-0005-0000-0000-0000CA060000}"/>
    <cellStyle name="40% - Accent5 4 5 3 2" xfId="14739" xr:uid="{A2BE1DE8-8B83-44DE-9C3C-2FBA1900545A}"/>
    <cellStyle name="40% - Accent5 4 5 4" xfId="10526" xr:uid="{3B8F9E1B-0784-420C-86C8-707F450DEC56}"/>
    <cellStyle name="40% - Accent5 4 6" xfId="2351" xr:uid="{00000000-0005-0000-0000-0000CB060000}"/>
    <cellStyle name="40% - Accent5 4 6 2" xfId="6657" xr:uid="{00000000-0005-0000-0000-0000CC060000}"/>
    <cellStyle name="40% - Accent5 4 6 2 2" xfId="15152" xr:uid="{08586EBC-BE9D-483F-96F5-ACB7EA23C48B}"/>
    <cellStyle name="40% - Accent5 4 6 3" xfId="10939" xr:uid="{DEE9861A-9E10-40A4-B662-012665AF8A06}"/>
    <cellStyle name="40% - Accent5 4 7" xfId="4591" xr:uid="{00000000-0005-0000-0000-0000CD060000}"/>
    <cellStyle name="40% - Accent5 4 7 2" xfId="13087" xr:uid="{561EEE6C-9636-4FBC-9FD9-523EA48AA61D}"/>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2 2 2" xfId="15638" xr:uid="{4C429A17-6CAC-4C97-997A-AE72BCBAC65F}"/>
    <cellStyle name="40% - Accent5 5 2 3" xfId="11425" xr:uid="{7939CAD6-52BB-4910-AD8B-3016A87A494A}"/>
    <cellStyle name="40% - Accent5 5 3" xfId="4998" xr:uid="{00000000-0005-0000-0000-0000D1060000}"/>
    <cellStyle name="40% - Accent5 5 3 2" xfId="13493" xr:uid="{2F111941-CC7F-4446-8D8A-8145530787F6}"/>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2 2 2" xfId="16051" xr:uid="{7C5C6CE4-2C28-474A-9651-FC4A30787486}"/>
    <cellStyle name="40% - Accent5 6 2 3" xfId="11838" xr:uid="{187EA11D-FA26-4A62-99BE-10214CC13B38}"/>
    <cellStyle name="40% - Accent5 6 3" xfId="5411" xr:uid="{00000000-0005-0000-0000-0000D5060000}"/>
    <cellStyle name="40% - Accent5 6 3 2" xfId="13906" xr:uid="{842B783A-3B4A-4706-BFC9-06915F573F43}"/>
    <cellStyle name="40% - Accent5 6 4" xfId="9693" xr:uid="{B75D72D6-2193-48E3-A53B-C7DF92BAFCBE}"/>
    <cellStyle name="40% - Accent5 7" xfId="1517" xr:uid="{00000000-0005-0000-0000-0000D6060000}"/>
    <cellStyle name="40% - Accent5 7 2" xfId="3747" xr:uid="{00000000-0005-0000-0000-0000D7060000}"/>
    <cellStyle name="40% - Accent5 7 2 2" xfId="7969" xr:uid="{00000000-0005-0000-0000-0000D8060000}"/>
    <cellStyle name="40% - Accent5 7 2 2 2" xfId="16464" xr:uid="{34B8C671-D91C-4C78-8969-5B09126E4E78}"/>
    <cellStyle name="40% - Accent5 7 2 3" xfId="12251" xr:uid="{83129B85-A4C2-492D-958D-296330D3A693}"/>
    <cellStyle name="40% - Accent5 7 3" xfId="5824" xr:uid="{00000000-0005-0000-0000-0000D9060000}"/>
    <cellStyle name="40% - Accent5 7 3 2" xfId="14319" xr:uid="{92FDE404-5441-4AE2-956C-1A0D4FABCFDF}"/>
    <cellStyle name="40% - Accent5 7 4" xfId="10106" xr:uid="{7A8EA005-4FCA-4647-9B65-7830A3B88BFA}"/>
    <cellStyle name="40% - Accent5 8" xfId="1931" xr:uid="{00000000-0005-0000-0000-0000DA060000}"/>
    <cellStyle name="40% - Accent5 8 2" xfId="4160" xr:uid="{00000000-0005-0000-0000-0000DB060000}"/>
    <cellStyle name="40% - Accent5 8 2 2" xfId="8382" xr:uid="{00000000-0005-0000-0000-0000DC060000}"/>
    <cellStyle name="40% - Accent5 8 2 2 2" xfId="16877" xr:uid="{BA45B388-6A07-4937-BB2E-B768B7C231D6}"/>
    <cellStyle name="40% - Accent5 8 2 3" xfId="12664" xr:uid="{2DCCA517-7A1C-4C31-B8AD-D289B8413EC1}"/>
    <cellStyle name="40% - Accent5 8 3" xfId="6237" xr:uid="{00000000-0005-0000-0000-0000DD060000}"/>
    <cellStyle name="40% - Accent5 8 3 2" xfId="14732" xr:uid="{04F10D93-5589-4341-B0E2-C54BC875AAA9}"/>
    <cellStyle name="40% - Accent5 8 4" xfId="10519" xr:uid="{B3B0712A-C041-4E65-BE42-737FAE938035}"/>
    <cellStyle name="40% - Accent5 9" xfId="2344" xr:uid="{00000000-0005-0000-0000-0000DE060000}"/>
    <cellStyle name="40% - Accent5 9 2" xfId="6650" xr:uid="{00000000-0005-0000-0000-0000DF060000}"/>
    <cellStyle name="40% - Accent5 9 2 2" xfId="15145" xr:uid="{A71455A2-E3CF-4FB9-9711-71A44E155DD2}"/>
    <cellStyle name="40% - Accent5 9 3" xfId="10932" xr:uid="{FB2BE2F6-69BD-45CE-90F8-D097D9C700E8}"/>
    <cellStyle name="40% - Accent6" xfId="89" builtinId="51" customBuiltin="1"/>
    <cellStyle name="40% - Accent6 10" xfId="4592" xr:uid="{00000000-0005-0000-0000-0000E1060000}"/>
    <cellStyle name="40% - Accent6 10 2" xfId="13088" xr:uid="{F176A7E7-5A8A-4888-BA63-DB69B06FF7A7}"/>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5649" xr:uid="{56833164-7DF3-4933-BFD4-A2F0481A811E}"/>
    <cellStyle name="40% - Accent6 2 2 2 2 2 3" xfId="11436" xr:uid="{B64FB8A6-CBAA-4C8C-BFAB-9643E65C02D6}"/>
    <cellStyle name="40% - Accent6 2 2 2 2 3" xfId="5009" xr:uid="{00000000-0005-0000-0000-0000E8060000}"/>
    <cellStyle name="40% - Accent6 2 2 2 2 3 2" xfId="13504" xr:uid="{E34726ED-1D30-4225-A284-0CB44CA5874C}"/>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062" xr:uid="{1AD53E9A-7291-4093-B0BF-7A153FEEE8F7}"/>
    <cellStyle name="40% - Accent6 2 2 2 3 2 3" xfId="11849" xr:uid="{76B48F13-B102-4012-9756-620A8BDAB1A0}"/>
    <cellStyle name="40% - Accent6 2 2 2 3 3" xfId="5422" xr:uid="{00000000-0005-0000-0000-0000EC060000}"/>
    <cellStyle name="40% - Accent6 2 2 2 3 3 2" xfId="13917" xr:uid="{A1C00FEB-231F-4953-BACC-78E1904B7472}"/>
    <cellStyle name="40% - Accent6 2 2 2 3 4" xfId="9704" xr:uid="{A582883D-E2DE-4D56-9238-EA92A00EE21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6475" xr:uid="{4AB94A5D-460D-4DC5-9D65-2DFD41AE0DA4}"/>
    <cellStyle name="40% - Accent6 2 2 2 4 2 3" xfId="12262" xr:uid="{C5BE301E-28FC-4C28-9184-038E9AA39D52}"/>
    <cellStyle name="40% - Accent6 2 2 2 4 3" xfId="5835" xr:uid="{00000000-0005-0000-0000-0000F0060000}"/>
    <cellStyle name="40% - Accent6 2 2 2 4 3 2" xfId="14330" xr:uid="{EB4A2FC1-65CA-458B-BD58-48A63AC3B259}"/>
    <cellStyle name="40% - Accent6 2 2 2 4 4" xfId="10117" xr:uid="{6F120BF1-B8E6-48B8-899E-89B8A3C4D7D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6888" xr:uid="{313445A8-28F9-44CA-8ED5-70E345E1C5A8}"/>
    <cellStyle name="40% - Accent6 2 2 2 5 2 3" xfId="12675" xr:uid="{8527CB6D-9874-41DB-83B8-0600E042840C}"/>
    <cellStyle name="40% - Accent6 2 2 2 5 3" xfId="6248" xr:uid="{00000000-0005-0000-0000-0000F4060000}"/>
    <cellStyle name="40% - Accent6 2 2 2 5 3 2" xfId="14743" xr:uid="{716DE73C-9A45-4D77-A99A-0BA17BD4F7C0}"/>
    <cellStyle name="40% - Accent6 2 2 2 5 4" xfId="10530" xr:uid="{073B2556-B557-42F3-854B-11144F16E803}"/>
    <cellStyle name="40% - Accent6 2 2 2 6" xfId="2355" xr:uid="{00000000-0005-0000-0000-0000F5060000}"/>
    <cellStyle name="40% - Accent6 2 2 2 6 2" xfId="6661" xr:uid="{00000000-0005-0000-0000-0000F6060000}"/>
    <cellStyle name="40% - Accent6 2 2 2 6 2 2" xfId="15156" xr:uid="{59103485-E658-4C0D-A635-DBC459913BE2}"/>
    <cellStyle name="40% - Accent6 2 2 2 6 3" xfId="10943" xr:uid="{CF580B75-887E-459C-8324-84A548A72754}"/>
    <cellStyle name="40% - Accent6 2 2 2 7" xfId="4595" xr:uid="{00000000-0005-0000-0000-0000F7060000}"/>
    <cellStyle name="40% - Accent6 2 2 2 7 2" xfId="13091" xr:uid="{FC3C2483-EA76-4CB8-99D0-FA9AE2E4957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5648" xr:uid="{DC22D1EF-5202-4A51-9F20-E1FEDA62D9A8}"/>
    <cellStyle name="40% - Accent6 2 2 3 2 3" xfId="11435" xr:uid="{6BF11B27-AB92-4BFD-9EF3-994CC33D6FF2}"/>
    <cellStyle name="40% - Accent6 2 2 3 3" xfId="5008" xr:uid="{00000000-0005-0000-0000-0000FB060000}"/>
    <cellStyle name="40% - Accent6 2 2 3 3 2" xfId="13503" xr:uid="{0B9EE1C4-AC85-48FE-BCCC-364134DDCF9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061" xr:uid="{7A4C0074-FA77-4197-A838-0213C4DC8D73}"/>
    <cellStyle name="40% - Accent6 2 2 4 2 3" xfId="11848" xr:uid="{E25F8453-1E5C-4B7D-9FC6-53DD6DEFF9DE}"/>
    <cellStyle name="40% - Accent6 2 2 4 3" xfId="5421" xr:uid="{00000000-0005-0000-0000-0000FF060000}"/>
    <cellStyle name="40% - Accent6 2 2 4 3 2" xfId="13916" xr:uid="{239A904B-D18E-4645-AF61-F22431F76F89}"/>
    <cellStyle name="40% - Accent6 2 2 4 4" xfId="9703" xr:uid="{D76FE4C4-A941-4B94-B1C6-1D7E5437571D}"/>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6474" xr:uid="{E36F5C93-BC21-4AB4-BA9A-593B06A93691}"/>
    <cellStyle name="40% - Accent6 2 2 5 2 3" xfId="12261" xr:uid="{8F7FDC60-C4A4-4953-B6F8-40A5E6DBCD7B}"/>
    <cellStyle name="40% - Accent6 2 2 5 3" xfId="5834" xr:uid="{00000000-0005-0000-0000-000003070000}"/>
    <cellStyle name="40% - Accent6 2 2 5 3 2" xfId="14329" xr:uid="{87EE7C20-BDFA-46C6-B1DD-9EE5DE27B9A7}"/>
    <cellStyle name="40% - Accent6 2 2 5 4" xfId="10116" xr:uid="{9AA7F70C-8BE9-4767-A536-E9537DB41F85}"/>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6887" xr:uid="{D7F36C19-8CF2-4B01-85E9-25732B6DCC01}"/>
    <cellStyle name="40% - Accent6 2 2 6 2 3" xfId="12674" xr:uid="{36A870DC-31E7-4D6F-9DFA-5E9E756AF702}"/>
    <cellStyle name="40% - Accent6 2 2 6 3" xfId="6247" xr:uid="{00000000-0005-0000-0000-000007070000}"/>
    <cellStyle name="40% - Accent6 2 2 6 3 2" xfId="14742" xr:uid="{F95908EA-C691-45F0-A214-F82A1785E97D}"/>
    <cellStyle name="40% - Accent6 2 2 6 4" xfId="10529" xr:uid="{7F422E91-F719-480D-8E34-B751366CF90B}"/>
    <cellStyle name="40% - Accent6 2 2 7" xfId="2354" xr:uid="{00000000-0005-0000-0000-000008070000}"/>
    <cellStyle name="40% - Accent6 2 2 7 2" xfId="6660" xr:uid="{00000000-0005-0000-0000-000009070000}"/>
    <cellStyle name="40% - Accent6 2 2 7 2 2" xfId="15155" xr:uid="{9B5D25AE-9213-4D95-B754-BA26478EBE54}"/>
    <cellStyle name="40% - Accent6 2 2 7 3" xfId="10942" xr:uid="{12CC5A7E-F4F9-4D42-98D2-8CA829142AFB}"/>
    <cellStyle name="40% - Accent6 2 2 8" xfId="4594" xr:uid="{00000000-0005-0000-0000-00000A070000}"/>
    <cellStyle name="40% - Accent6 2 2 8 2" xfId="13090" xr:uid="{A1AB73AF-7AA0-4C31-BE84-A159FA5CD8BF}"/>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5650" xr:uid="{21E724BA-19B6-4F42-8496-0F4B8F7D7C92}"/>
    <cellStyle name="40% - Accent6 2 3 2 2 3" xfId="11437" xr:uid="{68DC7540-76AD-4FB0-80FD-D8EB926B4D83}"/>
    <cellStyle name="40% - Accent6 2 3 2 3" xfId="5010" xr:uid="{00000000-0005-0000-0000-00000F070000}"/>
    <cellStyle name="40% - Accent6 2 3 2 3 2" xfId="13505" xr:uid="{BE1FAEFA-EB4A-4A35-8CD9-0D22B98DB2DB}"/>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063" xr:uid="{AE301027-98AA-442E-98BA-16DAE21126C8}"/>
    <cellStyle name="40% - Accent6 2 3 3 2 3" xfId="11850" xr:uid="{7F1A3D20-F873-4A59-9901-90B781B89E8C}"/>
    <cellStyle name="40% - Accent6 2 3 3 3" xfId="5423" xr:uid="{00000000-0005-0000-0000-000013070000}"/>
    <cellStyle name="40% - Accent6 2 3 3 3 2" xfId="13918" xr:uid="{10B17E18-FB3D-4AB1-86A7-6CE116F68AD8}"/>
    <cellStyle name="40% - Accent6 2 3 3 4" xfId="9705" xr:uid="{4D8201FF-BEB3-41C5-8101-B02C33C09100}"/>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6476" xr:uid="{64A1D8FC-1594-44A8-91B9-5E52BF5D6C65}"/>
    <cellStyle name="40% - Accent6 2 3 4 2 3" xfId="12263" xr:uid="{D3CC3C86-7600-41A3-8BB4-5EDDF95C36B7}"/>
    <cellStyle name="40% - Accent6 2 3 4 3" xfId="5836" xr:uid="{00000000-0005-0000-0000-000017070000}"/>
    <cellStyle name="40% - Accent6 2 3 4 3 2" xfId="14331" xr:uid="{4233C2C6-408A-4F65-8CFD-AD65D6AC6DFE}"/>
    <cellStyle name="40% - Accent6 2 3 4 4" xfId="10118" xr:uid="{AA013B6B-B616-4D2F-A1DE-D12CFA31FE3F}"/>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6889" xr:uid="{288CCB31-904C-4D23-9756-480C22D3DE85}"/>
    <cellStyle name="40% - Accent6 2 3 5 2 3" xfId="12676" xr:uid="{5149BC0A-C031-461D-8E39-D89E389E6350}"/>
    <cellStyle name="40% - Accent6 2 3 5 3" xfId="6249" xr:uid="{00000000-0005-0000-0000-00001B070000}"/>
    <cellStyle name="40% - Accent6 2 3 5 3 2" xfId="14744" xr:uid="{851591C5-A2E3-4B3F-A259-8968288B56DF}"/>
    <cellStyle name="40% - Accent6 2 3 5 4" xfId="10531" xr:uid="{53FB5F7B-0F0B-4E79-B90A-7230A8458954}"/>
    <cellStyle name="40% - Accent6 2 3 6" xfId="2356" xr:uid="{00000000-0005-0000-0000-00001C070000}"/>
    <cellStyle name="40% - Accent6 2 3 6 2" xfId="6662" xr:uid="{00000000-0005-0000-0000-00001D070000}"/>
    <cellStyle name="40% - Accent6 2 3 6 2 2" xfId="15157" xr:uid="{5D52C8E5-0CE3-4BF1-9238-CC98E34130B8}"/>
    <cellStyle name="40% - Accent6 2 3 6 3" xfId="10944" xr:uid="{C19987A9-9A09-47CC-BC9E-DC5E02C331ED}"/>
    <cellStyle name="40% - Accent6 2 3 7" xfId="4596" xr:uid="{00000000-0005-0000-0000-00001E070000}"/>
    <cellStyle name="40% - Accent6 2 3 7 2" xfId="13092" xr:uid="{5BD25A59-763C-4298-957E-BB35F51D5F6B}"/>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2 2 2" xfId="15647" xr:uid="{0607DA21-FF49-4A18-BBED-7C41D0B287E3}"/>
    <cellStyle name="40% - Accent6 2 4 2 3" xfId="11434" xr:uid="{6DE0C065-C816-4681-9A71-8852B70C33CA}"/>
    <cellStyle name="40% - Accent6 2 4 3" xfId="5007" xr:uid="{00000000-0005-0000-0000-000022070000}"/>
    <cellStyle name="40% - Accent6 2 4 3 2" xfId="13502" xr:uid="{1A54A370-2044-40B3-9241-C850EC663844}"/>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060" xr:uid="{06F95A46-7A0E-457C-8590-A8561F8CC73E}"/>
    <cellStyle name="40% - Accent6 2 5 2 3" xfId="11847" xr:uid="{3D2A37B5-8288-4B9E-8BB6-98A9EF1EA37D}"/>
    <cellStyle name="40% - Accent6 2 5 3" xfId="5420" xr:uid="{00000000-0005-0000-0000-000026070000}"/>
    <cellStyle name="40% - Accent6 2 5 3 2" xfId="13915" xr:uid="{D9CC41BA-B7ED-4012-B4C4-7DBFF869C68B}"/>
    <cellStyle name="40% - Accent6 2 5 4" xfId="9702" xr:uid="{0C5B9C1D-A8B2-4CAB-BDDB-0CFE7E08CC15}"/>
    <cellStyle name="40% - Accent6 2 6" xfId="1526" xr:uid="{00000000-0005-0000-0000-000027070000}"/>
    <cellStyle name="40% - Accent6 2 6 2" xfId="3756" xr:uid="{00000000-0005-0000-0000-000028070000}"/>
    <cellStyle name="40% - Accent6 2 6 2 2" xfId="7978" xr:uid="{00000000-0005-0000-0000-000029070000}"/>
    <cellStyle name="40% - Accent6 2 6 2 2 2" xfId="16473" xr:uid="{ADC3654E-8777-46A9-BD4E-18FA0415B744}"/>
    <cellStyle name="40% - Accent6 2 6 2 3" xfId="12260" xr:uid="{E80B8798-5132-45C4-BF41-0B5CE038E046}"/>
    <cellStyle name="40% - Accent6 2 6 3" xfId="5833" xr:uid="{00000000-0005-0000-0000-00002A070000}"/>
    <cellStyle name="40% - Accent6 2 6 3 2" xfId="14328" xr:uid="{B860F251-973F-407E-926C-E7F5168E58CC}"/>
    <cellStyle name="40% - Accent6 2 6 4" xfId="10115" xr:uid="{B21EF5DF-F9B7-4BA7-8B87-9A588F5FE479}"/>
    <cellStyle name="40% - Accent6 2 7" xfId="1940" xr:uid="{00000000-0005-0000-0000-00002B070000}"/>
    <cellStyle name="40% - Accent6 2 7 2" xfId="4169" xr:uid="{00000000-0005-0000-0000-00002C070000}"/>
    <cellStyle name="40% - Accent6 2 7 2 2" xfId="8391" xr:uid="{00000000-0005-0000-0000-00002D070000}"/>
    <cellStyle name="40% - Accent6 2 7 2 2 2" xfId="16886" xr:uid="{F5404755-F586-4A85-BC61-56B49C9201B6}"/>
    <cellStyle name="40% - Accent6 2 7 2 3" xfId="12673" xr:uid="{7EA57CAA-EB31-45FA-AA79-B1BDE248BB78}"/>
    <cellStyle name="40% - Accent6 2 7 3" xfId="6246" xr:uid="{00000000-0005-0000-0000-00002E070000}"/>
    <cellStyle name="40% - Accent6 2 7 3 2" xfId="14741" xr:uid="{2345EF45-EBFE-4AD5-94CB-7662B8A57766}"/>
    <cellStyle name="40% - Accent6 2 7 4" xfId="10528" xr:uid="{46E13F29-0492-48CA-B2A0-F34C509D9F8F}"/>
    <cellStyle name="40% - Accent6 2 8" xfId="2353" xr:uid="{00000000-0005-0000-0000-00002F070000}"/>
    <cellStyle name="40% - Accent6 2 8 2" xfId="6659" xr:uid="{00000000-0005-0000-0000-000030070000}"/>
    <cellStyle name="40% - Accent6 2 8 2 2" xfId="15154" xr:uid="{04A160F2-067F-4F1C-BC54-26785336BC19}"/>
    <cellStyle name="40% - Accent6 2 8 3" xfId="10941" xr:uid="{052D7C22-68B0-4ED8-B3C2-EB58C98BEE5A}"/>
    <cellStyle name="40% - Accent6 2 9" xfId="4593" xr:uid="{00000000-0005-0000-0000-000031070000}"/>
    <cellStyle name="40% - Accent6 2 9 2" xfId="13089" xr:uid="{141BBB0D-37AE-4238-AA2F-E2F3DB496ECE}"/>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5652" xr:uid="{BD3412CC-3389-471A-9D9B-D7B980462753}"/>
    <cellStyle name="40% - Accent6 3 2 2 2 3" xfId="11439" xr:uid="{C3CAC895-8673-462C-BC2A-3909D408B501}"/>
    <cellStyle name="40% - Accent6 3 2 2 3" xfId="5012" xr:uid="{00000000-0005-0000-0000-000037070000}"/>
    <cellStyle name="40% - Accent6 3 2 2 3 2" xfId="13507" xr:uid="{CF815717-5297-4231-90CF-36C716375C7C}"/>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065" xr:uid="{C642271C-4B7A-454B-9740-7841001C5772}"/>
    <cellStyle name="40% - Accent6 3 2 3 2 3" xfId="11852" xr:uid="{377BCC4A-1E5E-400E-9156-1435C3515BAA}"/>
    <cellStyle name="40% - Accent6 3 2 3 3" xfId="5425" xr:uid="{00000000-0005-0000-0000-00003B070000}"/>
    <cellStyle name="40% - Accent6 3 2 3 3 2" xfId="13920" xr:uid="{30E3B525-0AE9-4E79-A188-10FC8A8A7804}"/>
    <cellStyle name="40% - Accent6 3 2 3 4" xfId="9707" xr:uid="{7B6D16F5-A548-4814-A670-FE3CC5D79BD1}"/>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6478" xr:uid="{094FE493-9070-411E-94E4-E610D45E19D5}"/>
    <cellStyle name="40% - Accent6 3 2 4 2 3" xfId="12265" xr:uid="{A96C976C-20AF-4074-8D19-81D8A3355567}"/>
    <cellStyle name="40% - Accent6 3 2 4 3" xfId="5838" xr:uid="{00000000-0005-0000-0000-00003F070000}"/>
    <cellStyle name="40% - Accent6 3 2 4 3 2" xfId="14333" xr:uid="{B05C674F-2368-4CC1-A571-D9B2594BF8C1}"/>
    <cellStyle name="40% - Accent6 3 2 4 4" xfId="10120" xr:uid="{CC8DAA7F-560D-4018-B54B-79612843A675}"/>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6891" xr:uid="{1239342B-FEA0-4839-8D32-7E0D324E8996}"/>
    <cellStyle name="40% - Accent6 3 2 5 2 3" xfId="12678" xr:uid="{ADB46C7F-5385-4B03-A30A-973F483C71DC}"/>
    <cellStyle name="40% - Accent6 3 2 5 3" xfId="6251" xr:uid="{00000000-0005-0000-0000-000043070000}"/>
    <cellStyle name="40% - Accent6 3 2 5 3 2" xfId="14746" xr:uid="{120179B5-F4BF-4913-A149-9030CC4ADFF4}"/>
    <cellStyle name="40% - Accent6 3 2 5 4" xfId="10533" xr:uid="{46737238-C22A-41D0-8B89-47B0F20C9145}"/>
    <cellStyle name="40% - Accent6 3 2 6" xfId="2358" xr:uid="{00000000-0005-0000-0000-000044070000}"/>
    <cellStyle name="40% - Accent6 3 2 6 2" xfId="6664" xr:uid="{00000000-0005-0000-0000-000045070000}"/>
    <cellStyle name="40% - Accent6 3 2 6 2 2" xfId="15159" xr:uid="{719F4146-2DF1-4AC0-A678-2143C53E93CA}"/>
    <cellStyle name="40% - Accent6 3 2 6 3" xfId="10946" xr:uid="{C76C20F6-65E2-44F9-A93E-36C38727383E}"/>
    <cellStyle name="40% - Accent6 3 2 7" xfId="4598" xr:uid="{00000000-0005-0000-0000-000046070000}"/>
    <cellStyle name="40% - Accent6 3 2 7 2" xfId="13094" xr:uid="{68A834DC-DE7C-443F-8773-53D74D9985B3}"/>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2 2 2" xfId="15651" xr:uid="{F07999C0-3C77-4A15-8B91-0AB03ED56EE8}"/>
    <cellStyle name="40% - Accent6 3 3 2 3" xfId="11438" xr:uid="{2DEDBA73-2722-45C5-A31F-A4123153FCD9}"/>
    <cellStyle name="40% - Accent6 3 3 3" xfId="5011" xr:uid="{00000000-0005-0000-0000-00004A070000}"/>
    <cellStyle name="40% - Accent6 3 3 3 2" xfId="13506" xr:uid="{37499410-3184-4A64-86D5-32ACC8183B59}"/>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064" xr:uid="{78EAFCA3-2BF1-4654-9E52-EE55C146AF50}"/>
    <cellStyle name="40% - Accent6 3 4 2 3" xfId="11851" xr:uid="{6E95E7FD-539F-4810-B615-730C1877AC3E}"/>
    <cellStyle name="40% - Accent6 3 4 3" xfId="5424" xr:uid="{00000000-0005-0000-0000-00004E070000}"/>
    <cellStyle name="40% - Accent6 3 4 3 2" xfId="13919" xr:uid="{F465CB97-A258-4404-A39A-8D073A2AB61F}"/>
    <cellStyle name="40% - Accent6 3 4 4" xfId="9706" xr:uid="{531AFD3D-98F7-49D8-946A-3E226188F8E5}"/>
    <cellStyle name="40% - Accent6 3 5" xfId="1530" xr:uid="{00000000-0005-0000-0000-00004F070000}"/>
    <cellStyle name="40% - Accent6 3 5 2" xfId="3760" xr:uid="{00000000-0005-0000-0000-000050070000}"/>
    <cellStyle name="40% - Accent6 3 5 2 2" xfId="7982" xr:uid="{00000000-0005-0000-0000-000051070000}"/>
    <cellStyle name="40% - Accent6 3 5 2 2 2" xfId="16477" xr:uid="{7A24375A-3EC3-466B-B9FD-3329B2A8944F}"/>
    <cellStyle name="40% - Accent6 3 5 2 3" xfId="12264" xr:uid="{F846E9E6-F1D7-4CD5-AC8B-DB67D0D43AF0}"/>
    <cellStyle name="40% - Accent6 3 5 3" xfId="5837" xr:uid="{00000000-0005-0000-0000-000052070000}"/>
    <cellStyle name="40% - Accent6 3 5 3 2" xfId="14332" xr:uid="{1D23B6E7-891B-4EF4-8088-028F71E2CF41}"/>
    <cellStyle name="40% - Accent6 3 5 4" xfId="10119" xr:uid="{7E253C88-4CF4-40AC-BFED-D25F1DF905BA}"/>
    <cellStyle name="40% - Accent6 3 6" xfId="1944" xr:uid="{00000000-0005-0000-0000-000053070000}"/>
    <cellStyle name="40% - Accent6 3 6 2" xfId="4173" xr:uid="{00000000-0005-0000-0000-000054070000}"/>
    <cellStyle name="40% - Accent6 3 6 2 2" xfId="8395" xr:uid="{00000000-0005-0000-0000-000055070000}"/>
    <cellStyle name="40% - Accent6 3 6 2 2 2" xfId="16890" xr:uid="{919CB571-1B06-48DD-B75F-AB333D0810FB}"/>
    <cellStyle name="40% - Accent6 3 6 2 3" xfId="12677" xr:uid="{C56B5399-090C-4D8D-88FB-1488B85B3728}"/>
    <cellStyle name="40% - Accent6 3 6 3" xfId="6250" xr:uid="{00000000-0005-0000-0000-000056070000}"/>
    <cellStyle name="40% - Accent6 3 6 3 2" xfId="14745" xr:uid="{88A6B09B-EE5F-4126-9952-BB0ECA574E0F}"/>
    <cellStyle name="40% - Accent6 3 6 4" xfId="10532" xr:uid="{592DB664-D4C9-43A4-AE0F-810F2912B711}"/>
    <cellStyle name="40% - Accent6 3 7" xfId="2357" xr:uid="{00000000-0005-0000-0000-000057070000}"/>
    <cellStyle name="40% - Accent6 3 7 2" xfId="6663" xr:uid="{00000000-0005-0000-0000-000058070000}"/>
    <cellStyle name="40% - Accent6 3 7 2 2" xfId="15158" xr:uid="{94C3959C-B25F-4CA8-BECB-8FA6EBCC40ED}"/>
    <cellStyle name="40% - Accent6 3 7 3" xfId="10945" xr:uid="{4D78B5E3-D79C-4485-B63F-6AE7AF07838C}"/>
    <cellStyle name="40% - Accent6 3 8" xfId="4597" xr:uid="{00000000-0005-0000-0000-000059070000}"/>
    <cellStyle name="40% - Accent6 3 8 2" xfId="13093" xr:uid="{207677AA-094D-423F-A2DA-BD67B426939A}"/>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5653" xr:uid="{2AF42D68-0F8A-4666-99D3-932ED9FF20F4}"/>
    <cellStyle name="40% - Accent6 4 2 2 3" xfId="11440" xr:uid="{C6B66445-D879-4104-B779-910310256199}"/>
    <cellStyle name="40% - Accent6 4 2 3" xfId="5013" xr:uid="{00000000-0005-0000-0000-00005E070000}"/>
    <cellStyle name="40% - Accent6 4 2 3 2" xfId="13508" xr:uid="{163E0B7F-38D5-4AF1-8E87-67979F73C68F}"/>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066" xr:uid="{D0D6E9D1-71CA-44D4-BECE-53435686D733}"/>
    <cellStyle name="40% - Accent6 4 3 2 3" xfId="11853" xr:uid="{BF5129BE-4F14-4F39-8BBC-18DEE1035951}"/>
    <cellStyle name="40% - Accent6 4 3 3" xfId="5426" xr:uid="{00000000-0005-0000-0000-000062070000}"/>
    <cellStyle name="40% - Accent6 4 3 3 2" xfId="13921" xr:uid="{0FF7ECD1-29A0-4828-8D9A-6C7B74E40998}"/>
    <cellStyle name="40% - Accent6 4 3 4" xfId="9708" xr:uid="{AE987641-82C0-41A9-87A1-6A533BCEB632}"/>
    <cellStyle name="40% - Accent6 4 4" xfId="1532" xr:uid="{00000000-0005-0000-0000-000063070000}"/>
    <cellStyle name="40% - Accent6 4 4 2" xfId="3762" xr:uid="{00000000-0005-0000-0000-000064070000}"/>
    <cellStyle name="40% - Accent6 4 4 2 2" xfId="7984" xr:uid="{00000000-0005-0000-0000-000065070000}"/>
    <cellStyle name="40% - Accent6 4 4 2 2 2" xfId="16479" xr:uid="{B2D6E5E8-63C9-4B06-83B8-0E14D641F9B5}"/>
    <cellStyle name="40% - Accent6 4 4 2 3" xfId="12266" xr:uid="{A16B95B9-8CA8-4E4F-B2E5-F51D9E2F878C}"/>
    <cellStyle name="40% - Accent6 4 4 3" xfId="5839" xr:uid="{00000000-0005-0000-0000-000066070000}"/>
    <cellStyle name="40% - Accent6 4 4 3 2" xfId="14334" xr:uid="{D37BE723-FD48-4042-B2B8-202D45DDD3D3}"/>
    <cellStyle name="40% - Accent6 4 4 4" xfId="10121" xr:uid="{AA370462-F353-4CC7-9CE4-DC8BE7BB74E2}"/>
    <cellStyle name="40% - Accent6 4 5" xfId="1946" xr:uid="{00000000-0005-0000-0000-000067070000}"/>
    <cellStyle name="40% - Accent6 4 5 2" xfId="4175" xr:uid="{00000000-0005-0000-0000-000068070000}"/>
    <cellStyle name="40% - Accent6 4 5 2 2" xfId="8397" xr:uid="{00000000-0005-0000-0000-000069070000}"/>
    <cellStyle name="40% - Accent6 4 5 2 2 2" xfId="16892" xr:uid="{8D484183-545F-4ABE-A545-EB8367036815}"/>
    <cellStyle name="40% - Accent6 4 5 2 3" xfId="12679" xr:uid="{102595A3-95A9-4609-BB66-A8CE098DBB85}"/>
    <cellStyle name="40% - Accent6 4 5 3" xfId="6252" xr:uid="{00000000-0005-0000-0000-00006A070000}"/>
    <cellStyle name="40% - Accent6 4 5 3 2" xfId="14747" xr:uid="{68CEB314-92A5-447D-9097-E17783D6B6A5}"/>
    <cellStyle name="40% - Accent6 4 5 4" xfId="10534" xr:uid="{B4C12491-9505-4A03-A1E3-998621854EEA}"/>
    <cellStyle name="40% - Accent6 4 6" xfId="2359" xr:uid="{00000000-0005-0000-0000-00006B070000}"/>
    <cellStyle name="40% - Accent6 4 6 2" xfId="6665" xr:uid="{00000000-0005-0000-0000-00006C070000}"/>
    <cellStyle name="40% - Accent6 4 6 2 2" xfId="15160" xr:uid="{B43CA03C-6A50-4307-B9D9-F214999FB65E}"/>
    <cellStyle name="40% - Accent6 4 6 3" xfId="10947" xr:uid="{2F288498-5CE1-4DF9-B582-3DF5328667BF}"/>
    <cellStyle name="40% - Accent6 4 7" xfId="4599" xr:uid="{00000000-0005-0000-0000-00006D070000}"/>
    <cellStyle name="40% - Accent6 4 7 2" xfId="13095" xr:uid="{9D0085B7-E33E-4936-891C-13CE6C58520F}"/>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2 2 2" xfId="15646" xr:uid="{67CA1660-C3B0-4859-9F3E-A6C19EDC0D9F}"/>
    <cellStyle name="40% - Accent6 5 2 3" xfId="11433" xr:uid="{8C7DE658-AAD5-4E44-BF26-A9C1926FA131}"/>
    <cellStyle name="40% - Accent6 5 3" xfId="5006" xr:uid="{00000000-0005-0000-0000-000071070000}"/>
    <cellStyle name="40% - Accent6 5 3 2" xfId="13501" xr:uid="{44BB833B-B0B5-436C-9919-8F9E67654272}"/>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2 2 2" xfId="16059" xr:uid="{76DC4A7F-5776-40A9-82AC-358079B41393}"/>
    <cellStyle name="40% - Accent6 6 2 3" xfId="11846" xr:uid="{81635BE6-AE3B-43A5-8304-8224F03D7DCD}"/>
    <cellStyle name="40% - Accent6 6 3" xfId="5419" xr:uid="{00000000-0005-0000-0000-000075070000}"/>
    <cellStyle name="40% - Accent6 6 3 2" xfId="13914" xr:uid="{AD26D17B-EEF4-4ADE-B765-1620DB2B5208}"/>
    <cellStyle name="40% - Accent6 6 4" xfId="9701" xr:uid="{2E139467-18FF-4221-9B38-239FCE7635D3}"/>
    <cellStyle name="40% - Accent6 7" xfId="1525" xr:uid="{00000000-0005-0000-0000-000076070000}"/>
    <cellStyle name="40% - Accent6 7 2" xfId="3755" xr:uid="{00000000-0005-0000-0000-000077070000}"/>
    <cellStyle name="40% - Accent6 7 2 2" xfId="7977" xr:uid="{00000000-0005-0000-0000-000078070000}"/>
    <cellStyle name="40% - Accent6 7 2 2 2" xfId="16472" xr:uid="{5BBABF7C-CE95-4738-87E8-1F91DEAAA5C2}"/>
    <cellStyle name="40% - Accent6 7 2 3" xfId="12259" xr:uid="{735D8C99-E5A2-4C34-9B1E-D0E455DD7EF3}"/>
    <cellStyle name="40% - Accent6 7 3" xfId="5832" xr:uid="{00000000-0005-0000-0000-000079070000}"/>
    <cellStyle name="40% - Accent6 7 3 2" xfId="14327" xr:uid="{E33ABDAE-F4D5-486A-A8E5-3BD2E16E2AF0}"/>
    <cellStyle name="40% - Accent6 7 4" xfId="10114" xr:uid="{C0BF55F4-7471-45B6-8B0B-C0D69E09B3F2}"/>
    <cellStyle name="40% - Accent6 8" xfId="1939" xr:uid="{00000000-0005-0000-0000-00007A070000}"/>
    <cellStyle name="40% - Accent6 8 2" xfId="4168" xr:uid="{00000000-0005-0000-0000-00007B070000}"/>
    <cellStyle name="40% - Accent6 8 2 2" xfId="8390" xr:uid="{00000000-0005-0000-0000-00007C070000}"/>
    <cellStyle name="40% - Accent6 8 2 2 2" xfId="16885" xr:uid="{3F503913-690B-4975-BE62-6BAD0FE187CF}"/>
    <cellStyle name="40% - Accent6 8 2 3" xfId="12672" xr:uid="{8C4D92C0-DCCA-4386-BDF6-08604EB1F584}"/>
    <cellStyle name="40% - Accent6 8 3" xfId="6245" xr:uid="{00000000-0005-0000-0000-00007D070000}"/>
    <cellStyle name="40% - Accent6 8 3 2" xfId="14740" xr:uid="{18520ECE-2B85-42AB-9206-DF4D877B600F}"/>
    <cellStyle name="40% - Accent6 8 4" xfId="10527" xr:uid="{EE8AB16C-AD99-4414-84AC-0245CBE730DA}"/>
    <cellStyle name="40% - Accent6 9" xfId="2352" xr:uid="{00000000-0005-0000-0000-00007E070000}"/>
    <cellStyle name="40% - Accent6 9 2" xfId="6658" xr:uid="{00000000-0005-0000-0000-00007F070000}"/>
    <cellStyle name="40% - Accent6 9 2 2" xfId="15153" xr:uid="{AF268392-B3E4-4DC0-B917-7317E919CA84}"/>
    <cellStyle name="40% - Accent6 9 3" xfId="10940" xr:uid="{BDCD9F9D-041C-4ECF-B358-767182C69981}"/>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5478" xr:uid="{89FA96F3-EB0E-45C5-970E-E1EE1449B61E}"/>
    <cellStyle name="Comma 4 2 2 2 10 3" xfId="11265" xr:uid="{31DEA430-E6DE-42C4-998D-CAE57A20C06F}"/>
    <cellStyle name="Comma 4 2 2 2 11" xfId="4600" xr:uid="{00000000-0005-0000-0000-0000A3070000}"/>
    <cellStyle name="Comma 4 2 2 2 11 2" xfId="13096" xr:uid="{5265BC84-B4F0-40A3-94D0-38C138DEE28F}"/>
    <cellStyle name="Comma 4 2 2 2 12" xfId="8806" xr:uid="{6C773D0B-D2E3-4A8C-B041-8DA2843B9E25}"/>
    <cellStyle name="Comma 4 2 2 2 2" xfId="129" xr:uid="{00000000-0005-0000-0000-0000A4070000}"/>
    <cellStyle name="Comma 4 2 2 2 2 10" xfId="4601" xr:uid="{00000000-0005-0000-0000-0000A5070000}"/>
    <cellStyle name="Comma 4 2 2 2 2 10 2" xfId="13097" xr:uid="{A10558E9-E7DE-4850-B5B3-D1A822B255D6}"/>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5656" xr:uid="{B3D809DB-1D22-4112-82EE-D2F5EE144896}"/>
    <cellStyle name="Comma 4 2 2 2 2 2 2 2 3" xfId="11443" xr:uid="{E762E9FB-A0E0-4A71-B1A5-231FB71B5429}"/>
    <cellStyle name="Comma 4 2 2 2 2 2 2 3" xfId="5016" xr:uid="{00000000-0005-0000-0000-0000AA070000}"/>
    <cellStyle name="Comma 4 2 2 2 2 2 2 3 2" xfId="13511" xr:uid="{70E6E271-873F-42F5-9702-53C475D7DB63}"/>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069" xr:uid="{115D3382-C596-4F4C-B172-24B07DCA560E}"/>
    <cellStyle name="Comma 4 2 2 2 2 2 3 2 3" xfId="11856" xr:uid="{43B66948-9747-4091-B9BC-41D7C66F8ED5}"/>
    <cellStyle name="Comma 4 2 2 2 2 2 3 3" xfId="5429" xr:uid="{00000000-0005-0000-0000-0000AE070000}"/>
    <cellStyle name="Comma 4 2 2 2 2 2 3 3 2" xfId="13924" xr:uid="{C497736F-F356-4A30-9429-12C5B8885486}"/>
    <cellStyle name="Comma 4 2 2 2 2 2 3 4" xfId="9711" xr:uid="{F136A641-1D55-41C9-92BE-AA69D5055A55}"/>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6482" xr:uid="{8F04190D-DB8A-4588-9C4F-3AFDC0212A23}"/>
    <cellStyle name="Comma 4 2 2 2 2 2 4 2 3" xfId="12269" xr:uid="{67B393DF-8A14-4934-8FC3-7172CA1A4174}"/>
    <cellStyle name="Comma 4 2 2 2 2 2 4 3" xfId="5842" xr:uid="{00000000-0005-0000-0000-0000B2070000}"/>
    <cellStyle name="Comma 4 2 2 2 2 2 4 3 2" xfId="14337" xr:uid="{3BD03AD6-2517-4BAB-B8FE-25E5C284FB66}"/>
    <cellStyle name="Comma 4 2 2 2 2 2 4 4" xfId="10124" xr:uid="{66F320CD-B673-48A5-ACF2-B52035032D05}"/>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6895" xr:uid="{94534D88-5D39-4F80-BD1B-BBB9B10277AF}"/>
    <cellStyle name="Comma 4 2 2 2 2 2 5 2 3" xfId="12682" xr:uid="{FCE7074D-15F4-43F0-AD91-3DB8E961E170}"/>
    <cellStyle name="Comma 4 2 2 2 2 2 5 3" xfId="6255" xr:uid="{00000000-0005-0000-0000-0000B6070000}"/>
    <cellStyle name="Comma 4 2 2 2 2 2 5 3 2" xfId="14750" xr:uid="{8D048C74-CCC5-4E53-A2B0-251242B43C9A}"/>
    <cellStyle name="Comma 4 2 2 2 2 2 5 4" xfId="10537" xr:uid="{07D2A669-C14F-4B39-A937-91B308946D55}"/>
    <cellStyle name="Comma 4 2 2 2 2 2 6" xfId="2384" xr:uid="{00000000-0005-0000-0000-0000B7070000}"/>
    <cellStyle name="Comma 4 2 2 2 2 2 6 2" xfId="6668" xr:uid="{00000000-0005-0000-0000-0000B8070000}"/>
    <cellStyle name="Comma 4 2 2 2 2 2 6 2 2" xfId="15163" xr:uid="{815E4F78-5CE8-46AB-8D54-93D0A9E352B4}"/>
    <cellStyle name="Comma 4 2 2 2 2 2 6 3" xfId="10950" xr:uid="{4BD06709-74AF-421B-9641-0FCF56078EAB}"/>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5480" xr:uid="{851D09FC-F77A-4CE9-9417-7A965C56D8DC}"/>
    <cellStyle name="Comma 4 2 2 2 2 2 8 3" xfId="11267" xr:uid="{A56BFAA6-413E-4650-99F4-BBEA18789B5D}"/>
    <cellStyle name="Comma 4 2 2 2 2 2 9" xfId="4602" xr:uid="{00000000-0005-0000-0000-0000BC070000}"/>
    <cellStyle name="Comma 4 2 2 2 2 2 9 2" xfId="13098" xr:uid="{A5ABDE5F-4B7B-4EC7-9103-A464205C070F}"/>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5655" xr:uid="{FF6EBED7-5128-4FBD-990B-1414FB073283}"/>
    <cellStyle name="Comma 4 2 2 2 2 3 2 3" xfId="11442" xr:uid="{6EE4E0CA-B02B-408E-888F-66C29B7C0009}"/>
    <cellStyle name="Comma 4 2 2 2 2 3 3" xfId="5015" xr:uid="{00000000-0005-0000-0000-0000C0070000}"/>
    <cellStyle name="Comma 4 2 2 2 2 3 3 2" xfId="13510" xr:uid="{1297C275-31AB-49D7-9B74-75D8B35866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068" xr:uid="{C8F3E337-9BB6-4197-A80C-4A0FC14E89C1}"/>
    <cellStyle name="Comma 4 2 2 2 2 4 2 3" xfId="11855" xr:uid="{CAD2CDCA-E948-4855-A718-5A2AC31732BA}"/>
    <cellStyle name="Comma 4 2 2 2 2 4 3" xfId="5428" xr:uid="{00000000-0005-0000-0000-0000C4070000}"/>
    <cellStyle name="Comma 4 2 2 2 2 4 3 2" xfId="13923" xr:uid="{F6ECAC82-8779-456A-8B91-E5F47E0BD7B4}"/>
    <cellStyle name="Comma 4 2 2 2 2 4 4" xfId="9710" xr:uid="{958DF7FE-891F-4F80-B873-79A06ACE7C66}"/>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6481" xr:uid="{9722A799-74A1-401C-B11C-59BCE158D656}"/>
    <cellStyle name="Comma 4 2 2 2 2 5 2 3" xfId="12268" xr:uid="{77B7ACE8-009C-4166-AF80-F31D8AC9E570}"/>
    <cellStyle name="Comma 4 2 2 2 2 5 3" xfId="5841" xr:uid="{00000000-0005-0000-0000-0000C8070000}"/>
    <cellStyle name="Comma 4 2 2 2 2 5 3 2" xfId="14336" xr:uid="{65D3986B-43F7-4A9E-8B74-6C3EAE67A212}"/>
    <cellStyle name="Comma 4 2 2 2 2 5 4" xfId="10123" xr:uid="{4B6CFC57-9416-413B-A21A-9BA440F5CF2E}"/>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6894" xr:uid="{1261639C-319A-4278-9284-DB7D80B2A48D}"/>
    <cellStyle name="Comma 4 2 2 2 2 6 2 3" xfId="12681" xr:uid="{B4D7ED1D-5C82-463C-9041-DF4653491750}"/>
    <cellStyle name="Comma 4 2 2 2 2 6 3" xfId="6254" xr:uid="{00000000-0005-0000-0000-0000CC070000}"/>
    <cellStyle name="Comma 4 2 2 2 2 6 3 2" xfId="14749" xr:uid="{0C95B800-F639-48B9-874A-1A5D10391D0F}"/>
    <cellStyle name="Comma 4 2 2 2 2 6 4" xfId="10536" xr:uid="{F94D4B6B-D056-476A-A6AF-18909F0FA0DE}"/>
    <cellStyle name="Comma 4 2 2 2 2 7" xfId="2383" xr:uid="{00000000-0005-0000-0000-0000CD070000}"/>
    <cellStyle name="Comma 4 2 2 2 2 7 2" xfId="6667" xr:uid="{00000000-0005-0000-0000-0000CE070000}"/>
    <cellStyle name="Comma 4 2 2 2 2 7 2 2" xfId="15162" xr:uid="{2BE0606E-16A6-4436-B38C-9C147D6F6BE7}"/>
    <cellStyle name="Comma 4 2 2 2 2 7 3" xfId="10949" xr:uid="{818F3055-0A2E-4FE5-A2A5-9FE3DD80325F}"/>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5479" xr:uid="{7E49A87F-A36C-40FF-A8A9-343B6F65FCCC}"/>
    <cellStyle name="Comma 4 2 2 2 2 9 3" xfId="11266" xr:uid="{36598483-88AC-4DE4-B0A5-71F8722B4E5F}"/>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5657" xr:uid="{15B63AD4-5543-414C-A8FE-AB388B221EDF}"/>
    <cellStyle name="Comma 4 2 2 2 3 2 2 3" xfId="11444" xr:uid="{C060DB36-DF17-45EB-A9F8-AB360D5182DF}"/>
    <cellStyle name="Comma 4 2 2 2 3 2 3" xfId="5017" xr:uid="{00000000-0005-0000-0000-0000D6070000}"/>
    <cellStyle name="Comma 4 2 2 2 3 2 3 2" xfId="13512" xr:uid="{B9F2D5A5-689D-416E-AA5E-6ED9BEBD7B7A}"/>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070" xr:uid="{5E7CEC66-541C-472B-A90C-EA5AF3163FEE}"/>
    <cellStyle name="Comma 4 2 2 2 3 3 2 3" xfId="11857" xr:uid="{CCADF64E-3F54-4D19-850E-DFF4ED812818}"/>
    <cellStyle name="Comma 4 2 2 2 3 3 3" xfId="5430" xr:uid="{00000000-0005-0000-0000-0000DA070000}"/>
    <cellStyle name="Comma 4 2 2 2 3 3 3 2" xfId="13925" xr:uid="{2056324B-0F32-43BA-BE55-DCA0D4466401}"/>
    <cellStyle name="Comma 4 2 2 2 3 3 4" xfId="9712" xr:uid="{A6E45BBC-0DFF-45FD-9F73-A870EC96E8D8}"/>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6483" xr:uid="{B77FC507-0AA1-44F0-9FAD-204ADCE08705}"/>
    <cellStyle name="Comma 4 2 2 2 3 4 2 3" xfId="12270" xr:uid="{6087345E-8C8A-4497-8F33-85A9D36CE0D0}"/>
    <cellStyle name="Comma 4 2 2 2 3 4 3" xfId="5843" xr:uid="{00000000-0005-0000-0000-0000DE070000}"/>
    <cellStyle name="Comma 4 2 2 2 3 4 3 2" xfId="14338" xr:uid="{24C038A3-B401-4E5D-BC17-3C79AA98B295}"/>
    <cellStyle name="Comma 4 2 2 2 3 4 4" xfId="10125" xr:uid="{10166B9F-0D12-4ECB-971B-CEF86C4AC6F7}"/>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6896" xr:uid="{698DEA56-5B61-4D8A-A6CA-5C1B33B58B67}"/>
    <cellStyle name="Comma 4 2 2 2 3 5 2 3" xfId="12683" xr:uid="{6AF79C62-CED6-4A7C-88C3-C272302CA8AB}"/>
    <cellStyle name="Comma 4 2 2 2 3 5 3" xfId="6256" xr:uid="{00000000-0005-0000-0000-0000E2070000}"/>
    <cellStyle name="Comma 4 2 2 2 3 5 3 2" xfId="14751" xr:uid="{050E945A-E991-432D-8061-14DCA07C07B8}"/>
    <cellStyle name="Comma 4 2 2 2 3 5 4" xfId="10538" xr:uid="{A8AB4BA8-7835-46CC-9491-8FA1C73A11D5}"/>
    <cellStyle name="Comma 4 2 2 2 3 6" xfId="2385" xr:uid="{00000000-0005-0000-0000-0000E3070000}"/>
    <cellStyle name="Comma 4 2 2 2 3 6 2" xfId="6669" xr:uid="{00000000-0005-0000-0000-0000E4070000}"/>
    <cellStyle name="Comma 4 2 2 2 3 6 2 2" xfId="15164" xr:uid="{8CF35380-C262-4D20-A8AE-7534CEB859A7}"/>
    <cellStyle name="Comma 4 2 2 2 3 6 3" xfId="10951" xr:uid="{2BB3D67C-8F7E-4DF3-9984-71210A7A26C3}"/>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5481" xr:uid="{2212917E-AC31-472D-B6AD-AF418A61246F}"/>
    <cellStyle name="Comma 4 2 2 2 3 8 3" xfId="11268" xr:uid="{190F6071-FF8F-4D3A-B83F-D8A77B5F8F95}"/>
    <cellStyle name="Comma 4 2 2 2 3 9" xfId="4603" xr:uid="{00000000-0005-0000-0000-0000E8070000}"/>
    <cellStyle name="Comma 4 2 2 2 3 9 2" xfId="13099" xr:uid="{CD7C3B52-30FE-46FA-8DC7-17F3AC29C54B}"/>
    <cellStyle name="Comma 4 2 2 2 4" xfId="666" xr:uid="{00000000-0005-0000-0000-0000E9070000}"/>
    <cellStyle name="Comma 4 2 2 2 4 2" xfId="2937" xr:uid="{00000000-0005-0000-0000-0000EA070000}"/>
    <cellStyle name="Comma 4 2 2 2 4 2 2" xfId="7159" xr:uid="{00000000-0005-0000-0000-0000EB070000}"/>
    <cellStyle name="Comma 4 2 2 2 4 2 2 2" xfId="15654" xr:uid="{65297EE3-E1E2-4123-B932-7217A44AF1E2}"/>
    <cellStyle name="Comma 4 2 2 2 4 2 3" xfId="11441" xr:uid="{8E8CCE52-EA8F-4E5C-8E2F-B74F006C4B81}"/>
    <cellStyle name="Comma 4 2 2 2 4 3" xfId="5014" xr:uid="{00000000-0005-0000-0000-0000EC070000}"/>
    <cellStyle name="Comma 4 2 2 2 4 3 2" xfId="13509" xr:uid="{F30D9DC0-855A-4C36-87A1-4F0CB290B83F}"/>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067" xr:uid="{F22F96E8-1BC6-4883-BAF6-B23FD6153A28}"/>
    <cellStyle name="Comma 4 2 2 2 5 2 3" xfId="11854" xr:uid="{D35A3A90-CA60-44CA-8A52-BB02747F8B52}"/>
    <cellStyle name="Comma 4 2 2 2 5 3" xfId="5427" xr:uid="{00000000-0005-0000-0000-0000F0070000}"/>
    <cellStyle name="Comma 4 2 2 2 5 3 2" xfId="13922" xr:uid="{9C32FAF2-A6E6-42E3-BE84-746F4D20E5D5}"/>
    <cellStyle name="Comma 4 2 2 2 5 4" xfId="9709" xr:uid="{12CF949E-6142-4B9B-84E3-ED7A3B876F49}"/>
    <cellStyle name="Comma 4 2 2 2 6" xfId="1533" xr:uid="{00000000-0005-0000-0000-0000F1070000}"/>
    <cellStyle name="Comma 4 2 2 2 6 2" xfId="3763" xr:uid="{00000000-0005-0000-0000-0000F2070000}"/>
    <cellStyle name="Comma 4 2 2 2 6 2 2" xfId="7985" xr:uid="{00000000-0005-0000-0000-0000F3070000}"/>
    <cellStyle name="Comma 4 2 2 2 6 2 2 2" xfId="16480" xr:uid="{13841833-A500-421C-A870-3729F13923AF}"/>
    <cellStyle name="Comma 4 2 2 2 6 2 3" xfId="12267" xr:uid="{31679DD6-3A21-4F32-B73D-8C482F25F5D2}"/>
    <cellStyle name="Comma 4 2 2 2 6 3" xfId="5840" xr:uid="{00000000-0005-0000-0000-0000F4070000}"/>
    <cellStyle name="Comma 4 2 2 2 6 3 2" xfId="14335" xr:uid="{DDED6633-1EA2-49AC-A91A-81CC8BBF308D}"/>
    <cellStyle name="Comma 4 2 2 2 6 4" xfId="10122" xr:uid="{F6C71F4D-D803-42D3-99F4-3F06741050BB}"/>
    <cellStyle name="Comma 4 2 2 2 7" xfId="1947" xr:uid="{00000000-0005-0000-0000-0000F5070000}"/>
    <cellStyle name="Comma 4 2 2 2 7 2" xfId="4176" xr:uid="{00000000-0005-0000-0000-0000F6070000}"/>
    <cellStyle name="Comma 4 2 2 2 7 2 2" xfId="8398" xr:uid="{00000000-0005-0000-0000-0000F7070000}"/>
    <cellStyle name="Comma 4 2 2 2 7 2 2 2" xfId="16893" xr:uid="{8095D865-D7D0-49EC-9ECF-F4B609514799}"/>
    <cellStyle name="Comma 4 2 2 2 7 2 3" xfId="12680" xr:uid="{46300EFD-AC9A-4A2E-8E07-D1AFA36FDB67}"/>
    <cellStyle name="Comma 4 2 2 2 7 3" xfId="6253" xr:uid="{00000000-0005-0000-0000-0000F8070000}"/>
    <cellStyle name="Comma 4 2 2 2 7 3 2" xfId="14748" xr:uid="{8ACC0FD6-AA30-4E73-B2F2-345BB47111C7}"/>
    <cellStyle name="Comma 4 2 2 2 7 4" xfId="10535" xr:uid="{2D2DCA05-3117-4E1C-9C31-CE9DF347059D}"/>
    <cellStyle name="Comma 4 2 2 2 8" xfId="2382" xr:uid="{00000000-0005-0000-0000-0000F9070000}"/>
    <cellStyle name="Comma 4 2 2 2 8 2" xfId="6666" xr:uid="{00000000-0005-0000-0000-0000FA070000}"/>
    <cellStyle name="Comma 4 2 2 2 8 2 2" xfId="15161" xr:uid="{593755B8-04F1-45EE-9C56-8B8CDC5E8E93}"/>
    <cellStyle name="Comma 4 2 2 2 8 3" xfId="10948" xr:uid="{6423A5E0-96FA-4E24-A3BB-241D4C32E442}"/>
    <cellStyle name="Comma 4 2 2 2 9" xfId="2381" xr:uid="{00000000-0005-0000-0000-0000FB070000}"/>
    <cellStyle name="Comma 4 2 2 3" xfId="132" xr:uid="{00000000-0005-0000-0000-0000FC070000}"/>
    <cellStyle name="Comma 4 2 2 3 10" xfId="4604" xr:uid="{00000000-0005-0000-0000-0000FD070000}"/>
    <cellStyle name="Comma 4 2 2 3 10 2" xfId="13100" xr:uid="{2C5E7C61-63C1-4B4D-965A-F6A0ED8B85B8}"/>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5659" xr:uid="{4669372C-6E34-42FF-B245-7EFB7433A085}"/>
    <cellStyle name="Comma 4 2 2 3 2 2 2 3" xfId="11446" xr:uid="{6AB417D8-AE59-462F-B2F9-7260900FA0A2}"/>
    <cellStyle name="Comma 4 2 2 3 2 2 3" xfId="5019" xr:uid="{00000000-0005-0000-0000-000002080000}"/>
    <cellStyle name="Comma 4 2 2 3 2 2 3 2" xfId="13514" xr:uid="{43FD029D-2D32-4D21-AD68-D1FE36FDA36E}"/>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072" xr:uid="{33067C5E-778A-4D7B-92D6-4A8981880657}"/>
    <cellStyle name="Comma 4 2 2 3 2 3 2 3" xfId="11859" xr:uid="{F78A12A4-258E-4249-921A-F8C947CE1E2D}"/>
    <cellStyle name="Comma 4 2 2 3 2 3 3" xfId="5432" xr:uid="{00000000-0005-0000-0000-000006080000}"/>
    <cellStyle name="Comma 4 2 2 3 2 3 3 2" xfId="13927" xr:uid="{BB05F3BA-EB88-438D-B649-7F4855750895}"/>
    <cellStyle name="Comma 4 2 2 3 2 3 4" xfId="9714" xr:uid="{C9752BB1-5955-443E-80D2-5B0CBBF89688}"/>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6485" xr:uid="{0E4D597B-7050-4377-8E57-F390C90B13AA}"/>
    <cellStyle name="Comma 4 2 2 3 2 4 2 3" xfId="12272" xr:uid="{BFEA9673-5578-4A58-89E5-4488B08524FE}"/>
    <cellStyle name="Comma 4 2 2 3 2 4 3" xfId="5845" xr:uid="{00000000-0005-0000-0000-00000A080000}"/>
    <cellStyle name="Comma 4 2 2 3 2 4 3 2" xfId="14340" xr:uid="{76979A5D-DCCB-4FC3-BD6E-6A8E677BD5F4}"/>
    <cellStyle name="Comma 4 2 2 3 2 4 4" xfId="10127" xr:uid="{8F4662A8-DC1C-421F-A256-3F379DF5D0E0}"/>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6898" xr:uid="{7B5E38ED-3283-4619-ADDD-340B6B123CE1}"/>
    <cellStyle name="Comma 4 2 2 3 2 5 2 3" xfId="12685" xr:uid="{D7735822-29D0-4FCE-B987-CB42D30DD737}"/>
    <cellStyle name="Comma 4 2 2 3 2 5 3" xfId="6258" xr:uid="{00000000-0005-0000-0000-00000E080000}"/>
    <cellStyle name="Comma 4 2 2 3 2 5 3 2" xfId="14753" xr:uid="{9E91D15D-A102-48AF-83F3-1895662709B9}"/>
    <cellStyle name="Comma 4 2 2 3 2 5 4" xfId="10540" xr:uid="{24364D9D-1853-47F0-BA34-1862D4D064C9}"/>
    <cellStyle name="Comma 4 2 2 3 2 6" xfId="2387" xr:uid="{00000000-0005-0000-0000-00000F080000}"/>
    <cellStyle name="Comma 4 2 2 3 2 6 2" xfId="6671" xr:uid="{00000000-0005-0000-0000-000010080000}"/>
    <cellStyle name="Comma 4 2 2 3 2 6 2 2" xfId="15166" xr:uid="{5398E4BA-E87B-488F-AA3F-186FE1453B19}"/>
    <cellStyle name="Comma 4 2 2 3 2 6 3" xfId="10953" xr:uid="{D5243DCC-FCC4-4A0C-969A-C417CCEF87F1}"/>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5483" xr:uid="{6CDDAA4A-8333-4DCC-B014-E5892C08DB6C}"/>
    <cellStyle name="Comma 4 2 2 3 2 8 3" xfId="11270" xr:uid="{F0876DCF-3520-4AE9-BA7F-8F49B109AC27}"/>
    <cellStyle name="Comma 4 2 2 3 2 9" xfId="4605" xr:uid="{00000000-0005-0000-0000-000014080000}"/>
    <cellStyle name="Comma 4 2 2 3 2 9 2" xfId="13101" xr:uid="{F6C3B071-B1B0-422A-A6A5-62E9ED097FB5}"/>
    <cellStyle name="Comma 4 2 2 3 3" xfId="670" xr:uid="{00000000-0005-0000-0000-000015080000}"/>
    <cellStyle name="Comma 4 2 2 3 3 2" xfId="2941" xr:uid="{00000000-0005-0000-0000-000016080000}"/>
    <cellStyle name="Comma 4 2 2 3 3 2 2" xfId="7163" xr:uid="{00000000-0005-0000-0000-000017080000}"/>
    <cellStyle name="Comma 4 2 2 3 3 2 2 2" xfId="15658" xr:uid="{110A281E-05E4-4F64-9F66-E3B7817093E0}"/>
    <cellStyle name="Comma 4 2 2 3 3 2 3" xfId="11445" xr:uid="{545D6E01-1BC3-4058-A8DA-2824166B8240}"/>
    <cellStyle name="Comma 4 2 2 3 3 3" xfId="5018" xr:uid="{00000000-0005-0000-0000-000018080000}"/>
    <cellStyle name="Comma 4 2 2 3 3 3 2" xfId="13513" xr:uid="{7FFCA09A-7695-4ED6-B6AD-6CFD7B0D69B6}"/>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071" xr:uid="{685B9032-5925-4925-8D68-A456BD9A1D13}"/>
    <cellStyle name="Comma 4 2 2 3 4 2 3" xfId="11858" xr:uid="{E671EDF7-B6E5-4F8E-978A-833DA2AB1B68}"/>
    <cellStyle name="Comma 4 2 2 3 4 3" xfId="5431" xr:uid="{00000000-0005-0000-0000-00001C080000}"/>
    <cellStyle name="Comma 4 2 2 3 4 3 2" xfId="13926" xr:uid="{04F7DC6C-DCAC-480B-A5D0-DE894B6A873E}"/>
    <cellStyle name="Comma 4 2 2 3 4 4" xfId="9713" xr:uid="{226CD355-A7C5-4D00-B142-013A6DB13768}"/>
    <cellStyle name="Comma 4 2 2 3 5" xfId="1537" xr:uid="{00000000-0005-0000-0000-00001D080000}"/>
    <cellStyle name="Comma 4 2 2 3 5 2" xfId="3767" xr:uid="{00000000-0005-0000-0000-00001E080000}"/>
    <cellStyle name="Comma 4 2 2 3 5 2 2" xfId="7989" xr:uid="{00000000-0005-0000-0000-00001F080000}"/>
    <cellStyle name="Comma 4 2 2 3 5 2 2 2" xfId="16484" xr:uid="{35C26A2E-A2E4-46D7-94EE-514455A5B8C8}"/>
    <cellStyle name="Comma 4 2 2 3 5 2 3" xfId="12271" xr:uid="{0A004C57-F76C-4842-A738-A11EA2C7FC80}"/>
    <cellStyle name="Comma 4 2 2 3 5 3" xfId="5844" xr:uid="{00000000-0005-0000-0000-000020080000}"/>
    <cellStyle name="Comma 4 2 2 3 5 3 2" xfId="14339" xr:uid="{AFE4728B-6635-4795-8B0E-B8E0D36D774F}"/>
    <cellStyle name="Comma 4 2 2 3 5 4" xfId="10126" xr:uid="{01F3788F-BA3C-4D54-8639-4A670DB67D22}"/>
    <cellStyle name="Comma 4 2 2 3 6" xfId="1951" xr:uid="{00000000-0005-0000-0000-000021080000}"/>
    <cellStyle name="Comma 4 2 2 3 6 2" xfId="4180" xr:uid="{00000000-0005-0000-0000-000022080000}"/>
    <cellStyle name="Comma 4 2 2 3 6 2 2" xfId="8402" xr:uid="{00000000-0005-0000-0000-000023080000}"/>
    <cellStyle name="Comma 4 2 2 3 6 2 2 2" xfId="16897" xr:uid="{DD1CD5D9-3930-46B7-B718-1B60F4E6D1F3}"/>
    <cellStyle name="Comma 4 2 2 3 6 2 3" xfId="12684" xr:uid="{AB3CCCAF-A767-406F-9D38-DF6E9FB6BC46}"/>
    <cellStyle name="Comma 4 2 2 3 6 3" xfId="6257" xr:uid="{00000000-0005-0000-0000-000024080000}"/>
    <cellStyle name="Comma 4 2 2 3 6 3 2" xfId="14752" xr:uid="{367C0553-A053-45FF-892E-86FA793EB1B9}"/>
    <cellStyle name="Comma 4 2 2 3 6 4" xfId="10539" xr:uid="{DBE5D591-9664-4C13-B44E-9B4B1796C891}"/>
    <cellStyle name="Comma 4 2 2 3 7" xfId="2386" xr:uid="{00000000-0005-0000-0000-000025080000}"/>
    <cellStyle name="Comma 4 2 2 3 7 2" xfId="6670" xr:uid="{00000000-0005-0000-0000-000026080000}"/>
    <cellStyle name="Comma 4 2 2 3 7 2 2" xfId="15165" xr:uid="{C2763E27-F221-4962-A8D4-92523ECC0C1B}"/>
    <cellStyle name="Comma 4 2 2 3 7 3" xfId="10952" xr:uid="{41F831E2-D885-4EA8-830A-3E41E7F7197A}"/>
    <cellStyle name="Comma 4 2 2 3 8" xfId="2377" xr:uid="{00000000-0005-0000-0000-000027080000}"/>
    <cellStyle name="Comma 4 2 2 3 9" xfId="2764" xr:uid="{00000000-0005-0000-0000-000028080000}"/>
    <cellStyle name="Comma 4 2 2 3 9 2" xfId="6987" xr:uid="{00000000-0005-0000-0000-000029080000}"/>
    <cellStyle name="Comma 4 2 2 3 9 2 2" xfId="15482" xr:uid="{E2A42987-6D2F-434D-A0B3-57CEB3D86F60}"/>
    <cellStyle name="Comma 4 2 2 3 9 3" xfId="11269" xr:uid="{03E55918-64BC-405E-9952-CE66121FB7D1}"/>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2 2 2" xfId="15660" xr:uid="{84407722-BFA5-43D0-A064-4F1CB7F1E8EB}"/>
    <cellStyle name="Comma 4 2 2 4 2 2 3" xfId="11447" xr:uid="{C3DFC5A0-720C-468B-ACDB-DC8E6D9703A1}"/>
    <cellStyle name="Comma 4 2 2 4 2 3" xfId="5020" xr:uid="{00000000-0005-0000-0000-00002E080000}"/>
    <cellStyle name="Comma 4 2 2 4 2 3 2" xfId="13515" xr:uid="{50156561-517B-4083-986C-9DCCAEE241F2}"/>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073" xr:uid="{EBE9D1EE-35DF-45F5-BC56-66D6590F4112}"/>
    <cellStyle name="Comma 4 2 2 4 3 2 3" xfId="11860" xr:uid="{4ECE8DA3-9EE6-440B-8BB9-67080D658CBE}"/>
    <cellStyle name="Comma 4 2 2 4 3 3" xfId="5433" xr:uid="{00000000-0005-0000-0000-000032080000}"/>
    <cellStyle name="Comma 4 2 2 4 3 3 2" xfId="13928" xr:uid="{5A6EFA32-79E2-49E2-B66D-BFFCEE4633D3}"/>
    <cellStyle name="Comma 4 2 2 4 3 4" xfId="9715" xr:uid="{F534E0BA-737F-4B0C-A1B6-03082910001F}"/>
    <cellStyle name="Comma 4 2 2 4 4" xfId="1539" xr:uid="{00000000-0005-0000-0000-000033080000}"/>
    <cellStyle name="Comma 4 2 2 4 4 2" xfId="3769" xr:uid="{00000000-0005-0000-0000-000034080000}"/>
    <cellStyle name="Comma 4 2 2 4 4 2 2" xfId="7991" xr:uid="{00000000-0005-0000-0000-000035080000}"/>
    <cellStyle name="Comma 4 2 2 4 4 2 2 2" xfId="16486" xr:uid="{2999B4C4-558F-44D4-823B-4D29071C58A7}"/>
    <cellStyle name="Comma 4 2 2 4 4 2 3" xfId="12273" xr:uid="{AA4D3E8A-F3C9-4EF5-82C6-BC3BA3BBD355}"/>
    <cellStyle name="Comma 4 2 2 4 4 3" xfId="5846" xr:uid="{00000000-0005-0000-0000-000036080000}"/>
    <cellStyle name="Comma 4 2 2 4 4 3 2" xfId="14341" xr:uid="{2D069D8A-073E-43DF-81C6-F29E496913D7}"/>
    <cellStyle name="Comma 4 2 2 4 4 4" xfId="10128" xr:uid="{5540EAB4-B912-45D0-AB42-AB63A0B7193F}"/>
    <cellStyle name="Comma 4 2 2 4 5" xfId="1953" xr:uid="{00000000-0005-0000-0000-000037080000}"/>
    <cellStyle name="Comma 4 2 2 4 5 2" xfId="4182" xr:uid="{00000000-0005-0000-0000-000038080000}"/>
    <cellStyle name="Comma 4 2 2 4 5 2 2" xfId="8404" xr:uid="{00000000-0005-0000-0000-000039080000}"/>
    <cellStyle name="Comma 4 2 2 4 5 2 2 2" xfId="16899" xr:uid="{44D40795-6E21-4449-A88B-E8D4199634D9}"/>
    <cellStyle name="Comma 4 2 2 4 5 2 3" xfId="12686" xr:uid="{C8C8EFD1-A742-43E4-A1D6-067BB5A3D2A5}"/>
    <cellStyle name="Comma 4 2 2 4 5 3" xfId="6259" xr:uid="{00000000-0005-0000-0000-00003A080000}"/>
    <cellStyle name="Comma 4 2 2 4 5 3 2" xfId="14754" xr:uid="{B93A6B50-DA6E-4266-A70A-39C87BD80BCC}"/>
    <cellStyle name="Comma 4 2 2 4 5 4" xfId="10541" xr:uid="{20C43297-7E1A-4DFF-9DA4-6200F179ADE7}"/>
    <cellStyle name="Comma 4 2 2 4 6" xfId="2388" xr:uid="{00000000-0005-0000-0000-00003B080000}"/>
    <cellStyle name="Comma 4 2 2 4 6 2" xfId="6672" xr:uid="{00000000-0005-0000-0000-00003C080000}"/>
    <cellStyle name="Comma 4 2 2 4 6 2 2" xfId="15167" xr:uid="{2B21EE16-F741-4772-A919-C5ED11221421}"/>
    <cellStyle name="Comma 4 2 2 4 6 3" xfId="10954" xr:uid="{CAFAF598-D1F6-447D-B092-A8AD8E46B803}"/>
    <cellStyle name="Comma 4 2 2 4 7" xfId="2375" xr:uid="{00000000-0005-0000-0000-00003D080000}"/>
    <cellStyle name="Comma 4 2 2 4 8" xfId="2766" xr:uid="{00000000-0005-0000-0000-00003E080000}"/>
    <cellStyle name="Comma 4 2 2 4 8 2" xfId="6989" xr:uid="{00000000-0005-0000-0000-00003F080000}"/>
    <cellStyle name="Comma 4 2 2 4 8 2 2" xfId="15484" xr:uid="{3A0C2F8E-4891-4B46-BA5F-10E64A3EA4A3}"/>
    <cellStyle name="Comma 4 2 2 4 8 3" xfId="11271" xr:uid="{E7756592-FFAA-4247-89FE-C72005A5ABFC}"/>
    <cellStyle name="Comma 4 2 2 4 9" xfId="4606" xr:uid="{00000000-0005-0000-0000-000040080000}"/>
    <cellStyle name="Comma 4 2 2 4 9 2" xfId="13102" xr:uid="{93B24930-6DCA-4975-A116-1AB849A86B8D}"/>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2 2 2" xfId="15661" xr:uid="{BC1A3AEB-BB78-41AE-B24B-F319125ABDC9}"/>
    <cellStyle name="Comma 4 2 2 5 2 2 3" xfId="11448" xr:uid="{DF3EE833-67EF-4F64-92AD-B0F320455621}"/>
    <cellStyle name="Comma 4 2 2 5 2 3" xfId="5021" xr:uid="{00000000-0005-0000-0000-000045080000}"/>
    <cellStyle name="Comma 4 2 2 5 2 3 2" xfId="13516" xr:uid="{F78FC96D-C2CC-4DBF-9862-DC7FD419D841}"/>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074" xr:uid="{A3BBB720-D737-4895-AB2B-0CA35CA1FBE0}"/>
    <cellStyle name="Comma 4 2 2 5 3 2 3" xfId="11861" xr:uid="{793A1A91-50A3-4E9A-B849-822EC6C2ED33}"/>
    <cellStyle name="Comma 4 2 2 5 3 3" xfId="5434" xr:uid="{00000000-0005-0000-0000-000049080000}"/>
    <cellStyle name="Comma 4 2 2 5 3 3 2" xfId="13929" xr:uid="{EBBE2B4B-91F7-466E-842D-A13BE2F6ED3B}"/>
    <cellStyle name="Comma 4 2 2 5 3 4" xfId="9716" xr:uid="{0B2DDF39-15A1-4A28-A6F8-96C16101D69F}"/>
    <cellStyle name="Comma 4 2 2 5 4" xfId="1540" xr:uid="{00000000-0005-0000-0000-00004A080000}"/>
    <cellStyle name="Comma 4 2 2 5 4 2" xfId="3770" xr:uid="{00000000-0005-0000-0000-00004B080000}"/>
    <cellStyle name="Comma 4 2 2 5 4 2 2" xfId="7992" xr:uid="{00000000-0005-0000-0000-00004C080000}"/>
    <cellStyle name="Comma 4 2 2 5 4 2 2 2" xfId="16487" xr:uid="{7C970D58-E637-4EB6-8436-B251A40FC7FE}"/>
    <cellStyle name="Comma 4 2 2 5 4 2 3" xfId="12274" xr:uid="{F71F95CA-7EEF-4E15-9B4C-C47DE163145C}"/>
    <cellStyle name="Comma 4 2 2 5 4 3" xfId="5847" xr:uid="{00000000-0005-0000-0000-00004D080000}"/>
    <cellStyle name="Comma 4 2 2 5 4 3 2" xfId="14342" xr:uid="{4D163AC5-84C8-4A23-BCD1-53D19D28F751}"/>
    <cellStyle name="Comma 4 2 2 5 4 4" xfId="10129" xr:uid="{EE7C2F78-3AC6-4D7A-B202-894499AFC80E}"/>
    <cellStyle name="Comma 4 2 2 5 5" xfId="1954" xr:uid="{00000000-0005-0000-0000-00004E080000}"/>
    <cellStyle name="Comma 4 2 2 5 5 2" xfId="4183" xr:uid="{00000000-0005-0000-0000-00004F080000}"/>
    <cellStyle name="Comma 4 2 2 5 5 2 2" xfId="8405" xr:uid="{00000000-0005-0000-0000-000050080000}"/>
    <cellStyle name="Comma 4 2 2 5 5 2 2 2" xfId="16900" xr:uid="{C78C4C1F-3FB7-461C-AA93-6864088AA15C}"/>
    <cellStyle name="Comma 4 2 2 5 5 2 3" xfId="12687" xr:uid="{836E701F-ADEE-412D-862D-3B40C5A13F48}"/>
    <cellStyle name="Comma 4 2 2 5 5 3" xfId="6260" xr:uid="{00000000-0005-0000-0000-000051080000}"/>
    <cellStyle name="Comma 4 2 2 5 5 3 2" xfId="14755" xr:uid="{E16E214A-2ABB-4659-86B0-A7C4E8715397}"/>
    <cellStyle name="Comma 4 2 2 5 5 4" xfId="10542" xr:uid="{E3002DC8-FC92-4B1F-9752-85518F8077CB}"/>
    <cellStyle name="Comma 4 2 2 5 6" xfId="2389" xr:uid="{00000000-0005-0000-0000-000052080000}"/>
    <cellStyle name="Comma 4 2 2 5 6 2" xfId="6673" xr:uid="{00000000-0005-0000-0000-000053080000}"/>
    <cellStyle name="Comma 4 2 2 5 6 2 2" xfId="15168" xr:uid="{60EC2E18-017F-4F6E-A755-824257F4D203}"/>
    <cellStyle name="Comma 4 2 2 5 6 3" xfId="10955" xr:uid="{DBD27C87-714E-40FF-94D6-C2538E5CD85E}"/>
    <cellStyle name="Comma 4 2 2 5 7" xfId="2374" xr:uid="{00000000-0005-0000-0000-000054080000}"/>
    <cellStyle name="Comma 4 2 2 5 8" xfId="2767" xr:uid="{00000000-0005-0000-0000-000055080000}"/>
    <cellStyle name="Comma 4 2 2 5 8 2" xfId="6990" xr:uid="{00000000-0005-0000-0000-000056080000}"/>
    <cellStyle name="Comma 4 2 2 5 8 2 2" xfId="15485" xr:uid="{C2FE1B37-6F72-43CB-8D0D-B22AAE9FC2AC}"/>
    <cellStyle name="Comma 4 2 2 5 8 3" xfId="11272" xr:uid="{94B09793-2228-4D98-8522-4F304854B7D3}"/>
    <cellStyle name="Comma 4 2 2 5 9" xfId="4607" xr:uid="{00000000-0005-0000-0000-000057080000}"/>
    <cellStyle name="Comma 4 2 2 5 9 2" xfId="13103" xr:uid="{65F1ECEC-C8A7-4C4A-A336-21E5184EC09B}"/>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5486" xr:uid="{D322D9C9-305E-4A4B-944E-2A0E7E6AD9FF}"/>
    <cellStyle name="Comma 4 2 3 10 3" xfId="11273" xr:uid="{A3C209FE-E8F0-4676-9E75-A3A6196EA287}"/>
    <cellStyle name="Comma 4 2 3 11" xfId="4608" xr:uid="{00000000-0005-0000-0000-00005B080000}"/>
    <cellStyle name="Comma 4 2 3 11 2" xfId="13104" xr:uid="{AE822809-7813-49F8-AD96-7880683C8AB9}"/>
    <cellStyle name="Comma 4 2 3 12" xfId="8805" xr:uid="{C45527F6-07B7-4887-BAF3-A6424444BA3B}"/>
    <cellStyle name="Comma 4 2 3 2" xfId="137" xr:uid="{00000000-0005-0000-0000-00005C080000}"/>
    <cellStyle name="Comma 4 2 3 2 10" xfId="4609" xr:uid="{00000000-0005-0000-0000-00005D080000}"/>
    <cellStyle name="Comma 4 2 3 2 10 2" xfId="13105" xr:uid="{01F86C80-BBA2-408A-88BE-188C6D8E61CF}"/>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5664" xr:uid="{48E81F86-882D-4F23-8006-DFF8C1BB7E18}"/>
    <cellStyle name="Comma 4 2 3 2 2 2 2 3" xfId="11451" xr:uid="{A07D07EF-8833-4E5F-84DD-F4DD5C1AB16D}"/>
    <cellStyle name="Comma 4 2 3 2 2 2 3" xfId="5024" xr:uid="{00000000-0005-0000-0000-000062080000}"/>
    <cellStyle name="Comma 4 2 3 2 2 2 3 2" xfId="13519" xr:uid="{CEEBE55D-DC74-4E0E-A34E-F877FD7453C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077" xr:uid="{368B54C3-E65F-4B85-B918-47D81F878525}"/>
    <cellStyle name="Comma 4 2 3 2 2 3 2 3" xfId="11864" xr:uid="{22D3F9E5-DEF1-4EB4-8AD6-9F0494712C3D}"/>
    <cellStyle name="Comma 4 2 3 2 2 3 3" xfId="5437" xr:uid="{00000000-0005-0000-0000-000066080000}"/>
    <cellStyle name="Comma 4 2 3 2 2 3 3 2" xfId="13932" xr:uid="{0515B64A-5B01-41B5-A3F7-85EEDE5519AA}"/>
    <cellStyle name="Comma 4 2 3 2 2 3 4" xfId="9719" xr:uid="{1F035045-3969-41FF-915E-5F440D37C2A0}"/>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6490" xr:uid="{629B1BAC-C03A-4D78-AA19-4925D00C9901}"/>
    <cellStyle name="Comma 4 2 3 2 2 4 2 3" xfId="12277" xr:uid="{A69F1879-CEF2-42DD-B366-BE99527E1911}"/>
    <cellStyle name="Comma 4 2 3 2 2 4 3" xfId="5850" xr:uid="{00000000-0005-0000-0000-00006A080000}"/>
    <cellStyle name="Comma 4 2 3 2 2 4 3 2" xfId="14345" xr:uid="{0D86EE0F-A75F-4F1E-AEB7-0A3075927652}"/>
    <cellStyle name="Comma 4 2 3 2 2 4 4" xfId="10132" xr:uid="{0136F7C1-5DA7-4276-A95D-06B60D329EDB}"/>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6903" xr:uid="{87DA64A2-E1B0-40A3-AD9E-BACC47DF11FC}"/>
    <cellStyle name="Comma 4 2 3 2 2 5 2 3" xfId="12690" xr:uid="{0347CD58-D445-44EF-81C1-7B299F173279}"/>
    <cellStyle name="Comma 4 2 3 2 2 5 3" xfId="6263" xr:uid="{00000000-0005-0000-0000-00006E080000}"/>
    <cellStyle name="Comma 4 2 3 2 2 5 3 2" xfId="14758" xr:uid="{C9B1E251-8FDE-43C2-8B6A-9EE9699750D8}"/>
    <cellStyle name="Comma 4 2 3 2 2 5 4" xfId="10545" xr:uid="{AF4428A6-AEA2-4728-A646-96C31571E71A}"/>
    <cellStyle name="Comma 4 2 3 2 2 6" xfId="2392" xr:uid="{00000000-0005-0000-0000-00006F080000}"/>
    <cellStyle name="Comma 4 2 3 2 2 6 2" xfId="6676" xr:uid="{00000000-0005-0000-0000-000070080000}"/>
    <cellStyle name="Comma 4 2 3 2 2 6 2 2" xfId="15171" xr:uid="{1AC34B86-5195-4395-9A6C-58EF5178EAB2}"/>
    <cellStyle name="Comma 4 2 3 2 2 6 3" xfId="10958" xr:uid="{BA8D5CB4-A234-4582-AFE2-768FD83472C7}"/>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5488" xr:uid="{FB81B195-AB5D-4C47-B930-97D18A18D64F}"/>
    <cellStyle name="Comma 4 2 3 2 2 8 3" xfId="11275" xr:uid="{2659F38B-57AA-4C18-A77F-F3BB3396AEEB}"/>
    <cellStyle name="Comma 4 2 3 2 2 9" xfId="4610" xr:uid="{00000000-0005-0000-0000-000074080000}"/>
    <cellStyle name="Comma 4 2 3 2 2 9 2" xfId="13106" xr:uid="{B0C32D8F-3B87-4700-B0ED-04B391FC1F7B}"/>
    <cellStyle name="Comma 4 2 3 2 3" xfId="675" xr:uid="{00000000-0005-0000-0000-000075080000}"/>
    <cellStyle name="Comma 4 2 3 2 3 2" xfId="2946" xr:uid="{00000000-0005-0000-0000-000076080000}"/>
    <cellStyle name="Comma 4 2 3 2 3 2 2" xfId="7168" xr:uid="{00000000-0005-0000-0000-000077080000}"/>
    <cellStyle name="Comma 4 2 3 2 3 2 2 2" xfId="15663" xr:uid="{F31F8A19-8FFF-4909-B7B8-44C09E0FF468}"/>
    <cellStyle name="Comma 4 2 3 2 3 2 3" xfId="11450" xr:uid="{798AABF2-6D6F-44D7-8A7A-3DB863139E13}"/>
    <cellStyle name="Comma 4 2 3 2 3 3" xfId="5023" xr:uid="{00000000-0005-0000-0000-000078080000}"/>
    <cellStyle name="Comma 4 2 3 2 3 3 2" xfId="13518" xr:uid="{EAF9C547-F504-490D-AC34-C78519930721}"/>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076" xr:uid="{3953DEB7-94C6-4386-9A73-FEEEF3D2E4F8}"/>
    <cellStyle name="Comma 4 2 3 2 4 2 3" xfId="11863" xr:uid="{841F603C-B404-4BBF-A34D-E9642B8E8345}"/>
    <cellStyle name="Comma 4 2 3 2 4 3" xfId="5436" xr:uid="{00000000-0005-0000-0000-00007C080000}"/>
    <cellStyle name="Comma 4 2 3 2 4 3 2" xfId="13931" xr:uid="{DEC1FD2F-9627-40FA-99EE-4DF6828CEAFC}"/>
    <cellStyle name="Comma 4 2 3 2 4 4" xfId="9718" xr:uid="{C478F0C4-085F-4DF4-8402-AAA70C516BD0}"/>
    <cellStyle name="Comma 4 2 3 2 5" xfId="1542" xr:uid="{00000000-0005-0000-0000-00007D080000}"/>
    <cellStyle name="Comma 4 2 3 2 5 2" xfId="3772" xr:uid="{00000000-0005-0000-0000-00007E080000}"/>
    <cellStyle name="Comma 4 2 3 2 5 2 2" xfId="7994" xr:uid="{00000000-0005-0000-0000-00007F080000}"/>
    <cellStyle name="Comma 4 2 3 2 5 2 2 2" xfId="16489" xr:uid="{DA4E3E14-1E24-4D75-AB7E-1FFA6F3E4A4F}"/>
    <cellStyle name="Comma 4 2 3 2 5 2 3" xfId="12276" xr:uid="{7094A997-8837-4621-9E4D-790B65C10786}"/>
    <cellStyle name="Comma 4 2 3 2 5 3" xfId="5849" xr:uid="{00000000-0005-0000-0000-000080080000}"/>
    <cellStyle name="Comma 4 2 3 2 5 3 2" xfId="14344" xr:uid="{3D38AA25-E63A-4456-AEC3-6F16EC1C281A}"/>
    <cellStyle name="Comma 4 2 3 2 5 4" xfId="10131" xr:uid="{6CB655C0-BFE9-41DF-97B3-F31DEEA25B25}"/>
    <cellStyle name="Comma 4 2 3 2 6" xfId="1956" xr:uid="{00000000-0005-0000-0000-000081080000}"/>
    <cellStyle name="Comma 4 2 3 2 6 2" xfId="4185" xr:uid="{00000000-0005-0000-0000-000082080000}"/>
    <cellStyle name="Comma 4 2 3 2 6 2 2" xfId="8407" xr:uid="{00000000-0005-0000-0000-000083080000}"/>
    <cellStyle name="Comma 4 2 3 2 6 2 2 2" xfId="16902" xr:uid="{0F1609DC-0530-494E-993A-C2F00247C730}"/>
    <cellStyle name="Comma 4 2 3 2 6 2 3" xfId="12689" xr:uid="{E6D279A3-F7B7-43EE-AE0E-3F44A5D4929A}"/>
    <cellStyle name="Comma 4 2 3 2 6 3" xfId="6262" xr:uid="{00000000-0005-0000-0000-000084080000}"/>
    <cellStyle name="Comma 4 2 3 2 6 3 2" xfId="14757" xr:uid="{AAE4730F-BA10-4F2C-A32C-88019C25C7EB}"/>
    <cellStyle name="Comma 4 2 3 2 6 4" xfId="10544" xr:uid="{91223DB1-BC2F-42AA-991F-425B06FC0308}"/>
    <cellStyle name="Comma 4 2 3 2 7" xfId="2391" xr:uid="{00000000-0005-0000-0000-000085080000}"/>
    <cellStyle name="Comma 4 2 3 2 7 2" xfId="6675" xr:uid="{00000000-0005-0000-0000-000086080000}"/>
    <cellStyle name="Comma 4 2 3 2 7 2 2" xfId="15170" xr:uid="{CADD213C-F4FC-4741-9B1B-C960DBE22BEC}"/>
    <cellStyle name="Comma 4 2 3 2 7 3" xfId="10957" xr:uid="{2CD5685E-F54A-44A8-9B3E-6FBA99C8A297}"/>
    <cellStyle name="Comma 4 2 3 2 8" xfId="2372" xr:uid="{00000000-0005-0000-0000-000087080000}"/>
    <cellStyle name="Comma 4 2 3 2 9" xfId="2769" xr:uid="{00000000-0005-0000-0000-000088080000}"/>
    <cellStyle name="Comma 4 2 3 2 9 2" xfId="6992" xr:uid="{00000000-0005-0000-0000-000089080000}"/>
    <cellStyle name="Comma 4 2 3 2 9 2 2" xfId="15487" xr:uid="{55232067-9AF3-4C20-A522-C2A7626EE9BD}"/>
    <cellStyle name="Comma 4 2 3 2 9 3" xfId="11274" xr:uid="{D4A8D25D-F598-4309-8EE3-F0D04A75C82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2 2 2" xfId="15665" xr:uid="{DB23BB7B-67FD-4BE5-AEAC-4983326CD573}"/>
    <cellStyle name="Comma 4 2 3 3 2 2 3" xfId="11452" xr:uid="{7AA96805-3770-4BB0-B3CF-88B6B91765DB}"/>
    <cellStyle name="Comma 4 2 3 3 2 3" xfId="5025" xr:uid="{00000000-0005-0000-0000-00008E080000}"/>
    <cellStyle name="Comma 4 2 3 3 2 3 2" xfId="13520" xr:uid="{FF38E717-BD85-424F-BED3-5083B39BBD01}"/>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078" xr:uid="{25D5B300-BA10-4A12-B0CF-597583997C87}"/>
    <cellStyle name="Comma 4 2 3 3 3 2 3" xfId="11865" xr:uid="{0AA809E8-3295-4B93-8B9E-E539640DD842}"/>
    <cellStyle name="Comma 4 2 3 3 3 3" xfId="5438" xr:uid="{00000000-0005-0000-0000-000092080000}"/>
    <cellStyle name="Comma 4 2 3 3 3 3 2" xfId="13933" xr:uid="{AD7C52E3-B708-483A-B946-4C55345C549E}"/>
    <cellStyle name="Comma 4 2 3 3 3 4" xfId="9720" xr:uid="{548DE034-1FF8-49C2-8506-96ECF11D578C}"/>
    <cellStyle name="Comma 4 2 3 3 4" xfId="1544" xr:uid="{00000000-0005-0000-0000-000093080000}"/>
    <cellStyle name="Comma 4 2 3 3 4 2" xfId="3774" xr:uid="{00000000-0005-0000-0000-000094080000}"/>
    <cellStyle name="Comma 4 2 3 3 4 2 2" xfId="7996" xr:uid="{00000000-0005-0000-0000-000095080000}"/>
    <cellStyle name="Comma 4 2 3 3 4 2 2 2" xfId="16491" xr:uid="{5A2EF7E9-1620-403A-BC9D-AA54478C4B5A}"/>
    <cellStyle name="Comma 4 2 3 3 4 2 3" xfId="12278" xr:uid="{DC79AFAC-3D6F-4B73-A79B-7EFDF16E8FD4}"/>
    <cellStyle name="Comma 4 2 3 3 4 3" xfId="5851" xr:uid="{00000000-0005-0000-0000-000096080000}"/>
    <cellStyle name="Comma 4 2 3 3 4 3 2" xfId="14346" xr:uid="{CA6CF875-A149-4C84-8008-917B2410AE33}"/>
    <cellStyle name="Comma 4 2 3 3 4 4" xfId="10133" xr:uid="{F4A42442-B35D-4EA6-89B7-0727EFFAC6E4}"/>
    <cellStyle name="Comma 4 2 3 3 5" xfId="1958" xr:uid="{00000000-0005-0000-0000-000097080000}"/>
    <cellStyle name="Comma 4 2 3 3 5 2" xfId="4187" xr:uid="{00000000-0005-0000-0000-000098080000}"/>
    <cellStyle name="Comma 4 2 3 3 5 2 2" xfId="8409" xr:uid="{00000000-0005-0000-0000-000099080000}"/>
    <cellStyle name="Comma 4 2 3 3 5 2 2 2" xfId="16904" xr:uid="{CC4A2B6C-D5A9-4597-8F42-7816A2727FCD}"/>
    <cellStyle name="Comma 4 2 3 3 5 2 3" xfId="12691" xr:uid="{D7F80663-A01D-4F09-B014-E8C049AD2001}"/>
    <cellStyle name="Comma 4 2 3 3 5 3" xfId="6264" xr:uid="{00000000-0005-0000-0000-00009A080000}"/>
    <cellStyle name="Comma 4 2 3 3 5 3 2" xfId="14759" xr:uid="{214E8050-E680-42EA-B8E7-3B2808B3BE2B}"/>
    <cellStyle name="Comma 4 2 3 3 5 4" xfId="10546" xr:uid="{868CB42C-7037-4B25-AC76-18D6E00A311B}"/>
    <cellStyle name="Comma 4 2 3 3 6" xfId="2393" xr:uid="{00000000-0005-0000-0000-00009B080000}"/>
    <cellStyle name="Comma 4 2 3 3 6 2" xfId="6677" xr:uid="{00000000-0005-0000-0000-00009C080000}"/>
    <cellStyle name="Comma 4 2 3 3 6 2 2" xfId="15172" xr:uid="{117822A6-71A9-4D3C-A522-C4C548470A96}"/>
    <cellStyle name="Comma 4 2 3 3 6 3" xfId="10959" xr:uid="{305E799C-4E9B-41CD-8627-9D237673125D}"/>
    <cellStyle name="Comma 4 2 3 3 7" xfId="2370" xr:uid="{00000000-0005-0000-0000-00009D080000}"/>
    <cellStyle name="Comma 4 2 3 3 8" xfId="2771" xr:uid="{00000000-0005-0000-0000-00009E080000}"/>
    <cellStyle name="Comma 4 2 3 3 8 2" xfId="6994" xr:uid="{00000000-0005-0000-0000-00009F080000}"/>
    <cellStyle name="Comma 4 2 3 3 8 2 2" xfId="15489" xr:uid="{F48DF3F7-B595-406A-A2E3-847182F2DC6C}"/>
    <cellStyle name="Comma 4 2 3 3 8 3" xfId="11276" xr:uid="{0434B196-5580-48F5-BE4A-0CF03FE6D471}"/>
    <cellStyle name="Comma 4 2 3 3 9" xfId="4611" xr:uid="{00000000-0005-0000-0000-0000A0080000}"/>
    <cellStyle name="Comma 4 2 3 3 9 2" xfId="13107" xr:uid="{7AA828C6-A226-4E75-9137-7A3C9DE2EC75}"/>
    <cellStyle name="Comma 4 2 3 4" xfId="674" xr:uid="{00000000-0005-0000-0000-0000A1080000}"/>
    <cellStyle name="Comma 4 2 3 4 2" xfId="2945" xr:uid="{00000000-0005-0000-0000-0000A2080000}"/>
    <cellStyle name="Comma 4 2 3 4 2 2" xfId="7167" xr:uid="{00000000-0005-0000-0000-0000A3080000}"/>
    <cellStyle name="Comma 4 2 3 4 2 2 2" xfId="15662" xr:uid="{6FE14BC0-65EC-444C-AB2E-2F518B66C50B}"/>
    <cellStyle name="Comma 4 2 3 4 2 3" xfId="11449" xr:uid="{16560E07-5954-4DBF-921E-A004E77951F2}"/>
    <cellStyle name="Comma 4 2 3 4 3" xfId="5022" xr:uid="{00000000-0005-0000-0000-0000A4080000}"/>
    <cellStyle name="Comma 4 2 3 4 3 2" xfId="13517" xr:uid="{1C875889-B878-4452-93D9-92BF3AA7F9C9}"/>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2 2 2" xfId="16075" xr:uid="{E0B601DE-F016-41AF-A1F3-A8C1DD681B18}"/>
    <cellStyle name="Comma 4 2 3 5 2 3" xfId="11862" xr:uid="{58C8B2D6-FC2D-4740-A147-20350857AF25}"/>
    <cellStyle name="Comma 4 2 3 5 3" xfId="5435" xr:uid="{00000000-0005-0000-0000-0000A8080000}"/>
    <cellStyle name="Comma 4 2 3 5 3 2" xfId="13930" xr:uid="{E6F7D0EC-38C1-478C-BC5F-A7CAA37350A9}"/>
    <cellStyle name="Comma 4 2 3 5 4" xfId="9717" xr:uid="{9630341B-6F5A-4079-9A2E-95814F787F7B}"/>
    <cellStyle name="Comma 4 2 3 6" xfId="1541" xr:uid="{00000000-0005-0000-0000-0000A9080000}"/>
    <cellStyle name="Comma 4 2 3 6 2" xfId="3771" xr:uid="{00000000-0005-0000-0000-0000AA080000}"/>
    <cellStyle name="Comma 4 2 3 6 2 2" xfId="7993" xr:uid="{00000000-0005-0000-0000-0000AB080000}"/>
    <cellStyle name="Comma 4 2 3 6 2 2 2" xfId="16488" xr:uid="{01A880FE-F72E-4137-BFAB-806F57F60DE3}"/>
    <cellStyle name="Comma 4 2 3 6 2 3" xfId="12275" xr:uid="{78C448E0-068F-4F54-8B3B-EBBE3025C33F}"/>
    <cellStyle name="Comma 4 2 3 6 3" xfId="5848" xr:uid="{00000000-0005-0000-0000-0000AC080000}"/>
    <cellStyle name="Comma 4 2 3 6 3 2" xfId="14343" xr:uid="{8833B030-B9DD-4743-9ED2-12AAF76071B2}"/>
    <cellStyle name="Comma 4 2 3 6 4" xfId="10130" xr:uid="{99130129-6B7A-406D-BCF8-BA5112FC9EB4}"/>
    <cellStyle name="Comma 4 2 3 7" xfId="1955" xr:uid="{00000000-0005-0000-0000-0000AD080000}"/>
    <cellStyle name="Comma 4 2 3 7 2" xfId="4184" xr:uid="{00000000-0005-0000-0000-0000AE080000}"/>
    <cellStyle name="Comma 4 2 3 7 2 2" xfId="8406" xr:uid="{00000000-0005-0000-0000-0000AF080000}"/>
    <cellStyle name="Comma 4 2 3 7 2 2 2" xfId="16901" xr:uid="{BCBD264A-9D5A-4FBF-8316-DF27582A4D0B}"/>
    <cellStyle name="Comma 4 2 3 7 2 3" xfId="12688" xr:uid="{13C9CD39-9FC7-4B37-9789-7A03E49382ED}"/>
    <cellStyle name="Comma 4 2 3 7 3" xfId="6261" xr:uid="{00000000-0005-0000-0000-0000B0080000}"/>
    <cellStyle name="Comma 4 2 3 7 3 2" xfId="14756" xr:uid="{F7844244-5BD6-4FFA-ABAB-19B95B1C2880}"/>
    <cellStyle name="Comma 4 2 3 7 4" xfId="10543" xr:uid="{2233471B-295F-47CB-8B27-FFF7A33306AC}"/>
    <cellStyle name="Comma 4 2 3 8" xfId="2390" xr:uid="{00000000-0005-0000-0000-0000B1080000}"/>
    <cellStyle name="Comma 4 2 3 8 2" xfId="6674" xr:uid="{00000000-0005-0000-0000-0000B2080000}"/>
    <cellStyle name="Comma 4 2 3 8 2 2" xfId="15169" xr:uid="{60F685CC-ECCD-4AA9-8B08-AF14C27FBBA1}"/>
    <cellStyle name="Comma 4 2 3 8 3" xfId="10956" xr:uid="{70CE5C75-952B-403E-BA98-AF19AEEC3A0F}"/>
    <cellStyle name="Comma 4 2 3 9" xfId="2373" xr:uid="{00000000-0005-0000-0000-0000B3080000}"/>
    <cellStyle name="Comma 4 2 4" xfId="140" xr:uid="{00000000-0005-0000-0000-0000B4080000}"/>
    <cellStyle name="Comma 4 2 4 10" xfId="4612" xr:uid="{00000000-0005-0000-0000-0000B5080000}"/>
    <cellStyle name="Comma 4 2 4 10 2" xfId="13108" xr:uid="{7341866E-0EC2-48B0-B522-B2D2ACE1024B}"/>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2 2 2" xfId="15667" xr:uid="{2B1E1E7D-B718-478D-A7AF-88A815C9243E}"/>
    <cellStyle name="Comma 4 2 4 2 2 2 3" xfId="11454" xr:uid="{C3ADD6B0-7431-4D76-BAB2-4DF8DB4C98A5}"/>
    <cellStyle name="Comma 4 2 4 2 2 3" xfId="5027" xr:uid="{00000000-0005-0000-0000-0000BA080000}"/>
    <cellStyle name="Comma 4 2 4 2 2 3 2" xfId="13522" xr:uid="{06FD006E-C478-4307-8AFB-73C3472FF247}"/>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080" xr:uid="{DC11939F-7B39-4808-81BB-5FC040FCD137}"/>
    <cellStyle name="Comma 4 2 4 2 3 2 3" xfId="11867" xr:uid="{412096FC-CB61-40A3-B3E9-DC07E9E6EE4D}"/>
    <cellStyle name="Comma 4 2 4 2 3 3" xfId="5440" xr:uid="{00000000-0005-0000-0000-0000BE080000}"/>
    <cellStyle name="Comma 4 2 4 2 3 3 2" xfId="13935" xr:uid="{76747597-20B6-41AC-9183-B2129F57DD1B}"/>
    <cellStyle name="Comma 4 2 4 2 3 4" xfId="9722" xr:uid="{C777D6CC-E82E-4965-8558-4A25FD757EDF}"/>
    <cellStyle name="Comma 4 2 4 2 4" xfId="1546" xr:uid="{00000000-0005-0000-0000-0000BF080000}"/>
    <cellStyle name="Comma 4 2 4 2 4 2" xfId="3776" xr:uid="{00000000-0005-0000-0000-0000C0080000}"/>
    <cellStyle name="Comma 4 2 4 2 4 2 2" xfId="7998" xr:uid="{00000000-0005-0000-0000-0000C1080000}"/>
    <cellStyle name="Comma 4 2 4 2 4 2 2 2" xfId="16493" xr:uid="{C19C8942-086C-443E-9605-41AC02A94850}"/>
    <cellStyle name="Comma 4 2 4 2 4 2 3" xfId="12280" xr:uid="{E78FB557-8716-4655-80ED-20994AC0418A}"/>
    <cellStyle name="Comma 4 2 4 2 4 3" xfId="5853" xr:uid="{00000000-0005-0000-0000-0000C2080000}"/>
    <cellStyle name="Comma 4 2 4 2 4 3 2" xfId="14348" xr:uid="{9427A3C0-4C47-4E84-A9A6-9B106A3345E0}"/>
    <cellStyle name="Comma 4 2 4 2 4 4" xfId="10135" xr:uid="{29D4F76A-8D35-47C3-A212-7850ED062A8A}"/>
    <cellStyle name="Comma 4 2 4 2 5" xfId="1960" xr:uid="{00000000-0005-0000-0000-0000C3080000}"/>
    <cellStyle name="Comma 4 2 4 2 5 2" xfId="4189" xr:uid="{00000000-0005-0000-0000-0000C4080000}"/>
    <cellStyle name="Comma 4 2 4 2 5 2 2" xfId="8411" xr:uid="{00000000-0005-0000-0000-0000C5080000}"/>
    <cellStyle name="Comma 4 2 4 2 5 2 2 2" xfId="16906" xr:uid="{E576926C-E874-45A6-8210-B1AD996F35F8}"/>
    <cellStyle name="Comma 4 2 4 2 5 2 3" xfId="12693" xr:uid="{A041A21F-CC33-4F66-AB2B-F735E9131502}"/>
    <cellStyle name="Comma 4 2 4 2 5 3" xfId="6266" xr:uid="{00000000-0005-0000-0000-0000C6080000}"/>
    <cellStyle name="Comma 4 2 4 2 5 3 2" xfId="14761" xr:uid="{F4076CFD-A32B-43A0-8DA6-D854F774A242}"/>
    <cellStyle name="Comma 4 2 4 2 5 4" xfId="10548" xr:uid="{11D85400-5696-460A-B4E5-027687FBE43D}"/>
    <cellStyle name="Comma 4 2 4 2 6" xfId="2395" xr:uid="{00000000-0005-0000-0000-0000C7080000}"/>
    <cellStyle name="Comma 4 2 4 2 6 2" xfId="6679" xr:uid="{00000000-0005-0000-0000-0000C8080000}"/>
    <cellStyle name="Comma 4 2 4 2 6 2 2" xfId="15174" xr:uid="{71366BAD-C145-45B2-9695-838AD37547C4}"/>
    <cellStyle name="Comma 4 2 4 2 6 3" xfId="10961" xr:uid="{EB31B492-97B0-4B78-A541-D99354A3C999}"/>
    <cellStyle name="Comma 4 2 4 2 7" xfId="2368" xr:uid="{00000000-0005-0000-0000-0000C9080000}"/>
    <cellStyle name="Comma 4 2 4 2 8" xfId="2773" xr:uid="{00000000-0005-0000-0000-0000CA080000}"/>
    <cellStyle name="Comma 4 2 4 2 8 2" xfId="6996" xr:uid="{00000000-0005-0000-0000-0000CB080000}"/>
    <cellStyle name="Comma 4 2 4 2 8 2 2" xfId="15491" xr:uid="{285D851A-D2F1-460D-A5D3-750E68162B5A}"/>
    <cellStyle name="Comma 4 2 4 2 8 3" xfId="11278" xr:uid="{901D429A-2AA1-40EF-8BF2-8CDC9C9DFDDA}"/>
    <cellStyle name="Comma 4 2 4 2 9" xfId="4613" xr:uid="{00000000-0005-0000-0000-0000CC080000}"/>
    <cellStyle name="Comma 4 2 4 2 9 2" xfId="13109" xr:uid="{F65442FC-3FFC-41CD-9DA9-1AE6A6E4987A}"/>
    <cellStyle name="Comma 4 2 4 3" xfId="678" xr:uid="{00000000-0005-0000-0000-0000CD080000}"/>
    <cellStyle name="Comma 4 2 4 3 2" xfId="2949" xr:uid="{00000000-0005-0000-0000-0000CE080000}"/>
    <cellStyle name="Comma 4 2 4 3 2 2" xfId="7171" xr:uid="{00000000-0005-0000-0000-0000CF080000}"/>
    <cellStyle name="Comma 4 2 4 3 2 2 2" xfId="15666" xr:uid="{52B5921F-FC5F-4B04-9E73-F401A1C67B3E}"/>
    <cellStyle name="Comma 4 2 4 3 2 3" xfId="11453" xr:uid="{CB791FA5-5FE8-4E8C-BA5C-B99EE896126F}"/>
    <cellStyle name="Comma 4 2 4 3 3" xfId="5026" xr:uid="{00000000-0005-0000-0000-0000D0080000}"/>
    <cellStyle name="Comma 4 2 4 3 3 2" xfId="13521" xr:uid="{6A395714-564A-4C33-B0C4-43B89858D565}"/>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2 2 2" xfId="16079" xr:uid="{B57B588F-CBA4-45AC-95EB-26C96BF7DB05}"/>
    <cellStyle name="Comma 4 2 4 4 2 3" xfId="11866" xr:uid="{E6F494DA-C4E5-4AE4-B2CA-9A88303CDE28}"/>
    <cellStyle name="Comma 4 2 4 4 3" xfId="5439" xr:uid="{00000000-0005-0000-0000-0000D4080000}"/>
    <cellStyle name="Comma 4 2 4 4 3 2" xfId="13934" xr:uid="{521AE816-177C-4BD0-8E6F-05B317019981}"/>
    <cellStyle name="Comma 4 2 4 4 4" xfId="9721" xr:uid="{D06253E9-2E26-4AED-9B0F-284F0DA58F3B}"/>
    <cellStyle name="Comma 4 2 4 5" xfId="1545" xr:uid="{00000000-0005-0000-0000-0000D5080000}"/>
    <cellStyle name="Comma 4 2 4 5 2" xfId="3775" xr:uid="{00000000-0005-0000-0000-0000D6080000}"/>
    <cellStyle name="Comma 4 2 4 5 2 2" xfId="7997" xr:uid="{00000000-0005-0000-0000-0000D7080000}"/>
    <cellStyle name="Comma 4 2 4 5 2 2 2" xfId="16492" xr:uid="{03B4BE7E-8B0D-4F40-A768-18756133A6DE}"/>
    <cellStyle name="Comma 4 2 4 5 2 3" xfId="12279" xr:uid="{30602216-5E0C-473E-9BB7-23EC58002A18}"/>
    <cellStyle name="Comma 4 2 4 5 3" xfId="5852" xr:uid="{00000000-0005-0000-0000-0000D8080000}"/>
    <cellStyle name="Comma 4 2 4 5 3 2" xfId="14347" xr:uid="{819BDE1B-D96A-4A26-B93D-C262F99BD704}"/>
    <cellStyle name="Comma 4 2 4 5 4" xfId="10134" xr:uid="{458E19B4-2980-45AC-8328-C724BEF2F1CD}"/>
    <cellStyle name="Comma 4 2 4 6" xfId="1959" xr:uid="{00000000-0005-0000-0000-0000D9080000}"/>
    <cellStyle name="Comma 4 2 4 6 2" xfId="4188" xr:uid="{00000000-0005-0000-0000-0000DA080000}"/>
    <cellStyle name="Comma 4 2 4 6 2 2" xfId="8410" xr:uid="{00000000-0005-0000-0000-0000DB080000}"/>
    <cellStyle name="Comma 4 2 4 6 2 2 2" xfId="16905" xr:uid="{689AFC27-6C35-44B2-8330-9D1A5EDAFC71}"/>
    <cellStyle name="Comma 4 2 4 6 2 3" xfId="12692" xr:uid="{C6A4CB28-AB73-40DC-A593-E27FE9FDA74C}"/>
    <cellStyle name="Comma 4 2 4 6 3" xfId="6265" xr:uid="{00000000-0005-0000-0000-0000DC080000}"/>
    <cellStyle name="Comma 4 2 4 6 3 2" xfId="14760" xr:uid="{2B47E05E-17E8-49DE-BDF0-77B06067839D}"/>
    <cellStyle name="Comma 4 2 4 6 4" xfId="10547" xr:uid="{013FFB0F-C1C1-4DFF-8456-6C63F78A610E}"/>
    <cellStyle name="Comma 4 2 4 7" xfId="2394" xr:uid="{00000000-0005-0000-0000-0000DD080000}"/>
    <cellStyle name="Comma 4 2 4 7 2" xfId="6678" xr:uid="{00000000-0005-0000-0000-0000DE080000}"/>
    <cellStyle name="Comma 4 2 4 7 2 2" xfId="15173" xr:uid="{38DB41A2-0C0D-4DBC-B085-EA17E1A258A1}"/>
    <cellStyle name="Comma 4 2 4 7 3" xfId="10960" xr:uid="{ED5183EE-1997-4D21-9C29-81518D55EE50}"/>
    <cellStyle name="Comma 4 2 4 8" xfId="2369" xr:uid="{00000000-0005-0000-0000-0000DF080000}"/>
    <cellStyle name="Comma 4 2 4 9" xfId="2772" xr:uid="{00000000-0005-0000-0000-0000E0080000}"/>
    <cellStyle name="Comma 4 2 4 9 2" xfId="6995" xr:uid="{00000000-0005-0000-0000-0000E1080000}"/>
    <cellStyle name="Comma 4 2 4 9 2 2" xfId="15490" xr:uid="{01839397-1F1F-4E79-AC8B-F82D09911BFF}"/>
    <cellStyle name="Comma 4 2 4 9 3" xfId="11277" xr:uid="{40D60023-A64F-4E88-A582-DEAD043A7699}"/>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2 2 2" xfId="15668" xr:uid="{80BDCD36-07F4-470E-9A8F-D7A909AF3895}"/>
    <cellStyle name="Comma 4 2 5 2 2 3" xfId="11455" xr:uid="{BA73B38C-4667-467C-AFEF-ABEF61088701}"/>
    <cellStyle name="Comma 4 2 5 2 3" xfId="5028" xr:uid="{00000000-0005-0000-0000-0000E6080000}"/>
    <cellStyle name="Comma 4 2 5 2 3 2" xfId="13523" xr:uid="{95395827-A50A-4C39-B148-62FFE52D286A}"/>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2 2 2" xfId="16081" xr:uid="{60098583-3199-4827-85DA-601B25472A05}"/>
    <cellStyle name="Comma 4 2 5 3 2 3" xfId="11868" xr:uid="{05195B1B-3149-45FC-BAAE-113FDCBF80DC}"/>
    <cellStyle name="Comma 4 2 5 3 3" xfId="5441" xr:uid="{00000000-0005-0000-0000-0000EA080000}"/>
    <cellStyle name="Comma 4 2 5 3 3 2" xfId="13936" xr:uid="{0EFFC581-027B-4003-AFDA-06C4E5741168}"/>
    <cellStyle name="Comma 4 2 5 3 4" xfId="9723" xr:uid="{5439048B-F497-4F05-A90F-A100FEA0AEE3}"/>
    <cellStyle name="Comma 4 2 5 4" xfId="1547" xr:uid="{00000000-0005-0000-0000-0000EB080000}"/>
    <cellStyle name="Comma 4 2 5 4 2" xfId="3777" xr:uid="{00000000-0005-0000-0000-0000EC080000}"/>
    <cellStyle name="Comma 4 2 5 4 2 2" xfId="7999" xr:uid="{00000000-0005-0000-0000-0000ED080000}"/>
    <cellStyle name="Comma 4 2 5 4 2 2 2" xfId="16494" xr:uid="{1CCD6E1B-9EB9-4685-B4BB-DB1B95C9225D}"/>
    <cellStyle name="Comma 4 2 5 4 2 3" xfId="12281" xr:uid="{9477CD87-DC45-4B2F-BC18-29409DBBC765}"/>
    <cellStyle name="Comma 4 2 5 4 3" xfId="5854" xr:uid="{00000000-0005-0000-0000-0000EE080000}"/>
    <cellStyle name="Comma 4 2 5 4 3 2" xfId="14349" xr:uid="{EAFAF6E0-0A4A-47FE-8741-71D003C875A9}"/>
    <cellStyle name="Comma 4 2 5 4 4" xfId="10136" xr:uid="{D0C61CA8-22C2-4379-81AE-FE26850D288D}"/>
    <cellStyle name="Comma 4 2 5 5" xfId="1961" xr:uid="{00000000-0005-0000-0000-0000EF080000}"/>
    <cellStyle name="Comma 4 2 5 5 2" xfId="4190" xr:uid="{00000000-0005-0000-0000-0000F0080000}"/>
    <cellStyle name="Comma 4 2 5 5 2 2" xfId="8412" xr:uid="{00000000-0005-0000-0000-0000F1080000}"/>
    <cellStyle name="Comma 4 2 5 5 2 2 2" xfId="16907" xr:uid="{E422B6FB-368B-458F-A666-34D3EAA9EF1F}"/>
    <cellStyle name="Comma 4 2 5 5 2 3" xfId="12694" xr:uid="{5CBF4C0A-467C-486B-AEDC-95F6B1A4B658}"/>
    <cellStyle name="Comma 4 2 5 5 3" xfId="6267" xr:uid="{00000000-0005-0000-0000-0000F2080000}"/>
    <cellStyle name="Comma 4 2 5 5 3 2" xfId="14762" xr:uid="{D8311375-8CBA-4ED0-926A-008C71A1624F}"/>
    <cellStyle name="Comma 4 2 5 5 4" xfId="10549" xr:uid="{D8038313-8068-4FB3-9458-E2FDF22F21AB}"/>
    <cellStyle name="Comma 4 2 5 6" xfId="2396" xr:uid="{00000000-0005-0000-0000-0000F3080000}"/>
    <cellStyle name="Comma 4 2 5 6 2" xfId="6680" xr:uid="{00000000-0005-0000-0000-0000F4080000}"/>
    <cellStyle name="Comma 4 2 5 6 2 2" xfId="15175" xr:uid="{B648A578-4E91-4DB6-B7D7-97CEE5853840}"/>
    <cellStyle name="Comma 4 2 5 6 3" xfId="10962" xr:uid="{ECB72483-6F8A-4C1F-A751-190200F3ADEF}"/>
    <cellStyle name="Comma 4 2 5 7" xfId="2367" xr:uid="{00000000-0005-0000-0000-0000F5080000}"/>
    <cellStyle name="Comma 4 2 5 8" xfId="2774" xr:uid="{00000000-0005-0000-0000-0000F6080000}"/>
    <cellStyle name="Comma 4 2 5 8 2" xfId="6997" xr:uid="{00000000-0005-0000-0000-0000F7080000}"/>
    <cellStyle name="Comma 4 2 5 8 2 2" xfId="15492" xr:uid="{3150F678-A2C3-44F9-8E4E-3111F0000065}"/>
    <cellStyle name="Comma 4 2 5 8 3" xfId="11279" xr:uid="{B6710E58-C201-4112-AF5B-722819753FDD}"/>
    <cellStyle name="Comma 4 2 5 9" xfId="4614" xr:uid="{00000000-0005-0000-0000-0000F8080000}"/>
    <cellStyle name="Comma 4 2 5 9 2" xfId="13110" xr:uid="{501539F2-C206-4B17-9983-6C91146DCA1B}"/>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2 2 2" xfId="15669" xr:uid="{D0AF259D-735B-4C5A-8B8F-DF4E40C1D437}"/>
    <cellStyle name="Comma 4 2 6 2 2 3" xfId="11456" xr:uid="{2EBD1624-4CF1-4E45-832D-EA51B98FC376}"/>
    <cellStyle name="Comma 4 2 6 2 3" xfId="5029" xr:uid="{00000000-0005-0000-0000-0000FD080000}"/>
    <cellStyle name="Comma 4 2 6 2 3 2" xfId="13524" xr:uid="{50F933C9-8DB1-46A9-9810-5B71D9BEB133}"/>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2 2 2" xfId="16082" xr:uid="{65E790C1-C899-4AE8-BBEF-88F3989F2CE5}"/>
    <cellStyle name="Comma 4 2 6 3 2 3" xfId="11869" xr:uid="{90E213FA-2EC6-48B1-AE9A-C211441DB68A}"/>
    <cellStyle name="Comma 4 2 6 3 3" xfId="5442" xr:uid="{00000000-0005-0000-0000-000001090000}"/>
    <cellStyle name="Comma 4 2 6 3 3 2" xfId="13937" xr:uid="{36165C13-2FAB-4E30-A726-223DF041B1EA}"/>
    <cellStyle name="Comma 4 2 6 3 4" xfId="9724" xr:uid="{88864D17-F0B8-4CD8-8C5E-F17159391B76}"/>
    <cellStyle name="Comma 4 2 6 4" xfId="1548" xr:uid="{00000000-0005-0000-0000-000002090000}"/>
    <cellStyle name="Comma 4 2 6 4 2" xfId="3778" xr:uid="{00000000-0005-0000-0000-000003090000}"/>
    <cellStyle name="Comma 4 2 6 4 2 2" xfId="8000" xr:uid="{00000000-0005-0000-0000-000004090000}"/>
    <cellStyle name="Comma 4 2 6 4 2 2 2" xfId="16495" xr:uid="{EF04E9F4-1864-4475-BDD4-B99EB94DFEA8}"/>
    <cellStyle name="Comma 4 2 6 4 2 3" xfId="12282" xr:uid="{86BEDA08-57E3-48C1-AE38-D9A4AA839690}"/>
    <cellStyle name="Comma 4 2 6 4 3" xfId="5855" xr:uid="{00000000-0005-0000-0000-000005090000}"/>
    <cellStyle name="Comma 4 2 6 4 3 2" xfId="14350" xr:uid="{2FB08972-848A-4ED7-9401-0DE2B1686DBA}"/>
    <cellStyle name="Comma 4 2 6 4 4" xfId="10137" xr:uid="{3A2EBF8D-8D0B-4ADE-9F5F-8CB1A662E1D8}"/>
    <cellStyle name="Comma 4 2 6 5" xfId="1962" xr:uid="{00000000-0005-0000-0000-000006090000}"/>
    <cellStyle name="Comma 4 2 6 5 2" xfId="4191" xr:uid="{00000000-0005-0000-0000-000007090000}"/>
    <cellStyle name="Comma 4 2 6 5 2 2" xfId="8413" xr:uid="{00000000-0005-0000-0000-000008090000}"/>
    <cellStyle name="Comma 4 2 6 5 2 2 2" xfId="16908" xr:uid="{5BE25BA6-9785-488E-AB7C-B802292A95F9}"/>
    <cellStyle name="Comma 4 2 6 5 2 3" xfId="12695" xr:uid="{E20176A7-F3BA-4C1D-BFCA-F0E3D7A9DDD7}"/>
    <cellStyle name="Comma 4 2 6 5 3" xfId="6268" xr:uid="{00000000-0005-0000-0000-000009090000}"/>
    <cellStyle name="Comma 4 2 6 5 3 2" xfId="14763" xr:uid="{10CCA7EB-4844-46D6-B19E-038C44617565}"/>
    <cellStyle name="Comma 4 2 6 5 4" xfId="10550" xr:uid="{DF934558-789F-40DA-813A-2427A860D196}"/>
    <cellStyle name="Comma 4 2 6 6" xfId="2397" xr:uid="{00000000-0005-0000-0000-00000A090000}"/>
    <cellStyle name="Comma 4 2 6 6 2" xfId="6681" xr:uid="{00000000-0005-0000-0000-00000B090000}"/>
    <cellStyle name="Comma 4 2 6 6 2 2" xfId="15176" xr:uid="{726866E9-D9C3-4357-A5AB-8592536A5BC8}"/>
    <cellStyle name="Comma 4 2 6 6 3" xfId="10963" xr:uid="{B4F7C94E-7584-4DF2-86DF-1B5D8C8E3F9D}"/>
    <cellStyle name="Comma 4 2 6 7" xfId="2366" xr:uid="{00000000-0005-0000-0000-00000C090000}"/>
    <cellStyle name="Comma 4 2 6 8" xfId="2775" xr:uid="{00000000-0005-0000-0000-00000D090000}"/>
    <cellStyle name="Comma 4 2 6 8 2" xfId="6998" xr:uid="{00000000-0005-0000-0000-00000E090000}"/>
    <cellStyle name="Comma 4 2 6 8 2 2" xfId="15493" xr:uid="{DFD574C9-1E10-465D-B112-35D00751DD08}"/>
    <cellStyle name="Comma 4 2 6 8 3" xfId="11280" xr:uid="{9687297E-5C32-4713-8D89-2130FED04C58}"/>
    <cellStyle name="Comma 4 2 6 9" xfId="4615" xr:uid="{00000000-0005-0000-0000-00000F090000}"/>
    <cellStyle name="Comma 4 2 6 9 2" xfId="13111" xr:uid="{49DCAAD4-5134-4734-B319-4C47F831FF86}"/>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5494" xr:uid="{8B6C7272-4197-4DC4-B861-7E0FE2A6099E}"/>
    <cellStyle name="Comma 4 3 2 10 3" xfId="11281" xr:uid="{9EBE727C-C94D-4645-A01D-7DA247FAA734}"/>
    <cellStyle name="Comma 4 3 2 11" xfId="4616" xr:uid="{00000000-0005-0000-0000-000014090000}"/>
    <cellStyle name="Comma 4 3 2 11 2" xfId="13112" xr:uid="{AEF94CDA-D14B-4304-90B6-9D8FA71E9D8D}"/>
    <cellStyle name="Comma 4 3 2 12" xfId="8807" xr:uid="{5C5EF314-D0DB-425B-AE7D-D52FEEE90EC1}"/>
    <cellStyle name="Comma 4 3 2 2" xfId="146" xr:uid="{00000000-0005-0000-0000-000015090000}"/>
    <cellStyle name="Comma 4 3 2 2 10" xfId="4617" xr:uid="{00000000-0005-0000-0000-000016090000}"/>
    <cellStyle name="Comma 4 3 2 2 10 2" xfId="13113" xr:uid="{0B490239-1800-483E-9295-654F8EAEFAA4}"/>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5672" xr:uid="{B893E1EA-2B66-4436-B084-FF1C2D21FBC6}"/>
    <cellStyle name="Comma 4 3 2 2 2 2 2 3" xfId="11459" xr:uid="{49C9FBFD-4198-4426-ABA5-98D4AC54F2A9}"/>
    <cellStyle name="Comma 4 3 2 2 2 2 3" xfId="5032" xr:uid="{00000000-0005-0000-0000-00001B090000}"/>
    <cellStyle name="Comma 4 3 2 2 2 2 3 2" xfId="13527" xr:uid="{E03D86B1-5C44-4492-827D-412541937CBE}"/>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085" xr:uid="{A17EA21F-86CD-4D99-9323-E1479578DF9B}"/>
    <cellStyle name="Comma 4 3 2 2 2 3 2 3" xfId="11872" xr:uid="{A4EEF653-F95D-493A-A714-F214E9DED8E4}"/>
    <cellStyle name="Comma 4 3 2 2 2 3 3" xfId="5445" xr:uid="{00000000-0005-0000-0000-00001F090000}"/>
    <cellStyle name="Comma 4 3 2 2 2 3 3 2" xfId="13940" xr:uid="{A347C371-C270-46E9-A353-2B8A8532EA2B}"/>
    <cellStyle name="Comma 4 3 2 2 2 3 4" xfId="9727" xr:uid="{F774AA89-0DD8-45AB-8384-74DCB68951F3}"/>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6498" xr:uid="{DC1B16C6-C4C4-4320-A8B0-5664FAA15DB7}"/>
    <cellStyle name="Comma 4 3 2 2 2 4 2 3" xfId="12285" xr:uid="{C81DE2AC-C816-4108-9953-06A543187A85}"/>
    <cellStyle name="Comma 4 3 2 2 2 4 3" xfId="5858" xr:uid="{00000000-0005-0000-0000-000023090000}"/>
    <cellStyle name="Comma 4 3 2 2 2 4 3 2" xfId="14353" xr:uid="{B2D29D3F-6457-4ACC-B0FE-AC2727A0D557}"/>
    <cellStyle name="Comma 4 3 2 2 2 4 4" xfId="10140" xr:uid="{7E0B9B62-15F0-4407-87C9-FD1AAE08B032}"/>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6911" xr:uid="{E13F8C17-F979-405B-8C88-ADCC049935D1}"/>
    <cellStyle name="Comma 4 3 2 2 2 5 2 3" xfId="12698" xr:uid="{1C0DE712-1394-4B5E-B7FD-23E484B25BFF}"/>
    <cellStyle name="Comma 4 3 2 2 2 5 3" xfId="6271" xr:uid="{00000000-0005-0000-0000-000027090000}"/>
    <cellStyle name="Comma 4 3 2 2 2 5 3 2" xfId="14766" xr:uid="{347D5680-4AAE-49B7-A7ED-B34E903C18C2}"/>
    <cellStyle name="Comma 4 3 2 2 2 5 4" xfId="10553" xr:uid="{486079FA-D9DF-48F4-9CC6-05092E0126EF}"/>
    <cellStyle name="Comma 4 3 2 2 2 6" xfId="2400" xr:uid="{00000000-0005-0000-0000-000028090000}"/>
    <cellStyle name="Comma 4 3 2 2 2 6 2" xfId="6684" xr:uid="{00000000-0005-0000-0000-000029090000}"/>
    <cellStyle name="Comma 4 3 2 2 2 6 2 2" xfId="15179" xr:uid="{A145A80B-1BFF-4D16-AF90-6370F259A0AD}"/>
    <cellStyle name="Comma 4 3 2 2 2 6 3" xfId="10966" xr:uid="{1EA0CEC3-4506-40BB-B7CC-C8A36ADCF0CE}"/>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5496" xr:uid="{22CE65E3-E72C-436C-8E71-60618E5B1CB7}"/>
    <cellStyle name="Comma 4 3 2 2 2 8 3" xfId="11283" xr:uid="{840D2F63-9FF0-4D0B-86A6-26D440B2F994}"/>
    <cellStyle name="Comma 4 3 2 2 2 9" xfId="4618" xr:uid="{00000000-0005-0000-0000-00002D090000}"/>
    <cellStyle name="Comma 4 3 2 2 2 9 2" xfId="13114" xr:uid="{DC8EF461-2C7C-4E17-B59F-CFE41257FC18}"/>
    <cellStyle name="Comma 4 3 2 2 3" xfId="683" xr:uid="{00000000-0005-0000-0000-00002E090000}"/>
    <cellStyle name="Comma 4 3 2 2 3 2" xfId="2954" xr:uid="{00000000-0005-0000-0000-00002F090000}"/>
    <cellStyle name="Comma 4 3 2 2 3 2 2" xfId="7176" xr:uid="{00000000-0005-0000-0000-000030090000}"/>
    <cellStyle name="Comma 4 3 2 2 3 2 2 2" xfId="15671" xr:uid="{ADCDB10C-93CE-4F5E-A9B2-8AA5C08E83E0}"/>
    <cellStyle name="Comma 4 3 2 2 3 2 3" xfId="11458" xr:uid="{796A8E74-CF86-460C-9AEF-F61927403982}"/>
    <cellStyle name="Comma 4 3 2 2 3 3" xfId="5031" xr:uid="{00000000-0005-0000-0000-000031090000}"/>
    <cellStyle name="Comma 4 3 2 2 3 3 2" xfId="13526" xr:uid="{F238555C-B14A-48D1-B4A4-3B195F18B7AE}"/>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084" xr:uid="{B1AD9C8C-16AE-499A-B2B9-188CD51FDA2B}"/>
    <cellStyle name="Comma 4 3 2 2 4 2 3" xfId="11871" xr:uid="{6309B37E-FD8E-4EB0-B39A-36D886E967E8}"/>
    <cellStyle name="Comma 4 3 2 2 4 3" xfId="5444" xr:uid="{00000000-0005-0000-0000-000035090000}"/>
    <cellStyle name="Comma 4 3 2 2 4 3 2" xfId="13939" xr:uid="{6C9C4B19-F4B4-4148-9138-41DCA2BF5B5F}"/>
    <cellStyle name="Comma 4 3 2 2 4 4" xfId="9726" xr:uid="{4E07DDA1-526B-41BD-AAAE-DBD55CFB6B84}"/>
    <cellStyle name="Comma 4 3 2 2 5" xfId="1550" xr:uid="{00000000-0005-0000-0000-000036090000}"/>
    <cellStyle name="Comma 4 3 2 2 5 2" xfId="3780" xr:uid="{00000000-0005-0000-0000-000037090000}"/>
    <cellStyle name="Comma 4 3 2 2 5 2 2" xfId="8002" xr:uid="{00000000-0005-0000-0000-000038090000}"/>
    <cellStyle name="Comma 4 3 2 2 5 2 2 2" xfId="16497" xr:uid="{297BB010-9AE7-43BB-B63A-7F2C1F338CCD}"/>
    <cellStyle name="Comma 4 3 2 2 5 2 3" xfId="12284" xr:uid="{BA0E1AD7-FB8E-42D4-A48D-409CFB0DBAD9}"/>
    <cellStyle name="Comma 4 3 2 2 5 3" xfId="5857" xr:uid="{00000000-0005-0000-0000-000039090000}"/>
    <cellStyle name="Comma 4 3 2 2 5 3 2" xfId="14352" xr:uid="{9725E867-F4F6-46BC-B7B2-7ECA9071E378}"/>
    <cellStyle name="Comma 4 3 2 2 5 4" xfId="10139" xr:uid="{11167961-24DE-4C78-89AE-505521BA85ED}"/>
    <cellStyle name="Comma 4 3 2 2 6" xfId="1964" xr:uid="{00000000-0005-0000-0000-00003A090000}"/>
    <cellStyle name="Comma 4 3 2 2 6 2" xfId="4193" xr:uid="{00000000-0005-0000-0000-00003B090000}"/>
    <cellStyle name="Comma 4 3 2 2 6 2 2" xfId="8415" xr:uid="{00000000-0005-0000-0000-00003C090000}"/>
    <cellStyle name="Comma 4 3 2 2 6 2 2 2" xfId="16910" xr:uid="{DD29748C-7D54-4333-B1E0-A7889F0359BD}"/>
    <cellStyle name="Comma 4 3 2 2 6 2 3" xfId="12697" xr:uid="{2C227E1E-A220-4A76-B329-5E97B43F5706}"/>
    <cellStyle name="Comma 4 3 2 2 6 3" xfId="6270" xr:uid="{00000000-0005-0000-0000-00003D090000}"/>
    <cellStyle name="Comma 4 3 2 2 6 3 2" xfId="14765" xr:uid="{50A2756B-8C2A-4594-B624-C6E9640F5CF0}"/>
    <cellStyle name="Comma 4 3 2 2 6 4" xfId="10552" xr:uid="{276A282C-4961-4906-89BE-122ACA4DC4E3}"/>
    <cellStyle name="Comma 4 3 2 2 7" xfId="2399" xr:uid="{00000000-0005-0000-0000-00003E090000}"/>
    <cellStyle name="Comma 4 3 2 2 7 2" xfId="6683" xr:uid="{00000000-0005-0000-0000-00003F090000}"/>
    <cellStyle name="Comma 4 3 2 2 7 2 2" xfId="15178" xr:uid="{1EA15CE4-C480-4142-842B-6F9000E279D1}"/>
    <cellStyle name="Comma 4 3 2 2 7 3" xfId="10965" xr:uid="{EFA4B1A7-4A2C-4463-9811-7B8CF7582B62}"/>
    <cellStyle name="Comma 4 3 2 2 8" xfId="2364" xr:uid="{00000000-0005-0000-0000-000040090000}"/>
    <cellStyle name="Comma 4 3 2 2 9" xfId="2777" xr:uid="{00000000-0005-0000-0000-000041090000}"/>
    <cellStyle name="Comma 4 3 2 2 9 2" xfId="7000" xr:uid="{00000000-0005-0000-0000-000042090000}"/>
    <cellStyle name="Comma 4 3 2 2 9 2 2" xfId="15495" xr:uid="{EE19A351-7DB8-4DD7-93E9-BE7661501800}"/>
    <cellStyle name="Comma 4 3 2 2 9 3" xfId="11282" xr:uid="{838F2C2E-C56C-4F15-88A5-1431D7884D94}"/>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2 2 2" xfId="15673" xr:uid="{D1ECA869-4862-4D80-8BAF-EA38DD3C4A41}"/>
    <cellStyle name="Comma 4 3 2 3 2 2 3" xfId="11460" xr:uid="{F785EC86-3E92-4111-8560-DBB13D51CAE7}"/>
    <cellStyle name="Comma 4 3 2 3 2 3" xfId="5033" xr:uid="{00000000-0005-0000-0000-000047090000}"/>
    <cellStyle name="Comma 4 3 2 3 2 3 2" xfId="13528" xr:uid="{F5C5BC23-330D-4C7B-AB04-9F343F2CDFA2}"/>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086" xr:uid="{61188C38-CB58-4D41-B26C-544417277B13}"/>
    <cellStyle name="Comma 4 3 2 3 3 2 3" xfId="11873" xr:uid="{3573C360-1A29-4FF2-9802-D61396BD626E}"/>
    <cellStyle name="Comma 4 3 2 3 3 3" xfId="5446" xr:uid="{00000000-0005-0000-0000-00004B090000}"/>
    <cellStyle name="Comma 4 3 2 3 3 3 2" xfId="13941" xr:uid="{DD83DB42-1CF5-41E0-B5A7-1A4E2B5FBD3F}"/>
    <cellStyle name="Comma 4 3 2 3 3 4" xfId="9728" xr:uid="{7805070B-1157-4ED4-A562-80DB0586DD17}"/>
    <cellStyle name="Comma 4 3 2 3 4" xfId="1552" xr:uid="{00000000-0005-0000-0000-00004C090000}"/>
    <cellStyle name="Comma 4 3 2 3 4 2" xfId="3782" xr:uid="{00000000-0005-0000-0000-00004D090000}"/>
    <cellStyle name="Comma 4 3 2 3 4 2 2" xfId="8004" xr:uid="{00000000-0005-0000-0000-00004E090000}"/>
    <cellStyle name="Comma 4 3 2 3 4 2 2 2" xfId="16499" xr:uid="{D1E3A7EF-B148-42DB-B59E-92334427B33D}"/>
    <cellStyle name="Comma 4 3 2 3 4 2 3" xfId="12286" xr:uid="{73251457-A5A5-41C8-A84F-887DD4C6BF75}"/>
    <cellStyle name="Comma 4 3 2 3 4 3" xfId="5859" xr:uid="{00000000-0005-0000-0000-00004F090000}"/>
    <cellStyle name="Comma 4 3 2 3 4 3 2" xfId="14354" xr:uid="{C6008B91-0773-405F-9693-97D6DF9347AC}"/>
    <cellStyle name="Comma 4 3 2 3 4 4" xfId="10141" xr:uid="{9DA2C213-AE7C-490E-9CFB-B5FC50FF7E6D}"/>
    <cellStyle name="Comma 4 3 2 3 5" xfId="1966" xr:uid="{00000000-0005-0000-0000-000050090000}"/>
    <cellStyle name="Comma 4 3 2 3 5 2" xfId="4195" xr:uid="{00000000-0005-0000-0000-000051090000}"/>
    <cellStyle name="Comma 4 3 2 3 5 2 2" xfId="8417" xr:uid="{00000000-0005-0000-0000-000052090000}"/>
    <cellStyle name="Comma 4 3 2 3 5 2 2 2" xfId="16912" xr:uid="{9C59D2FC-C29F-4391-A841-FEF429729B52}"/>
    <cellStyle name="Comma 4 3 2 3 5 2 3" xfId="12699" xr:uid="{8AE2568F-058C-4618-B9C4-1D23BA4D98F0}"/>
    <cellStyle name="Comma 4 3 2 3 5 3" xfId="6272" xr:uid="{00000000-0005-0000-0000-000053090000}"/>
    <cellStyle name="Comma 4 3 2 3 5 3 2" xfId="14767" xr:uid="{5BC4582F-BCF9-4B2F-AD19-4F2F6C9AD96F}"/>
    <cellStyle name="Comma 4 3 2 3 5 4" xfId="10554" xr:uid="{BB2500C5-B838-49E6-B8E3-A0160A648DC0}"/>
    <cellStyle name="Comma 4 3 2 3 6" xfId="2401" xr:uid="{00000000-0005-0000-0000-000054090000}"/>
    <cellStyle name="Comma 4 3 2 3 6 2" xfId="6685" xr:uid="{00000000-0005-0000-0000-000055090000}"/>
    <cellStyle name="Comma 4 3 2 3 6 2 2" xfId="15180" xr:uid="{CABDE472-1600-4BA4-84CB-7EFBAD0D6FDA}"/>
    <cellStyle name="Comma 4 3 2 3 6 3" xfId="10967" xr:uid="{5299A5E5-54B9-4007-A1AF-53B0487602F8}"/>
    <cellStyle name="Comma 4 3 2 3 7" xfId="2362" xr:uid="{00000000-0005-0000-0000-000056090000}"/>
    <cellStyle name="Comma 4 3 2 3 8" xfId="2779" xr:uid="{00000000-0005-0000-0000-000057090000}"/>
    <cellStyle name="Comma 4 3 2 3 8 2" xfId="7002" xr:uid="{00000000-0005-0000-0000-000058090000}"/>
    <cellStyle name="Comma 4 3 2 3 8 2 2" xfId="15497" xr:uid="{C8434B18-E6E4-4324-87F9-966645DDD232}"/>
    <cellStyle name="Comma 4 3 2 3 8 3" xfId="11284" xr:uid="{5E511C93-D2B3-401F-8F6E-9722DBF38050}"/>
    <cellStyle name="Comma 4 3 2 3 9" xfId="4619" xr:uid="{00000000-0005-0000-0000-000059090000}"/>
    <cellStyle name="Comma 4 3 2 3 9 2" xfId="13115" xr:uid="{497FB084-4055-4E76-97EF-8C40D7BC3C99}"/>
    <cellStyle name="Comma 4 3 2 4" xfId="682" xr:uid="{00000000-0005-0000-0000-00005A090000}"/>
    <cellStyle name="Comma 4 3 2 4 2" xfId="2953" xr:uid="{00000000-0005-0000-0000-00005B090000}"/>
    <cellStyle name="Comma 4 3 2 4 2 2" xfId="7175" xr:uid="{00000000-0005-0000-0000-00005C090000}"/>
    <cellStyle name="Comma 4 3 2 4 2 2 2" xfId="15670" xr:uid="{E72D92D5-D90E-4B3D-B3D5-FCF9D163F035}"/>
    <cellStyle name="Comma 4 3 2 4 2 3" xfId="11457" xr:uid="{86F18E5A-8360-4032-B9B9-A1D83248BF29}"/>
    <cellStyle name="Comma 4 3 2 4 3" xfId="5030" xr:uid="{00000000-0005-0000-0000-00005D090000}"/>
    <cellStyle name="Comma 4 3 2 4 3 2" xfId="13525" xr:uid="{AEDC4DC4-70BD-4D48-BDC0-B87E92E3B55E}"/>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2 2 2" xfId="16083" xr:uid="{9CE5602A-1F42-405C-B1E1-6A77EDE096DD}"/>
    <cellStyle name="Comma 4 3 2 5 2 3" xfId="11870" xr:uid="{244E3A98-50A7-4B2E-A864-80698D16E7E0}"/>
    <cellStyle name="Comma 4 3 2 5 3" xfId="5443" xr:uid="{00000000-0005-0000-0000-000061090000}"/>
    <cellStyle name="Comma 4 3 2 5 3 2" xfId="13938" xr:uid="{E4C5DF82-D5DA-4FD1-914D-595A8412E618}"/>
    <cellStyle name="Comma 4 3 2 5 4" xfId="9725" xr:uid="{1CC23FCA-6358-49D1-91FB-D110C4BDE65A}"/>
    <cellStyle name="Comma 4 3 2 6" xfId="1549" xr:uid="{00000000-0005-0000-0000-000062090000}"/>
    <cellStyle name="Comma 4 3 2 6 2" xfId="3779" xr:uid="{00000000-0005-0000-0000-000063090000}"/>
    <cellStyle name="Comma 4 3 2 6 2 2" xfId="8001" xr:uid="{00000000-0005-0000-0000-000064090000}"/>
    <cellStyle name="Comma 4 3 2 6 2 2 2" xfId="16496" xr:uid="{88EC000E-81F8-4ABC-90D9-A1597C013AC9}"/>
    <cellStyle name="Comma 4 3 2 6 2 3" xfId="12283" xr:uid="{FA2C420E-4FC4-47A9-A11C-998D4CF33051}"/>
    <cellStyle name="Comma 4 3 2 6 3" xfId="5856" xr:uid="{00000000-0005-0000-0000-000065090000}"/>
    <cellStyle name="Comma 4 3 2 6 3 2" xfId="14351" xr:uid="{65221A8E-E902-4A2E-AEB7-9EA4BB28C264}"/>
    <cellStyle name="Comma 4 3 2 6 4" xfId="10138" xr:uid="{D0D297A7-A2B2-41AE-8588-3A31FFEBDD22}"/>
    <cellStyle name="Comma 4 3 2 7" xfId="1963" xr:uid="{00000000-0005-0000-0000-000066090000}"/>
    <cellStyle name="Comma 4 3 2 7 2" xfId="4192" xr:uid="{00000000-0005-0000-0000-000067090000}"/>
    <cellStyle name="Comma 4 3 2 7 2 2" xfId="8414" xr:uid="{00000000-0005-0000-0000-000068090000}"/>
    <cellStyle name="Comma 4 3 2 7 2 2 2" xfId="16909" xr:uid="{5FF706F5-7191-4BE5-A90D-54DA97ECA765}"/>
    <cellStyle name="Comma 4 3 2 7 2 3" xfId="12696" xr:uid="{4C038593-206B-4B9E-A816-51243E6FFFF0}"/>
    <cellStyle name="Comma 4 3 2 7 3" xfId="6269" xr:uid="{00000000-0005-0000-0000-000069090000}"/>
    <cellStyle name="Comma 4 3 2 7 3 2" xfId="14764" xr:uid="{7E4CDA84-C3B3-435B-AC65-135CCB1D1149}"/>
    <cellStyle name="Comma 4 3 2 7 4" xfId="10551" xr:uid="{532B6EF3-963F-45AD-AD74-566F560B907F}"/>
    <cellStyle name="Comma 4 3 2 8" xfId="2398" xr:uid="{00000000-0005-0000-0000-00006A090000}"/>
    <cellStyle name="Comma 4 3 2 8 2" xfId="6682" xr:uid="{00000000-0005-0000-0000-00006B090000}"/>
    <cellStyle name="Comma 4 3 2 8 2 2" xfId="15177" xr:uid="{F67AE601-73F8-4209-8596-75ED7A71A19A}"/>
    <cellStyle name="Comma 4 3 2 8 3" xfId="10964" xr:uid="{7CF5AFE4-33A6-4135-8EF0-A36BB3D40080}"/>
    <cellStyle name="Comma 4 3 2 9" xfId="2365" xr:uid="{00000000-0005-0000-0000-00006C090000}"/>
    <cellStyle name="Comma 4 3 3" xfId="149" xr:uid="{00000000-0005-0000-0000-00006D090000}"/>
    <cellStyle name="Comma 4 3 3 10" xfId="4620" xr:uid="{00000000-0005-0000-0000-00006E090000}"/>
    <cellStyle name="Comma 4 3 3 10 2" xfId="13116" xr:uid="{2F2A2BA6-C694-4178-A198-B733D3F0D898}"/>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2 2 2" xfId="15675" xr:uid="{493272D0-16CE-4CEE-9672-D5546065DE05}"/>
    <cellStyle name="Comma 4 3 3 2 2 2 3" xfId="11462" xr:uid="{124BA1EE-0A7E-4517-9555-669903824202}"/>
    <cellStyle name="Comma 4 3 3 2 2 3" xfId="5035" xr:uid="{00000000-0005-0000-0000-000073090000}"/>
    <cellStyle name="Comma 4 3 3 2 2 3 2" xfId="13530" xr:uid="{2B3C0BF8-C4FD-4282-8E11-D30335D65F8C}"/>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088" xr:uid="{DC4E6B66-535C-41ED-A2A2-D758F21FE623}"/>
    <cellStyle name="Comma 4 3 3 2 3 2 3" xfId="11875" xr:uid="{60E16B8D-2CC5-4D46-BA75-BA9F4DA327BD}"/>
    <cellStyle name="Comma 4 3 3 2 3 3" xfId="5448" xr:uid="{00000000-0005-0000-0000-000077090000}"/>
    <cellStyle name="Comma 4 3 3 2 3 3 2" xfId="13943" xr:uid="{19EDE5ED-CA73-49AB-9EE6-F938C77A86BB}"/>
    <cellStyle name="Comma 4 3 3 2 3 4" xfId="9730" xr:uid="{DAE6E6A6-B0FF-4A8F-8745-7D29AC5B95BF}"/>
    <cellStyle name="Comma 4 3 3 2 4" xfId="1554" xr:uid="{00000000-0005-0000-0000-000078090000}"/>
    <cellStyle name="Comma 4 3 3 2 4 2" xfId="3784" xr:uid="{00000000-0005-0000-0000-000079090000}"/>
    <cellStyle name="Comma 4 3 3 2 4 2 2" xfId="8006" xr:uid="{00000000-0005-0000-0000-00007A090000}"/>
    <cellStyle name="Comma 4 3 3 2 4 2 2 2" xfId="16501" xr:uid="{6E52419B-A6C4-499E-9479-30FA364ACEC3}"/>
    <cellStyle name="Comma 4 3 3 2 4 2 3" xfId="12288" xr:uid="{B1D5017F-692D-452A-A60C-CCE9786FF084}"/>
    <cellStyle name="Comma 4 3 3 2 4 3" xfId="5861" xr:uid="{00000000-0005-0000-0000-00007B090000}"/>
    <cellStyle name="Comma 4 3 3 2 4 3 2" xfId="14356" xr:uid="{E98DFF94-816F-4B89-9253-04C6C0979CEF}"/>
    <cellStyle name="Comma 4 3 3 2 4 4" xfId="10143" xr:uid="{CC9E78CA-32E4-4CE2-9A02-A4709B660ED4}"/>
    <cellStyle name="Comma 4 3 3 2 5" xfId="1968" xr:uid="{00000000-0005-0000-0000-00007C090000}"/>
    <cellStyle name="Comma 4 3 3 2 5 2" xfId="4197" xr:uid="{00000000-0005-0000-0000-00007D090000}"/>
    <cellStyle name="Comma 4 3 3 2 5 2 2" xfId="8419" xr:uid="{00000000-0005-0000-0000-00007E090000}"/>
    <cellStyle name="Comma 4 3 3 2 5 2 2 2" xfId="16914" xr:uid="{8E599ADC-E16D-4FA4-8A84-138E99538D9C}"/>
    <cellStyle name="Comma 4 3 3 2 5 2 3" xfId="12701" xr:uid="{054B5615-1611-436B-846B-AB018BFA0F80}"/>
    <cellStyle name="Comma 4 3 3 2 5 3" xfId="6274" xr:uid="{00000000-0005-0000-0000-00007F090000}"/>
    <cellStyle name="Comma 4 3 3 2 5 3 2" xfId="14769" xr:uid="{6EBEFF29-6587-4A3D-A119-7EE3C7DBBB86}"/>
    <cellStyle name="Comma 4 3 3 2 5 4" xfId="10556" xr:uid="{EEB40D78-A732-4F3F-A9E9-2D456937BCA8}"/>
    <cellStyle name="Comma 4 3 3 2 6" xfId="2403" xr:uid="{00000000-0005-0000-0000-000080090000}"/>
    <cellStyle name="Comma 4 3 3 2 6 2" xfId="6687" xr:uid="{00000000-0005-0000-0000-000081090000}"/>
    <cellStyle name="Comma 4 3 3 2 6 2 2" xfId="15182" xr:uid="{84749578-7C5B-4A9A-A6FA-80193CDA4C8A}"/>
    <cellStyle name="Comma 4 3 3 2 6 3" xfId="10969" xr:uid="{0E907E2A-E47D-416D-9298-3200B28C4E9D}"/>
    <cellStyle name="Comma 4 3 3 2 7" xfId="2360" xr:uid="{00000000-0005-0000-0000-000082090000}"/>
    <cellStyle name="Comma 4 3 3 2 8" xfId="2781" xr:uid="{00000000-0005-0000-0000-000083090000}"/>
    <cellStyle name="Comma 4 3 3 2 8 2" xfId="7004" xr:uid="{00000000-0005-0000-0000-000084090000}"/>
    <cellStyle name="Comma 4 3 3 2 8 2 2" xfId="15499" xr:uid="{96D52F5A-47E5-407A-993E-B20BA53E0BBF}"/>
    <cellStyle name="Comma 4 3 3 2 8 3" xfId="11286" xr:uid="{5311E14B-2995-445D-88EA-D075D1BCB60E}"/>
    <cellStyle name="Comma 4 3 3 2 9" xfId="4621" xr:uid="{00000000-0005-0000-0000-000085090000}"/>
    <cellStyle name="Comma 4 3 3 2 9 2" xfId="13117" xr:uid="{6E849980-FC2B-457B-B21B-0DFF62503B1B}"/>
    <cellStyle name="Comma 4 3 3 3" xfId="686" xr:uid="{00000000-0005-0000-0000-000086090000}"/>
    <cellStyle name="Comma 4 3 3 3 2" xfId="2957" xr:uid="{00000000-0005-0000-0000-000087090000}"/>
    <cellStyle name="Comma 4 3 3 3 2 2" xfId="7179" xr:uid="{00000000-0005-0000-0000-000088090000}"/>
    <cellStyle name="Comma 4 3 3 3 2 2 2" xfId="15674" xr:uid="{086781BE-2031-4BCF-8C99-43F1B75A60A9}"/>
    <cellStyle name="Comma 4 3 3 3 2 3" xfId="11461" xr:uid="{E2404997-5D75-4BDD-9181-CCE4AFC79F25}"/>
    <cellStyle name="Comma 4 3 3 3 3" xfId="5034" xr:uid="{00000000-0005-0000-0000-000089090000}"/>
    <cellStyle name="Comma 4 3 3 3 3 2" xfId="13529" xr:uid="{7CC868A4-B4D4-4508-82A3-DB27F9E2961F}"/>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2 2 2" xfId="16087" xr:uid="{C23278D3-0673-4323-947A-8FD769E15864}"/>
    <cellStyle name="Comma 4 3 3 4 2 3" xfId="11874" xr:uid="{D79A3A3D-5AD2-417E-8F8D-EDD91D5D6BA1}"/>
    <cellStyle name="Comma 4 3 3 4 3" xfId="5447" xr:uid="{00000000-0005-0000-0000-00008D090000}"/>
    <cellStyle name="Comma 4 3 3 4 3 2" xfId="13942" xr:uid="{5883EB5A-BA33-4CAC-9F0C-1E79EF9340C0}"/>
    <cellStyle name="Comma 4 3 3 4 4" xfId="9729" xr:uid="{FD2C7D51-95D0-4F82-8331-42A9F637DA24}"/>
    <cellStyle name="Comma 4 3 3 5" xfId="1553" xr:uid="{00000000-0005-0000-0000-00008E090000}"/>
    <cellStyle name="Comma 4 3 3 5 2" xfId="3783" xr:uid="{00000000-0005-0000-0000-00008F090000}"/>
    <cellStyle name="Comma 4 3 3 5 2 2" xfId="8005" xr:uid="{00000000-0005-0000-0000-000090090000}"/>
    <cellStyle name="Comma 4 3 3 5 2 2 2" xfId="16500" xr:uid="{C7BA7A4B-F1A7-4D34-9874-5FE8789AF1D7}"/>
    <cellStyle name="Comma 4 3 3 5 2 3" xfId="12287" xr:uid="{6E62024A-5E05-4D9D-B00C-5E5C97905D57}"/>
    <cellStyle name="Comma 4 3 3 5 3" xfId="5860" xr:uid="{00000000-0005-0000-0000-000091090000}"/>
    <cellStyle name="Comma 4 3 3 5 3 2" xfId="14355" xr:uid="{CBCE7A72-36B6-409E-85BD-5AC72FE518B0}"/>
    <cellStyle name="Comma 4 3 3 5 4" xfId="10142" xr:uid="{EA6C714A-A5FF-46F3-8920-4B7DA54DE573}"/>
    <cellStyle name="Comma 4 3 3 6" xfId="1967" xr:uid="{00000000-0005-0000-0000-000092090000}"/>
    <cellStyle name="Comma 4 3 3 6 2" xfId="4196" xr:uid="{00000000-0005-0000-0000-000093090000}"/>
    <cellStyle name="Comma 4 3 3 6 2 2" xfId="8418" xr:uid="{00000000-0005-0000-0000-000094090000}"/>
    <cellStyle name="Comma 4 3 3 6 2 2 2" xfId="16913" xr:uid="{4EF9FBBF-2202-4148-B81B-C6E679DCFFA9}"/>
    <cellStyle name="Comma 4 3 3 6 2 3" xfId="12700" xr:uid="{E6B5B7EE-5991-4C8A-8550-DDF3D96B38F5}"/>
    <cellStyle name="Comma 4 3 3 6 3" xfId="6273" xr:uid="{00000000-0005-0000-0000-000095090000}"/>
    <cellStyle name="Comma 4 3 3 6 3 2" xfId="14768" xr:uid="{93E6B629-A844-44CF-B7C9-603D672B2F6A}"/>
    <cellStyle name="Comma 4 3 3 6 4" xfId="10555" xr:uid="{3E0A7F43-675A-496E-90A4-555E8950B7D7}"/>
    <cellStyle name="Comma 4 3 3 7" xfId="2402" xr:uid="{00000000-0005-0000-0000-000096090000}"/>
    <cellStyle name="Comma 4 3 3 7 2" xfId="6686" xr:uid="{00000000-0005-0000-0000-000097090000}"/>
    <cellStyle name="Comma 4 3 3 7 2 2" xfId="15181" xr:uid="{CC759CCB-7680-4473-8FEB-C29F79621EDF}"/>
    <cellStyle name="Comma 4 3 3 7 3" xfId="10968" xr:uid="{233AFCD0-5243-4B15-8FF9-2BE7939F511F}"/>
    <cellStyle name="Comma 4 3 3 8" xfId="2361" xr:uid="{00000000-0005-0000-0000-000098090000}"/>
    <cellStyle name="Comma 4 3 3 9" xfId="2780" xr:uid="{00000000-0005-0000-0000-000099090000}"/>
    <cellStyle name="Comma 4 3 3 9 2" xfId="7003" xr:uid="{00000000-0005-0000-0000-00009A090000}"/>
    <cellStyle name="Comma 4 3 3 9 2 2" xfId="15498" xr:uid="{3036D865-07A6-436D-8B36-DE15C7A11608}"/>
    <cellStyle name="Comma 4 3 3 9 3" xfId="11285" xr:uid="{7F86A87C-0A4E-46B4-8B2A-5757818ABEF7}"/>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2 2 2" xfId="15676" xr:uid="{FCE71A74-3CD0-4901-9B39-B0DA12FD3154}"/>
    <cellStyle name="Comma 4 3 4 2 2 3" xfId="11463" xr:uid="{6B33C9DA-C188-4FDE-A374-D691A900417E}"/>
    <cellStyle name="Comma 4 3 4 2 3" xfId="5036" xr:uid="{00000000-0005-0000-0000-00009F090000}"/>
    <cellStyle name="Comma 4 3 4 2 3 2" xfId="13531" xr:uid="{7E516F9F-D77B-4590-B7DB-A44048B8A736}"/>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2 2 2" xfId="16089" xr:uid="{D435CA99-2564-46EB-A381-083DEB0E7DD7}"/>
    <cellStyle name="Comma 4 3 4 3 2 3" xfId="11876" xr:uid="{7CBF1E03-F6AD-47CA-B6C6-59C5FA6FC153}"/>
    <cellStyle name="Comma 4 3 4 3 3" xfId="5449" xr:uid="{00000000-0005-0000-0000-0000A3090000}"/>
    <cellStyle name="Comma 4 3 4 3 3 2" xfId="13944" xr:uid="{29F15614-AACA-4918-8FC7-148C711AF0B9}"/>
    <cellStyle name="Comma 4 3 4 3 4" xfId="9731" xr:uid="{8277EFF5-9D9C-45B7-844D-B084FCEB31C1}"/>
    <cellStyle name="Comma 4 3 4 4" xfId="1555" xr:uid="{00000000-0005-0000-0000-0000A4090000}"/>
    <cellStyle name="Comma 4 3 4 4 2" xfId="3785" xr:uid="{00000000-0005-0000-0000-0000A5090000}"/>
    <cellStyle name="Comma 4 3 4 4 2 2" xfId="8007" xr:uid="{00000000-0005-0000-0000-0000A6090000}"/>
    <cellStyle name="Comma 4 3 4 4 2 2 2" xfId="16502" xr:uid="{46F04D9E-C0AA-4F8D-A924-BE9B335D3531}"/>
    <cellStyle name="Comma 4 3 4 4 2 3" xfId="12289" xr:uid="{6D475651-FC12-40D1-A645-0534E06BA964}"/>
    <cellStyle name="Comma 4 3 4 4 3" xfId="5862" xr:uid="{00000000-0005-0000-0000-0000A7090000}"/>
    <cellStyle name="Comma 4 3 4 4 3 2" xfId="14357" xr:uid="{3129C23D-9F14-4BEC-BE92-F83F038AA2E1}"/>
    <cellStyle name="Comma 4 3 4 4 4" xfId="10144" xr:uid="{CCFA648F-4F9D-4F64-8825-CE972B78B126}"/>
    <cellStyle name="Comma 4 3 4 5" xfId="1969" xr:uid="{00000000-0005-0000-0000-0000A8090000}"/>
    <cellStyle name="Comma 4 3 4 5 2" xfId="4198" xr:uid="{00000000-0005-0000-0000-0000A9090000}"/>
    <cellStyle name="Comma 4 3 4 5 2 2" xfId="8420" xr:uid="{00000000-0005-0000-0000-0000AA090000}"/>
    <cellStyle name="Comma 4 3 4 5 2 2 2" xfId="16915" xr:uid="{F5152372-DFE4-42D6-84E9-5756F6A7918A}"/>
    <cellStyle name="Comma 4 3 4 5 2 3" xfId="12702" xr:uid="{566BA4B4-9241-41B0-B280-BE578F5BCCD1}"/>
    <cellStyle name="Comma 4 3 4 5 3" xfId="6275" xr:uid="{00000000-0005-0000-0000-0000AB090000}"/>
    <cellStyle name="Comma 4 3 4 5 3 2" xfId="14770" xr:uid="{8C6EEB50-2AFA-49B6-A534-E8E3B6B43DBE}"/>
    <cellStyle name="Comma 4 3 4 5 4" xfId="10557" xr:uid="{198898FC-1F68-4D00-862F-21FA633C66FA}"/>
    <cellStyle name="Comma 4 3 4 6" xfId="2404" xr:uid="{00000000-0005-0000-0000-0000AC090000}"/>
    <cellStyle name="Comma 4 3 4 6 2" xfId="6688" xr:uid="{00000000-0005-0000-0000-0000AD090000}"/>
    <cellStyle name="Comma 4 3 4 6 2 2" xfId="15183" xr:uid="{4204C579-FA59-41B5-A1B2-4CD9C1DDE05F}"/>
    <cellStyle name="Comma 4 3 4 6 3" xfId="10970" xr:uid="{CE4E26CE-714D-4B05-94F8-347879F6B72D}"/>
    <cellStyle name="Comma 4 3 4 7" xfId="2700" xr:uid="{00000000-0005-0000-0000-0000AE090000}"/>
    <cellStyle name="Comma 4 3 4 8" xfId="2782" xr:uid="{00000000-0005-0000-0000-0000AF090000}"/>
    <cellStyle name="Comma 4 3 4 8 2" xfId="7005" xr:uid="{00000000-0005-0000-0000-0000B0090000}"/>
    <cellStyle name="Comma 4 3 4 8 2 2" xfId="15500" xr:uid="{50C3A576-F33E-48DF-B5E3-7B3A73114800}"/>
    <cellStyle name="Comma 4 3 4 8 3" xfId="11287" xr:uid="{9568EB19-AB37-4FEA-9C52-21099E954599}"/>
    <cellStyle name="Comma 4 3 4 9" xfId="4622" xr:uid="{00000000-0005-0000-0000-0000B1090000}"/>
    <cellStyle name="Comma 4 3 4 9 2" xfId="13118" xr:uid="{8EEB3E21-52D0-4D8E-8E28-C84E2A3CFF47}"/>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2 2 2" xfId="15677" xr:uid="{EA96C3A7-D399-4E5C-91F2-C1B08AD20991}"/>
    <cellStyle name="Comma 4 3 5 2 2 3" xfId="11464" xr:uid="{FE2FE483-B43C-4884-B2C3-81626D44B189}"/>
    <cellStyle name="Comma 4 3 5 2 3" xfId="5037" xr:uid="{00000000-0005-0000-0000-0000B6090000}"/>
    <cellStyle name="Comma 4 3 5 2 3 2" xfId="13532" xr:uid="{D1AF624C-8958-417C-8FB7-62B9EA8EF20F}"/>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2 2 2" xfId="16090" xr:uid="{B7AFC56C-6097-4D84-BDEE-264A7F24B7E9}"/>
    <cellStyle name="Comma 4 3 5 3 2 3" xfId="11877" xr:uid="{09E8D2B8-9465-4B99-8E46-1571B1EDF813}"/>
    <cellStyle name="Comma 4 3 5 3 3" xfId="5450" xr:uid="{00000000-0005-0000-0000-0000BA090000}"/>
    <cellStyle name="Comma 4 3 5 3 3 2" xfId="13945" xr:uid="{19CDEAB0-1B87-479E-939B-0DF517D7D97F}"/>
    <cellStyle name="Comma 4 3 5 3 4" xfId="9732" xr:uid="{8174C9EE-FC6D-420E-8356-7F2FB614F069}"/>
    <cellStyle name="Comma 4 3 5 4" xfId="1556" xr:uid="{00000000-0005-0000-0000-0000BB090000}"/>
    <cellStyle name="Comma 4 3 5 4 2" xfId="3786" xr:uid="{00000000-0005-0000-0000-0000BC090000}"/>
    <cellStyle name="Comma 4 3 5 4 2 2" xfId="8008" xr:uid="{00000000-0005-0000-0000-0000BD090000}"/>
    <cellStyle name="Comma 4 3 5 4 2 2 2" xfId="16503" xr:uid="{C79C54DB-EBC7-45B8-9E5F-F356D4BED005}"/>
    <cellStyle name="Comma 4 3 5 4 2 3" xfId="12290" xr:uid="{46DF8D44-9F75-45BC-BD68-E25A3C1A580D}"/>
    <cellStyle name="Comma 4 3 5 4 3" xfId="5863" xr:uid="{00000000-0005-0000-0000-0000BE090000}"/>
    <cellStyle name="Comma 4 3 5 4 3 2" xfId="14358" xr:uid="{8D0A37C9-3158-4C18-A2EC-DCA89FEF8185}"/>
    <cellStyle name="Comma 4 3 5 4 4" xfId="10145" xr:uid="{8C6FB473-4F4C-436E-8882-F92784B81318}"/>
    <cellStyle name="Comma 4 3 5 5" xfId="1970" xr:uid="{00000000-0005-0000-0000-0000BF090000}"/>
    <cellStyle name="Comma 4 3 5 5 2" xfId="4199" xr:uid="{00000000-0005-0000-0000-0000C0090000}"/>
    <cellStyle name="Comma 4 3 5 5 2 2" xfId="8421" xr:uid="{00000000-0005-0000-0000-0000C1090000}"/>
    <cellStyle name="Comma 4 3 5 5 2 2 2" xfId="16916" xr:uid="{151BE1CA-1DBF-4003-80CC-808CFA56E3A8}"/>
    <cellStyle name="Comma 4 3 5 5 2 3" xfId="12703" xr:uid="{847EDD4E-A962-4816-B0D2-66F1E4C2B5ED}"/>
    <cellStyle name="Comma 4 3 5 5 3" xfId="6276" xr:uid="{00000000-0005-0000-0000-0000C2090000}"/>
    <cellStyle name="Comma 4 3 5 5 3 2" xfId="14771" xr:uid="{13438232-BE8F-44A0-B413-27BA6D00E697}"/>
    <cellStyle name="Comma 4 3 5 5 4" xfId="10558" xr:uid="{195C5965-F795-4A06-A107-3C92ADC30A14}"/>
    <cellStyle name="Comma 4 3 5 6" xfId="2405" xr:uid="{00000000-0005-0000-0000-0000C3090000}"/>
    <cellStyle name="Comma 4 3 5 6 2" xfId="6689" xr:uid="{00000000-0005-0000-0000-0000C4090000}"/>
    <cellStyle name="Comma 4 3 5 6 2 2" xfId="15184" xr:uid="{26748825-1884-41A5-A9EF-4E2E83FC560E}"/>
    <cellStyle name="Comma 4 3 5 6 3" xfId="10971" xr:uid="{D5D98AA1-AE68-44CF-8BB8-7679E6A8722A}"/>
    <cellStyle name="Comma 4 3 5 7" xfId="2701" xr:uid="{00000000-0005-0000-0000-0000C5090000}"/>
    <cellStyle name="Comma 4 3 5 8" xfId="2783" xr:uid="{00000000-0005-0000-0000-0000C6090000}"/>
    <cellStyle name="Comma 4 3 5 8 2" xfId="7006" xr:uid="{00000000-0005-0000-0000-0000C7090000}"/>
    <cellStyle name="Comma 4 3 5 8 2 2" xfId="15501" xr:uid="{575070D3-2F8B-4B77-BF20-C00743B695C8}"/>
    <cellStyle name="Comma 4 3 5 8 3" xfId="11288" xr:uid="{BDCD41B5-1A45-4F7A-BF4C-007586E774F2}"/>
    <cellStyle name="Comma 4 3 5 9" xfId="4623" xr:uid="{00000000-0005-0000-0000-0000C8090000}"/>
    <cellStyle name="Comma 4 3 5 9 2" xfId="13119" xr:uid="{3323CD69-5AC4-4C16-9FC8-31131B9E6442}"/>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5502" xr:uid="{0209868F-4AFB-452E-BBA7-091D19A7BCED}"/>
    <cellStyle name="Comma 4 4 10 3" xfId="11289" xr:uid="{CEBF7457-DD94-473F-A409-8396B49A1A3D}"/>
    <cellStyle name="Comma 4 4 11" xfId="4624" xr:uid="{00000000-0005-0000-0000-0000CC090000}"/>
    <cellStyle name="Comma 4 4 11 2" xfId="13120" xr:uid="{666E47C0-A64E-4B46-A12C-AFD522BA04FF}"/>
    <cellStyle name="Comma 4 4 12" xfId="8804" xr:uid="{A2BB6322-7771-45CD-845C-77E2FE03AC7A}"/>
    <cellStyle name="Comma 4 4 2" xfId="154" xr:uid="{00000000-0005-0000-0000-0000CD090000}"/>
    <cellStyle name="Comma 4 4 2 10" xfId="4625" xr:uid="{00000000-0005-0000-0000-0000CE090000}"/>
    <cellStyle name="Comma 4 4 2 10 2" xfId="13121" xr:uid="{DD1827B1-DA0B-4F12-9FBF-DB1F8CEC0A89}"/>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2 2 2" xfId="15680" xr:uid="{D34290A5-14C4-4B4D-AFE7-34F7D57DD823}"/>
    <cellStyle name="Comma 4 4 2 2 2 2 3" xfId="11467" xr:uid="{669DA7F4-CB98-4048-B98D-320A61EE69F3}"/>
    <cellStyle name="Comma 4 4 2 2 2 3" xfId="5040" xr:uid="{00000000-0005-0000-0000-0000D3090000}"/>
    <cellStyle name="Comma 4 4 2 2 2 3 2" xfId="13535" xr:uid="{B679B148-95EE-4892-9F90-496F72438D63}"/>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093" xr:uid="{50B44D43-346D-4FDE-8093-88E6267104AD}"/>
    <cellStyle name="Comma 4 4 2 2 3 2 3" xfId="11880" xr:uid="{613BDC54-F403-431F-A4CF-9BFD0FA8545F}"/>
    <cellStyle name="Comma 4 4 2 2 3 3" xfId="5453" xr:uid="{00000000-0005-0000-0000-0000D7090000}"/>
    <cellStyle name="Comma 4 4 2 2 3 3 2" xfId="13948" xr:uid="{C03E3FED-A99F-4271-893F-076120180757}"/>
    <cellStyle name="Comma 4 4 2 2 3 4" xfId="9735" xr:uid="{17F554CD-1700-4074-846C-F9CF7573C8CC}"/>
    <cellStyle name="Comma 4 4 2 2 4" xfId="1559" xr:uid="{00000000-0005-0000-0000-0000D8090000}"/>
    <cellStyle name="Comma 4 4 2 2 4 2" xfId="3789" xr:uid="{00000000-0005-0000-0000-0000D9090000}"/>
    <cellStyle name="Comma 4 4 2 2 4 2 2" xfId="8011" xr:uid="{00000000-0005-0000-0000-0000DA090000}"/>
    <cellStyle name="Comma 4 4 2 2 4 2 2 2" xfId="16506" xr:uid="{B2EF6033-AF30-4C84-B599-068AE3DC0929}"/>
    <cellStyle name="Comma 4 4 2 2 4 2 3" xfId="12293" xr:uid="{2C11B741-3E43-42D5-A6C7-EFA55AD1E8A6}"/>
    <cellStyle name="Comma 4 4 2 2 4 3" xfId="5866" xr:uid="{00000000-0005-0000-0000-0000DB090000}"/>
    <cellStyle name="Comma 4 4 2 2 4 3 2" xfId="14361" xr:uid="{6D9A33A1-A971-44B1-BAC0-C10F098B3E04}"/>
    <cellStyle name="Comma 4 4 2 2 4 4" xfId="10148" xr:uid="{B7F24E3B-EE19-4A05-AA5B-678663416814}"/>
    <cellStyle name="Comma 4 4 2 2 5" xfId="1973" xr:uid="{00000000-0005-0000-0000-0000DC090000}"/>
    <cellStyle name="Comma 4 4 2 2 5 2" xfId="4202" xr:uid="{00000000-0005-0000-0000-0000DD090000}"/>
    <cellStyle name="Comma 4 4 2 2 5 2 2" xfId="8424" xr:uid="{00000000-0005-0000-0000-0000DE090000}"/>
    <cellStyle name="Comma 4 4 2 2 5 2 2 2" xfId="16919" xr:uid="{15124A49-D165-4673-AB83-2C439B441D62}"/>
    <cellStyle name="Comma 4 4 2 2 5 2 3" xfId="12706" xr:uid="{F82C374B-7B0E-4675-9946-A1FB1C3E4771}"/>
    <cellStyle name="Comma 4 4 2 2 5 3" xfId="6279" xr:uid="{00000000-0005-0000-0000-0000DF090000}"/>
    <cellStyle name="Comma 4 4 2 2 5 3 2" xfId="14774" xr:uid="{E361EB39-CA88-4E11-878C-1A60D2513691}"/>
    <cellStyle name="Comma 4 4 2 2 5 4" xfId="10561" xr:uid="{BBE1C3EA-51BB-416B-AB81-0431737DCD16}"/>
    <cellStyle name="Comma 4 4 2 2 6" xfId="2408" xr:uid="{00000000-0005-0000-0000-0000E0090000}"/>
    <cellStyle name="Comma 4 4 2 2 6 2" xfId="6692" xr:uid="{00000000-0005-0000-0000-0000E1090000}"/>
    <cellStyle name="Comma 4 4 2 2 6 2 2" xfId="15187" xr:uid="{688BEBA2-633A-4ABA-AE95-229DEA340EEF}"/>
    <cellStyle name="Comma 4 4 2 2 6 3" xfId="10974" xr:uid="{E2106C3F-EB38-4680-A04C-8CF43E68284B}"/>
    <cellStyle name="Comma 4 4 2 2 7" xfId="2704" xr:uid="{00000000-0005-0000-0000-0000E2090000}"/>
    <cellStyle name="Comma 4 4 2 2 8" xfId="2786" xr:uid="{00000000-0005-0000-0000-0000E3090000}"/>
    <cellStyle name="Comma 4 4 2 2 8 2" xfId="7009" xr:uid="{00000000-0005-0000-0000-0000E4090000}"/>
    <cellStyle name="Comma 4 4 2 2 8 2 2" xfId="15504" xr:uid="{30A39EAB-0E05-43CA-81AE-26D86C23C3F7}"/>
    <cellStyle name="Comma 4 4 2 2 8 3" xfId="11291" xr:uid="{32D46C17-3769-419F-AF9D-353E6B01DA28}"/>
    <cellStyle name="Comma 4 4 2 2 9" xfId="4626" xr:uid="{00000000-0005-0000-0000-0000E5090000}"/>
    <cellStyle name="Comma 4 4 2 2 9 2" xfId="13122" xr:uid="{F6955145-1D4F-4D0A-B87A-9637528CA966}"/>
    <cellStyle name="Comma 4 4 2 3" xfId="691" xr:uid="{00000000-0005-0000-0000-0000E6090000}"/>
    <cellStyle name="Comma 4 4 2 3 2" xfId="2962" xr:uid="{00000000-0005-0000-0000-0000E7090000}"/>
    <cellStyle name="Comma 4 4 2 3 2 2" xfId="7184" xr:uid="{00000000-0005-0000-0000-0000E8090000}"/>
    <cellStyle name="Comma 4 4 2 3 2 2 2" xfId="15679" xr:uid="{29118C64-CE16-4593-9D6C-44C134CCF46D}"/>
    <cellStyle name="Comma 4 4 2 3 2 3" xfId="11466" xr:uid="{A011279F-2551-4486-8F8C-E14FACF14C16}"/>
    <cellStyle name="Comma 4 4 2 3 3" xfId="5039" xr:uid="{00000000-0005-0000-0000-0000E9090000}"/>
    <cellStyle name="Comma 4 4 2 3 3 2" xfId="13534" xr:uid="{F55F75D9-6156-4772-AD08-DC3E59BCD3D9}"/>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2 2 2" xfId="16092" xr:uid="{9A6BEB1A-4D75-4F4A-AAA6-ACAEB5270248}"/>
    <cellStyle name="Comma 4 4 2 4 2 3" xfId="11879" xr:uid="{7E2F4712-5A4D-43F4-A3F7-2DDD2F47EE99}"/>
    <cellStyle name="Comma 4 4 2 4 3" xfId="5452" xr:uid="{00000000-0005-0000-0000-0000ED090000}"/>
    <cellStyle name="Comma 4 4 2 4 3 2" xfId="13947" xr:uid="{4901DDB7-6410-4581-A916-5BC2B1294020}"/>
    <cellStyle name="Comma 4 4 2 4 4" xfId="9734" xr:uid="{4758F922-21B6-459C-B259-02E06FC45469}"/>
    <cellStyle name="Comma 4 4 2 5" xfId="1558" xr:uid="{00000000-0005-0000-0000-0000EE090000}"/>
    <cellStyle name="Comma 4 4 2 5 2" xfId="3788" xr:uid="{00000000-0005-0000-0000-0000EF090000}"/>
    <cellStyle name="Comma 4 4 2 5 2 2" xfId="8010" xr:uid="{00000000-0005-0000-0000-0000F0090000}"/>
    <cellStyle name="Comma 4 4 2 5 2 2 2" xfId="16505" xr:uid="{8C54F656-E88A-4452-955F-2A3184DC09AE}"/>
    <cellStyle name="Comma 4 4 2 5 2 3" xfId="12292" xr:uid="{CF7DB34E-F3A0-41BF-9EB6-0ADBAB0C95CA}"/>
    <cellStyle name="Comma 4 4 2 5 3" xfId="5865" xr:uid="{00000000-0005-0000-0000-0000F1090000}"/>
    <cellStyle name="Comma 4 4 2 5 3 2" xfId="14360" xr:uid="{054B7A18-8AD6-48F0-8012-9CFCA6662FD4}"/>
    <cellStyle name="Comma 4 4 2 5 4" xfId="10147" xr:uid="{574402C5-5847-4D18-AFE4-BBAEAD0D6026}"/>
    <cellStyle name="Comma 4 4 2 6" xfId="1972" xr:uid="{00000000-0005-0000-0000-0000F2090000}"/>
    <cellStyle name="Comma 4 4 2 6 2" xfId="4201" xr:uid="{00000000-0005-0000-0000-0000F3090000}"/>
    <cellStyle name="Comma 4 4 2 6 2 2" xfId="8423" xr:uid="{00000000-0005-0000-0000-0000F4090000}"/>
    <cellStyle name="Comma 4 4 2 6 2 2 2" xfId="16918" xr:uid="{93653ECB-9773-452D-BA83-7B4E75ADCFB6}"/>
    <cellStyle name="Comma 4 4 2 6 2 3" xfId="12705" xr:uid="{253351AD-9F71-426B-842D-A2626498D5E6}"/>
    <cellStyle name="Comma 4 4 2 6 3" xfId="6278" xr:uid="{00000000-0005-0000-0000-0000F5090000}"/>
    <cellStyle name="Comma 4 4 2 6 3 2" xfId="14773" xr:uid="{B052E1F1-4CDC-4CE9-92E8-80E2174B3A8A}"/>
    <cellStyle name="Comma 4 4 2 6 4" xfId="10560" xr:uid="{CD762780-6698-4D0F-A605-DDFE0524201F}"/>
    <cellStyle name="Comma 4 4 2 7" xfId="2407" xr:uid="{00000000-0005-0000-0000-0000F6090000}"/>
    <cellStyle name="Comma 4 4 2 7 2" xfId="6691" xr:uid="{00000000-0005-0000-0000-0000F7090000}"/>
    <cellStyle name="Comma 4 4 2 7 2 2" xfId="15186" xr:uid="{0E533749-86AD-4E69-86F1-D4BB3B8B2681}"/>
    <cellStyle name="Comma 4 4 2 7 3" xfId="10973" xr:uid="{EFD0C992-A21D-49CC-AEF7-39806F988127}"/>
    <cellStyle name="Comma 4 4 2 8" xfId="2703" xr:uid="{00000000-0005-0000-0000-0000F8090000}"/>
    <cellStyle name="Comma 4 4 2 9" xfId="2785" xr:uid="{00000000-0005-0000-0000-0000F9090000}"/>
    <cellStyle name="Comma 4 4 2 9 2" xfId="7008" xr:uid="{00000000-0005-0000-0000-0000FA090000}"/>
    <cellStyle name="Comma 4 4 2 9 2 2" xfId="15503" xr:uid="{ADBA4ADF-106B-4131-A73E-F61A6233761B}"/>
    <cellStyle name="Comma 4 4 2 9 3" xfId="11290" xr:uid="{965EB982-85E9-40FE-AC99-3A39D9679E4D}"/>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2 2 2" xfId="15681" xr:uid="{D42B5A98-851E-49A4-A0CD-D9AF30902BA9}"/>
    <cellStyle name="Comma 4 4 3 2 2 3" xfId="11468" xr:uid="{2D814BBF-5075-43F5-8812-6D279B978C58}"/>
    <cellStyle name="Comma 4 4 3 2 3" xfId="5041" xr:uid="{00000000-0005-0000-0000-0000FF090000}"/>
    <cellStyle name="Comma 4 4 3 2 3 2" xfId="13536" xr:uid="{CDB16BD2-39A2-4E72-8407-96B96AAADEF9}"/>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2 2 2" xfId="16094" xr:uid="{241C7F9C-E534-4AAA-91CF-E7E53F6E83BC}"/>
    <cellStyle name="Comma 4 4 3 3 2 3" xfId="11881" xr:uid="{DEE814D1-047E-4ECD-80CA-E92A7B16BDE5}"/>
    <cellStyle name="Comma 4 4 3 3 3" xfId="5454" xr:uid="{00000000-0005-0000-0000-0000030A0000}"/>
    <cellStyle name="Comma 4 4 3 3 3 2" xfId="13949" xr:uid="{1C394A2E-6C9B-4B3E-87B9-19805DF9E985}"/>
    <cellStyle name="Comma 4 4 3 3 4" xfId="9736" xr:uid="{81AE7B4D-9BCE-44AF-BD95-67321A218505}"/>
    <cellStyle name="Comma 4 4 3 4" xfId="1560" xr:uid="{00000000-0005-0000-0000-0000040A0000}"/>
    <cellStyle name="Comma 4 4 3 4 2" xfId="3790" xr:uid="{00000000-0005-0000-0000-0000050A0000}"/>
    <cellStyle name="Comma 4 4 3 4 2 2" xfId="8012" xr:uid="{00000000-0005-0000-0000-0000060A0000}"/>
    <cellStyle name="Comma 4 4 3 4 2 2 2" xfId="16507" xr:uid="{13105788-AA95-4918-975C-861B1E5BD8E0}"/>
    <cellStyle name="Comma 4 4 3 4 2 3" xfId="12294" xr:uid="{02ED2D8A-BB1E-4B1D-B9E6-44790FA4E4B8}"/>
    <cellStyle name="Comma 4 4 3 4 3" xfId="5867" xr:uid="{00000000-0005-0000-0000-0000070A0000}"/>
    <cellStyle name="Comma 4 4 3 4 3 2" xfId="14362" xr:uid="{1D23D2F9-C315-41CF-AB64-E8497E72008D}"/>
    <cellStyle name="Comma 4 4 3 4 4" xfId="10149" xr:uid="{A4D3B639-B353-4B66-BBE5-4E7B4BA60F21}"/>
    <cellStyle name="Comma 4 4 3 5" xfId="1974" xr:uid="{00000000-0005-0000-0000-0000080A0000}"/>
    <cellStyle name="Comma 4 4 3 5 2" xfId="4203" xr:uid="{00000000-0005-0000-0000-0000090A0000}"/>
    <cellStyle name="Comma 4 4 3 5 2 2" xfId="8425" xr:uid="{00000000-0005-0000-0000-00000A0A0000}"/>
    <cellStyle name="Comma 4 4 3 5 2 2 2" xfId="16920" xr:uid="{F17319FB-DA6C-49DC-8B08-029B95B608D8}"/>
    <cellStyle name="Comma 4 4 3 5 2 3" xfId="12707" xr:uid="{156E6A76-4F05-4F4A-8B93-AAFDA0EA6489}"/>
    <cellStyle name="Comma 4 4 3 5 3" xfId="6280" xr:uid="{00000000-0005-0000-0000-00000B0A0000}"/>
    <cellStyle name="Comma 4 4 3 5 3 2" xfId="14775" xr:uid="{8506DEF3-9474-4A32-9FFD-C8B68FDE4F22}"/>
    <cellStyle name="Comma 4 4 3 5 4" xfId="10562" xr:uid="{036D2079-8E0A-4582-BC82-AADD5A7DD39F}"/>
    <cellStyle name="Comma 4 4 3 6" xfId="2409" xr:uid="{00000000-0005-0000-0000-00000C0A0000}"/>
    <cellStyle name="Comma 4 4 3 6 2" xfId="6693" xr:uid="{00000000-0005-0000-0000-00000D0A0000}"/>
    <cellStyle name="Comma 4 4 3 6 2 2" xfId="15188" xr:uid="{C5A952B9-C841-4699-953F-784844F53035}"/>
    <cellStyle name="Comma 4 4 3 6 3" xfId="10975" xr:uid="{CCFE38AE-A0E6-45FC-B665-7F39AE3FBF14}"/>
    <cellStyle name="Comma 4 4 3 7" xfId="2705" xr:uid="{00000000-0005-0000-0000-00000E0A0000}"/>
    <cellStyle name="Comma 4 4 3 8" xfId="2787" xr:uid="{00000000-0005-0000-0000-00000F0A0000}"/>
    <cellStyle name="Comma 4 4 3 8 2" xfId="7010" xr:uid="{00000000-0005-0000-0000-0000100A0000}"/>
    <cellStyle name="Comma 4 4 3 8 2 2" xfId="15505" xr:uid="{67B0DA2F-9D27-4AD1-A735-535352654EAA}"/>
    <cellStyle name="Comma 4 4 3 8 3" xfId="11292" xr:uid="{3B36F64C-A2AB-4A4B-876F-CC41A95A3A35}"/>
    <cellStyle name="Comma 4 4 3 9" xfId="4627" xr:uid="{00000000-0005-0000-0000-0000110A0000}"/>
    <cellStyle name="Comma 4 4 3 9 2" xfId="13123" xr:uid="{00C09826-D5A2-4320-960A-5C038B22EF26}"/>
    <cellStyle name="Comma 4 4 4" xfId="690" xr:uid="{00000000-0005-0000-0000-0000120A0000}"/>
    <cellStyle name="Comma 4 4 4 2" xfId="2961" xr:uid="{00000000-0005-0000-0000-0000130A0000}"/>
    <cellStyle name="Comma 4 4 4 2 2" xfId="7183" xr:uid="{00000000-0005-0000-0000-0000140A0000}"/>
    <cellStyle name="Comma 4 4 4 2 2 2" xfId="15678" xr:uid="{37A6BE07-8965-4A39-9388-EDE0B3E8F93F}"/>
    <cellStyle name="Comma 4 4 4 2 3" xfId="11465" xr:uid="{8D26BD76-1267-438F-84E5-73036533E61B}"/>
    <cellStyle name="Comma 4 4 4 3" xfId="5038" xr:uid="{00000000-0005-0000-0000-0000150A0000}"/>
    <cellStyle name="Comma 4 4 4 3 2" xfId="13533" xr:uid="{731AFF8C-862D-49EC-8598-6C7AB4DFE0FF}"/>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2 2 2" xfId="16091" xr:uid="{25E3A288-BE4D-48FC-8697-6CB70A343EBC}"/>
    <cellStyle name="Comma 4 4 5 2 3" xfId="11878" xr:uid="{0DD22010-90DB-4311-B3F7-050EEAC987FF}"/>
    <cellStyle name="Comma 4 4 5 3" xfId="5451" xr:uid="{00000000-0005-0000-0000-0000190A0000}"/>
    <cellStyle name="Comma 4 4 5 3 2" xfId="13946" xr:uid="{341394F7-F2EC-4CA4-A513-91A1BCC3A0E7}"/>
    <cellStyle name="Comma 4 4 5 4" xfId="9733" xr:uid="{EC678A42-35F3-4473-8CAB-B61FD4E0FD94}"/>
    <cellStyle name="Comma 4 4 6" xfId="1557" xr:uid="{00000000-0005-0000-0000-00001A0A0000}"/>
    <cellStyle name="Comma 4 4 6 2" xfId="3787" xr:uid="{00000000-0005-0000-0000-00001B0A0000}"/>
    <cellStyle name="Comma 4 4 6 2 2" xfId="8009" xr:uid="{00000000-0005-0000-0000-00001C0A0000}"/>
    <cellStyle name="Comma 4 4 6 2 2 2" xfId="16504" xr:uid="{D32AA1ED-1D44-4A7A-8877-952EA664F569}"/>
    <cellStyle name="Comma 4 4 6 2 3" xfId="12291" xr:uid="{E0AB01B1-9388-420F-9FA1-857C4708790D}"/>
    <cellStyle name="Comma 4 4 6 3" xfId="5864" xr:uid="{00000000-0005-0000-0000-00001D0A0000}"/>
    <cellStyle name="Comma 4 4 6 3 2" xfId="14359" xr:uid="{780FEEE0-458B-4828-BE3E-BEA46DAF3212}"/>
    <cellStyle name="Comma 4 4 6 4" xfId="10146" xr:uid="{C872B45A-3F7E-4803-8614-CF71603AD42E}"/>
    <cellStyle name="Comma 4 4 7" xfId="1971" xr:uid="{00000000-0005-0000-0000-00001E0A0000}"/>
    <cellStyle name="Comma 4 4 7 2" xfId="4200" xr:uid="{00000000-0005-0000-0000-00001F0A0000}"/>
    <cellStyle name="Comma 4 4 7 2 2" xfId="8422" xr:uid="{00000000-0005-0000-0000-0000200A0000}"/>
    <cellStyle name="Comma 4 4 7 2 2 2" xfId="16917" xr:uid="{2DD1A804-8DC0-427D-B580-39CE2BEFE0DD}"/>
    <cellStyle name="Comma 4 4 7 2 3" xfId="12704" xr:uid="{41ECD24C-DFFD-46E6-AF7C-C58241AD21F9}"/>
    <cellStyle name="Comma 4 4 7 3" xfId="6277" xr:uid="{00000000-0005-0000-0000-0000210A0000}"/>
    <cellStyle name="Comma 4 4 7 3 2" xfId="14772" xr:uid="{2D101349-4EC1-4004-B8AE-3C4B1A900ECB}"/>
    <cellStyle name="Comma 4 4 7 4" xfId="10559" xr:uid="{ECB60901-C00B-47D9-B14E-511843EF4CCE}"/>
    <cellStyle name="Comma 4 4 8" xfId="2406" xr:uid="{00000000-0005-0000-0000-0000220A0000}"/>
    <cellStyle name="Comma 4 4 8 2" xfId="6690" xr:uid="{00000000-0005-0000-0000-0000230A0000}"/>
    <cellStyle name="Comma 4 4 8 2 2" xfId="15185" xr:uid="{C21EFB29-8411-4841-906E-92B094482410}"/>
    <cellStyle name="Comma 4 4 8 3" xfId="10972" xr:uid="{30E53CDE-EC34-48C4-ADBD-BD0B97397A05}"/>
    <cellStyle name="Comma 4 4 9" xfId="2702" xr:uid="{00000000-0005-0000-0000-0000240A0000}"/>
    <cellStyle name="Comma 4 5" xfId="157" xr:uid="{00000000-0005-0000-0000-0000250A0000}"/>
    <cellStyle name="Comma 4 5 10" xfId="4628" xr:uid="{00000000-0005-0000-0000-0000260A0000}"/>
    <cellStyle name="Comma 4 5 10 2" xfId="13124" xr:uid="{35F5AA5B-4469-47E0-BCF6-1A7B34CAE5E9}"/>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2 2 2" xfId="15683" xr:uid="{F68AA3A2-5734-4EB4-8415-569DBEC4DB38}"/>
    <cellStyle name="Comma 4 5 2 2 2 3" xfId="11470" xr:uid="{B57353F2-408F-43F1-9D1E-1792558A20F3}"/>
    <cellStyle name="Comma 4 5 2 2 3" xfId="5043" xr:uid="{00000000-0005-0000-0000-00002B0A0000}"/>
    <cellStyle name="Comma 4 5 2 2 3 2" xfId="13538" xr:uid="{9F634465-777B-4CF5-BAA5-AA5A32B23B37}"/>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2 2 2" xfId="16096" xr:uid="{371162A2-D74E-4AD0-8D65-55A42AA4D040}"/>
    <cellStyle name="Comma 4 5 2 3 2 3" xfId="11883" xr:uid="{E13BAA5B-04A3-4F0B-8E95-0DC6682B7DAD}"/>
    <cellStyle name="Comma 4 5 2 3 3" xfId="5456" xr:uid="{00000000-0005-0000-0000-00002F0A0000}"/>
    <cellStyle name="Comma 4 5 2 3 3 2" xfId="13951" xr:uid="{8DB22483-25B8-4BE6-AAEF-757EB4C63D3B}"/>
    <cellStyle name="Comma 4 5 2 3 4" xfId="9738" xr:uid="{9FE34A07-2830-4440-83E1-B710F530CB94}"/>
    <cellStyle name="Comma 4 5 2 4" xfId="1562" xr:uid="{00000000-0005-0000-0000-0000300A0000}"/>
    <cellStyle name="Comma 4 5 2 4 2" xfId="3792" xr:uid="{00000000-0005-0000-0000-0000310A0000}"/>
    <cellStyle name="Comma 4 5 2 4 2 2" xfId="8014" xr:uid="{00000000-0005-0000-0000-0000320A0000}"/>
    <cellStyle name="Comma 4 5 2 4 2 2 2" xfId="16509" xr:uid="{5FBBCF9B-D33E-4420-B4F8-F3C3F29182FA}"/>
    <cellStyle name="Comma 4 5 2 4 2 3" xfId="12296" xr:uid="{76065545-BC06-446D-AA00-CD31ADD67EEA}"/>
    <cellStyle name="Comma 4 5 2 4 3" xfId="5869" xr:uid="{00000000-0005-0000-0000-0000330A0000}"/>
    <cellStyle name="Comma 4 5 2 4 3 2" xfId="14364" xr:uid="{CFBC5F9E-5623-43D2-93C6-8F82C7730BB4}"/>
    <cellStyle name="Comma 4 5 2 4 4" xfId="10151" xr:uid="{DF2766AF-63E0-49A0-A3C6-56CC443EDDB2}"/>
    <cellStyle name="Comma 4 5 2 5" xfId="1976" xr:uid="{00000000-0005-0000-0000-0000340A0000}"/>
    <cellStyle name="Comma 4 5 2 5 2" xfId="4205" xr:uid="{00000000-0005-0000-0000-0000350A0000}"/>
    <cellStyle name="Comma 4 5 2 5 2 2" xfId="8427" xr:uid="{00000000-0005-0000-0000-0000360A0000}"/>
    <cellStyle name="Comma 4 5 2 5 2 2 2" xfId="16922" xr:uid="{C7EEBD76-2620-4E94-B9DB-FF2312402209}"/>
    <cellStyle name="Comma 4 5 2 5 2 3" xfId="12709" xr:uid="{4674EE0A-47C9-4F6A-8342-66FF7FCC4D44}"/>
    <cellStyle name="Comma 4 5 2 5 3" xfId="6282" xr:uid="{00000000-0005-0000-0000-0000370A0000}"/>
    <cellStyle name="Comma 4 5 2 5 3 2" xfId="14777" xr:uid="{8ACFB79E-48D4-4F4D-B780-C58653C0EE5B}"/>
    <cellStyle name="Comma 4 5 2 5 4" xfId="10564" xr:uid="{2BC6E0FA-A454-4CE6-9502-5983F1863E10}"/>
    <cellStyle name="Comma 4 5 2 6" xfId="2411" xr:uid="{00000000-0005-0000-0000-0000380A0000}"/>
    <cellStyle name="Comma 4 5 2 6 2" xfId="6695" xr:uid="{00000000-0005-0000-0000-0000390A0000}"/>
    <cellStyle name="Comma 4 5 2 6 2 2" xfId="15190" xr:uid="{0512F5E3-6238-4531-A375-BE88E8E230C1}"/>
    <cellStyle name="Comma 4 5 2 6 3" xfId="10977" xr:uid="{28A9CB79-900A-4E6B-9846-FDC916719A64}"/>
    <cellStyle name="Comma 4 5 2 7" xfId="2707" xr:uid="{00000000-0005-0000-0000-00003A0A0000}"/>
    <cellStyle name="Comma 4 5 2 8" xfId="2789" xr:uid="{00000000-0005-0000-0000-00003B0A0000}"/>
    <cellStyle name="Comma 4 5 2 8 2" xfId="7012" xr:uid="{00000000-0005-0000-0000-00003C0A0000}"/>
    <cellStyle name="Comma 4 5 2 8 2 2" xfId="15507" xr:uid="{DFD6FDB8-DB00-47CB-AC5E-EEA8D3426A69}"/>
    <cellStyle name="Comma 4 5 2 8 3" xfId="11294" xr:uid="{2BE84FA1-70F4-4FC6-BC07-513A1DF28FDE}"/>
    <cellStyle name="Comma 4 5 2 9" xfId="4629" xr:uid="{00000000-0005-0000-0000-00003D0A0000}"/>
    <cellStyle name="Comma 4 5 2 9 2" xfId="13125" xr:uid="{9F9AB510-D11D-490D-BD43-13E94C8F75B0}"/>
    <cellStyle name="Comma 4 5 3" xfId="694" xr:uid="{00000000-0005-0000-0000-00003E0A0000}"/>
    <cellStyle name="Comma 4 5 3 2" xfId="2965" xr:uid="{00000000-0005-0000-0000-00003F0A0000}"/>
    <cellStyle name="Comma 4 5 3 2 2" xfId="7187" xr:uid="{00000000-0005-0000-0000-0000400A0000}"/>
    <cellStyle name="Comma 4 5 3 2 2 2" xfId="15682" xr:uid="{1A500474-FDBE-4197-B662-AA5307E2A322}"/>
    <cellStyle name="Comma 4 5 3 2 3" xfId="11469" xr:uid="{D6DFD60B-C2A0-4984-AD5A-FCFFBFA31CB4}"/>
    <cellStyle name="Comma 4 5 3 3" xfId="5042" xr:uid="{00000000-0005-0000-0000-0000410A0000}"/>
    <cellStyle name="Comma 4 5 3 3 2" xfId="13537" xr:uid="{990FDBB8-A427-498E-BD93-A240918422CE}"/>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2 2 2" xfId="16095" xr:uid="{30573BA2-F9C2-4C59-A9A9-4F04487B4833}"/>
    <cellStyle name="Comma 4 5 4 2 3" xfId="11882" xr:uid="{22B21CE9-9EE5-442E-9046-DA8D02C93F5D}"/>
    <cellStyle name="Comma 4 5 4 3" xfId="5455" xr:uid="{00000000-0005-0000-0000-0000450A0000}"/>
    <cellStyle name="Comma 4 5 4 3 2" xfId="13950" xr:uid="{A0B2E203-851B-432B-898A-C377DC06170A}"/>
    <cellStyle name="Comma 4 5 4 4" xfId="9737" xr:uid="{B9B6CDA3-1ABD-4149-88D8-50983D2A3005}"/>
    <cellStyle name="Comma 4 5 5" xfId="1561" xr:uid="{00000000-0005-0000-0000-0000460A0000}"/>
    <cellStyle name="Comma 4 5 5 2" xfId="3791" xr:uid="{00000000-0005-0000-0000-0000470A0000}"/>
    <cellStyle name="Comma 4 5 5 2 2" xfId="8013" xr:uid="{00000000-0005-0000-0000-0000480A0000}"/>
    <cellStyle name="Comma 4 5 5 2 2 2" xfId="16508" xr:uid="{D752D1AA-F4EA-44DC-A496-44354C06FF5E}"/>
    <cellStyle name="Comma 4 5 5 2 3" xfId="12295" xr:uid="{2A555D2E-C362-4414-8422-E00852D7B63A}"/>
    <cellStyle name="Comma 4 5 5 3" xfId="5868" xr:uid="{00000000-0005-0000-0000-0000490A0000}"/>
    <cellStyle name="Comma 4 5 5 3 2" xfId="14363" xr:uid="{64C86B2A-B149-4F50-A261-F51078B29723}"/>
    <cellStyle name="Comma 4 5 5 4" xfId="10150" xr:uid="{AF51D0B5-63C2-4D5F-958F-61216F8023A2}"/>
    <cellStyle name="Comma 4 5 6" xfId="1975" xr:uid="{00000000-0005-0000-0000-00004A0A0000}"/>
    <cellStyle name="Comma 4 5 6 2" xfId="4204" xr:uid="{00000000-0005-0000-0000-00004B0A0000}"/>
    <cellStyle name="Comma 4 5 6 2 2" xfId="8426" xr:uid="{00000000-0005-0000-0000-00004C0A0000}"/>
    <cellStyle name="Comma 4 5 6 2 2 2" xfId="16921" xr:uid="{E0749656-1A30-44EB-BB92-9E4F30DB5EE6}"/>
    <cellStyle name="Comma 4 5 6 2 3" xfId="12708" xr:uid="{27B8CE5B-5F97-40BD-86D1-BE692E2C1A4E}"/>
    <cellStyle name="Comma 4 5 6 3" xfId="6281" xr:uid="{00000000-0005-0000-0000-00004D0A0000}"/>
    <cellStyle name="Comma 4 5 6 3 2" xfId="14776" xr:uid="{B7D5F9C4-5A65-46DF-9A8C-1984C6FF2A85}"/>
    <cellStyle name="Comma 4 5 6 4" xfId="10563" xr:uid="{5E901F72-657A-4281-9E27-AA94269DE93F}"/>
    <cellStyle name="Comma 4 5 7" xfId="2410" xr:uid="{00000000-0005-0000-0000-00004E0A0000}"/>
    <cellStyle name="Comma 4 5 7 2" xfId="6694" xr:uid="{00000000-0005-0000-0000-00004F0A0000}"/>
    <cellStyle name="Comma 4 5 7 2 2" xfId="15189" xr:uid="{30CD0FAA-07B1-494A-B2F2-B7A64820F55D}"/>
    <cellStyle name="Comma 4 5 7 3" xfId="10976" xr:uid="{06F99D24-8027-4D08-90E4-FF426798FD37}"/>
    <cellStyle name="Comma 4 5 8" xfId="2706" xr:uid="{00000000-0005-0000-0000-0000500A0000}"/>
    <cellStyle name="Comma 4 5 9" xfId="2788" xr:uid="{00000000-0005-0000-0000-0000510A0000}"/>
    <cellStyle name="Comma 4 5 9 2" xfId="7011" xr:uid="{00000000-0005-0000-0000-0000520A0000}"/>
    <cellStyle name="Comma 4 5 9 2 2" xfId="15506" xr:uid="{C67F0E62-5951-4682-B94D-E2E597AD982B}"/>
    <cellStyle name="Comma 4 5 9 3" xfId="11293" xr:uid="{3F4A3B27-2E54-44D1-84CC-FB45E4F3DB6D}"/>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2 2 2" xfId="15684" xr:uid="{D0756221-0C87-44A0-8422-0EF2338A46BF}"/>
    <cellStyle name="Comma 4 6 2 2 3" xfId="11471" xr:uid="{E57E980E-4E62-471C-9C50-BA8DB997921F}"/>
    <cellStyle name="Comma 4 6 2 3" xfId="5044" xr:uid="{00000000-0005-0000-0000-0000570A0000}"/>
    <cellStyle name="Comma 4 6 2 3 2" xfId="13539" xr:uid="{F522FEE3-FECD-4C54-A6EE-D9AA2C24A3D6}"/>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2 2 2" xfId="16097" xr:uid="{C3EAB7AD-93C1-4861-A442-91A24D395CD6}"/>
    <cellStyle name="Comma 4 6 3 2 3" xfId="11884" xr:uid="{1369DCC3-706A-47EE-A91B-720B7BCC5DD2}"/>
    <cellStyle name="Comma 4 6 3 3" xfId="5457" xr:uid="{00000000-0005-0000-0000-00005B0A0000}"/>
    <cellStyle name="Comma 4 6 3 3 2" xfId="13952" xr:uid="{E60DD02C-B28E-4D34-A766-5BB7EB02B92D}"/>
    <cellStyle name="Comma 4 6 3 4" xfId="9739" xr:uid="{5877BD23-F6BE-4E6C-818C-5B15AAB4FEC2}"/>
    <cellStyle name="Comma 4 6 4" xfId="1563" xr:uid="{00000000-0005-0000-0000-00005C0A0000}"/>
    <cellStyle name="Comma 4 6 4 2" xfId="3793" xr:uid="{00000000-0005-0000-0000-00005D0A0000}"/>
    <cellStyle name="Comma 4 6 4 2 2" xfId="8015" xr:uid="{00000000-0005-0000-0000-00005E0A0000}"/>
    <cellStyle name="Comma 4 6 4 2 2 2" xfId="16510" xr:uid="{17E5DBD0-8175-4B07-A3BF-0EEE535DA8C6}"/>
    <cellStyle name="Comma 4 6 4 2 3" xfId="12297" xr:uid="{4DCC0BFA-B4EA-49D0-95E3-AC64ED8AA733}"/>
    <cellStyle name="Comma 4 6 4 3" xfId="5870" xr:uid="{00000000-0005-0000-0000-00005F0A0000}"/>
    <cellStyle name="Comma 4 6 4 3 2" xfId="14365" xr:uid="{CB679B73-B852-4155-B159-05ED40E13E8D}"/>
    <cellStyle name="Comma 4 6 4 4" xfId="10152" xr:uid="{843245CA-5925-4394-AD74-E03497EDCEB4}"/>
    <cellStyle name="Comma 4 6 5" xfId="1977" xr:uid="{00000000-0005-0000-0000-0000600A0000}"/>
    <cellStyle name="Comma 4 6 5 2" xfId="4206" xr:uid="{00000000-0005-0000-0000-0000610A0000}"/>
    <cellStyle name="Comma 4 6 5 2 2" xfId="8428" xr:uid="{00000000-0005-0000-0000-0000620A0000}"/>
    <cellStyle name="Comma 4 6 5 2 2 2" xfId="16923" xr:uid="{6E7567FA-A1D4-46FB-AFFC-726AEA18AC92}"/>
    <cellStyle name="Comma 4 6 5 2 3" xfId="12710" xr:uid="{CE4D842D-26BF-49BF-B915-16CB9FDE1242}"/>
    <cellStyle name="Comma 4 6 5 3" xfId="6283" xr:uid="{00000000-0005-0000-0000-0000630A0000}"/>
    <cellStyle name="Comma 4 6 5 3 2" xfId="14778" xr:uid="{942AD7B1-43E2-4DA8-B4A0-18DE53761C2F}"/>
    <cellStyle name="Comma 4 6 5 4" xfId="10565" xr:uid="{578269E3-42E7-43F6-8520-3E7ABCE88118}"/>
    <cellStyle name="Comma 4 6 6" xfId="2412" xr:uid="{00000000-0005-0000-0000-0000640A0000}"/>
    <cellStyle name="Comma 4 6 6 2" xfId="6696" xr:uid="{00000000-0005-0000-0000-0000650A0000}"/>
    <cellStyle name="Comma 4 6 6 2 2" xfId="15191" xr:uid="{08616A0F-1C8F-45C2-8DDF-BF730BB99D84}"/>
    <cellStyle name="Comma 4 6 6 3" xfId="10978" xr:uid="{7E607316-0B37-4C8E-A701-A8C5BD0CC076}"/>
    <cellStyle name="Comma 4 6 7" xfId="2708" xr:uid="{00000000-0005-0000-0000-0000660A0000}"/>
    <cellStyle name="Comma 4 6 8" xfId="2790" xr:uid="{00000000-0005-0000-0000-0000670A0000}"/>
    <cellStyle name="Comma 4 6 8 2" xfId="7013" xr:uid="{00000000-0005-0000-0000-0000680A0000}"/>
    <cellStyle name="Comma 4 6 8 2 2" xfId="15508" xr:uid="{9A3F68F5-0130-4BBF-8329-E18DF76CF70F}"/>
    <cellStyle name="Comma 4 6 8 3" xfId="11295" xr:uid="{419BFA59-485C-4DA7-86D7-57930264A568}"/>
    <cellStyle name="Comma 4 6 9" xfId="4630" xr:uid="{00000000-0005-0000-0000-0000690A0000}"/>
    <cellStyle name="Comma 4 6 9 2" xfId="13126" xr:uid="{63FFB31E-62F7-434B-8F58-DCC9DA88BB22}"/>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2 2 2" xfId="15685" xr:uid="{A8F5D400-5C2D-41D2-90B1-E72B7105675D}"/>
    <cellStyle name="Comma 4 7 2 2 3" xfId="11472" xr:uid="{09261DC4-4D94-4928-A8EE-7BD7673EC398}"/>
    <cellStyle name="Comma 4 7 2 3" xfId="5045" xr:uid="{00000000-0005-0000-0000-00006E0A0000}"/>
    <cellStyle name="Comma 4 7 2 3 2" xfId="13540" xr:uid="{44C0E628-D93F-4197-95B0-BAF612E176F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2 2 2" xfId="16098" xr:uid="{0AACE731-DBED-4994-A248-2935AEDF6531}"/>
    <cellStyle name="Comma 4 7 3 2 3" xfId="11885" xr:uid="{76E03423-3ABA-42F8-A5CB-15A1CE421A71}"/>
    <cellStyle name="Comma 4 7 3 3" xfId="5458" xr:uid="{00000000-0005-0000-0000-0000720A0000}"/>
    <cellStyle name="Comma 4 7 3 3 2" xfId="13953" xr:uid="{78FD1FF0-8EE3-4B42-8019-D959D0F0D6F6}"/>
    <cellStyle name="Comma 4 7 3 4" xfId="9740" xr:uid="{5EFD0925-F472-4C5F-857F-77BDC7B42D8A}"/>
    <cellStyle name="Comma 4 7 4" xfId="1564" xr:uid="{00000000-0005-0000-0000-0000730A0000}"/>
    <cellStyle name="Comma 4 7 4 2" xfId="3794" xr:uid="{00000000-0005-0000-0000-0000740A0000}"/>
    <cellStyle name="Comma 4 7 4 2 2" xfId="8016" xr:uid="{00000000-0005-0000-0000-0000750A0000}"/>
    <cellStyle name="Comma 4 7 4 2 2 2" xfId="16511" xr:uid="{E316424D-CFFB-4481-8E8F-90BC9FFDEEF9}"/>
    <cellStyle name="Comma 4 7 4 2 3" xfId="12298" xr:uid="{343FC6CF-7CF5-4AC7-BAD4-2E549A459D8F}"/>
    <cellStyle name="Comma 4 7 4 3" xfId="5871" xr:uid="{00000000-0005-0000-0000-0000760A0000}"/>
    <cellStyle name="Comma 4 7 4 3 2" xfId="14366" xr:uid="{06551FE0-19D0-4067-9410-FAD3F640B1D8}"/>
    <cellStyle name="Comma 4 7 4 4" xfId="10153" xr:uid="{85200E36-E9B2-444C-83DF-A6D8E038DEE0}"/>
    <cellStyle name="Comma 4 7 5" xfId="1978" xr:uid="{00000000-0005-0000-0000-0000770A0000}"/>
    <cellStyle name="Comma 4 7 5 2" xfId="4207" xr:uid="{00000000-0005-0000-0000-0000780A0000}"/>
    <cellStyle name="Comma 4 7 5 2 2" xfId="8429" xr:uid="{00000000-0005-0000-0000-0000790A0000}"/>
    <cellStyle name="Comma 4 7 5 2 2 2" xfId="16924" xr:uid="{46DF94FA-66DD-410E-ABD7-1566E6DEE160}"/>
    <cellStyle name="Comma 4 7 5 2 3" xfId="12711" xr:uid="{373FAB47-37C0-4D0A-9EA0-FD58968D3459}"/>
    <cellStyle name="Comma 4 7 5 3" xfId="6284" xr:uid="{00000000-0005-0000-0000-00007A0A0000}"/>
    <cellStyle name="Comma 4 7 5 3 2" xfId="14779" xr:uid="{C372A19F-14E3-428B-B2D7-49E3BC99BBDC}"/>
    <cellStyle name="Comma 4 7 5 4" xfId="10566" xr:uid="{E76B28BF-8FAF-49EB-812A-E7B57794E809}"/>
    <cellStyle name="Comma 4 7 6" xfId="2413" xr:uid="{00000000-0005-0000-0000-00007B0A0000}"/>
    <cellStyle name="Comma 4 7 6 2" xfId="6697" xr:uid="{00000000-0005-0000-0000-00007C0A0000}"/>
    <cellStyle name="Comma 4 7 6 2 2" xfId="15192" xr:uid="{405D6A57-330B-4609-8434-2AD81B00AE1D}"/>
    <cellStyle name="Comma 4 7 6 3" xfId="10979" xr:uid="{83527841-D06D-4B35-8FF2-8C42C9BA5BEA}"/>
    <cellStyle name="Comma 4 7 7" xfId="2709" xr:uid="{00000000-0005-0000-0000-00007D0A0000}"/>
    <cellStyle name="Comma 4 7 8" xfId="2791" xr:uid="{00000000-0005-0000-0000-00007E0A0000}"/>
    <cellStyle name="Comma 4 7 8 2" xfId="7014" xr:uid="{00000000-0005-0000-0000-00007F0A0000}"/>
    <cellStyle name="Comma 4 7 8 2 2" xfId="15509" xr:uid="{9E864F66-BC93-41D6-9D42-18A929D5E206}"/>
    <cellStyle name="Comma 4 7 8 3" xfId="11296" xr:uid="{AD121C04-EA03-42C5-8435-C70640E51618}"/>
    <cellStyle name="Comma 4 7 9" xfId="4631" xr:uid="{00000000-0005-0000-0000-0000800A0000}"/>
    <cellStyle name="Comma 4 7 9 2" xfId="13127" xr:uid="{66DEB8A5-08EA-4D4C-8C03-D0F778A010F6}"/>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7211" xr:uid="{54930C1D-EBB6-4C26-A0F6-DAC38C6BE77D}"/>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7227" xr:uid="{8C1ADBDA-C0C1-4197-B89A-58E41D7A0E60}"/>
    <cellStyle name="Currency 14 3 2 2 2 3" xfId="17224" xr:uid="{8E941258-AA90-41E3-8DF0-B9C720CD6E07}"/>
    <cellStyle name="Currency 14 3 2 2 3" xfId="17220" xr:uid="{75E10AEE-EDE5-4E2B-8867-7186E0F26D75}"/>
    <cellStyle name="Currency 14 3 2 3" xfId="17217" xr:uid="{612CB0A5-3D6D-4C81-A874-2E49707B1DDF}"/>
    <cellStyle name="Currency 14 3 3" xfId="17214" xr:uid="{4AB27ACC-1E66-455B-98C5-688F13834587}"/>
    <cellStyle name="Currency 14 4" xfId="12998" xr:uid="{156F333D-7AF5-4D78-B651-11595660F067}"/>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5510" xr:uid="{507CF1A7-D6AD-435F-869F-5F4E28102CF7}"/>
    <cellStyle name="Currency 3 2 2 10 3" xfId="11297" xr:uid="{2BE5AD8B-499D-487C-8C4E-9D8A006C8C6F}"/>
    <cellStyle name="Currency 3 2 2 11" xfId="4632" xr:uid="{00000000-0005-0000-0000-0000A50A0000}"/>
    <cellStyle name="Currency 3 2 2 11 2" xfId="13128" xr:uid="{4918F15C-E7DF-48D2-B6B4-702A341A182E}"/>
    <cellStyle name="Currency 3 2 2 12" xfId="8808" xr:uid="{5CD24693-181E-456A-9199-DC057509AC96}"/>
    <cellStyle name="Currency 3 2 2 2" xfId="179" xr:uid="{00000000-0005-0000-0000-0000A60A0000}"/>
    <cellStyle name="Currency 3 2 2 2 10" xfId="4633" xr:uid="{00000000-0005-0000-0000-0000A70A0000}"/>
    <cellStyle name="Currency 3 2 2 2 10 2" xfId="13129" xr:uid="{2382152F-9E96-45E4-9CB6-908C15C64028}"/>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5688" xr:uid="{50ECBEB3-97F0-4279-9364-F02F5AF379DD}"/>
    <cellStyle name="Currency 3 2 2 2 2 2 2 3" xfId="11475" xr:uid="{0386050E-B175-4F48-9110-56BF365E7CF4}"/>
    <cellStyle name="Currency 3 2 2 2 2 2 3" xfId="5048" xr:uid="{00000000-0005-0000-0000-0000AC0A0000}"/>
    <cellStyle name="Currency 3 2 2 2 2 2 3 2" xfId="13543" xr:uid="{F8EB48A3-9A7A-46C7-BEAC-5C0EECA80DEF}"/>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101" xr:uid="{C5BE70C9-D158-41FB-B7E8-930CC41439DB}"/>
    <cellStyle name="Currency 3 2 2 2 2 3 2 3" xfId="11888" xr:uid="{F06BBD4E-C7CC-4A8B-BAC1-9456D5E2BDCB}"/>
    <cellStyle name="Currency 3 2 2 2 2 3 3" xfId="5461" xr:uid="{00000000-0005-0000-0000-0000B00A0000}"/>
    <cellStyle name="Currency 3 2 2 2 2 3 3 2" xfId="13956" xr:uid="{F43DCB41-FC78-48CC-8FF9-290F55FA6955}"/>
    <cellStyle name="Currency 3 2 2 2 2 3 4" xfId="9743" xr:uid="{EF160CAB-7F27-461C-A2F3-33F4016E8CDE}"/>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6514" xr:uid="{146B5FEF-A6C1-4979-8989-636574967A4B}"/>
    <cellStyle name="Currency 3 2 2 2 2 4 2 3" xfId="12301" xr:uid="{8F3027DD-9422-4C1C-8EE5-2EDE65A4D5B9}"/>
    <cellStyle name="Currency 3 2 2 2 2 4 3" xfId="5874" xr:uid="{00000000-0005-0000-0000-0000B40A0000}"/>
    <cellStyle name="Currency 3 2 2 2 2 4 3 2" xfId="14369" xr:uid="{73EC9E4F-489B-407E-BCB4-79F26D4F97A6}"/>
    <cellStyle name="Currency 3 2 2 2 2 4 4" xfId="10156" xr:uid="{23C37AF6-0D2D-4248-BA6B-F005F7EA7118}"/>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6927" xr:uid="{DCE72614-9AC2-487D-AB33-1C67E3B128B5}"/>
    <cellStyle name="Currency 3 2 2 2 2 5 2 3" xfId="12714" xr:uid="{D5F07F78-0BD3-4380-A50A-E0179806C4CF}"/>
    <cellStyle name="Currency 3 2 2 2 2 5 3" xfId="6287" xr:uid="{00000000-0005-0000-0000-0000B80A0000}"/>
    <cellStyle name="Currency 3 2 2 2 2 5 3 2" xfId="14782" xr:uid="{6DFFB500-7815-43F9-A2A3-FE3985C3E699}"/>
    <cellStyle name="Currency 3 2 2 2 2 5 4" xfId="10569" xr:uid="{77070A71-DDEE-42CB-8AF9-165E80D48586}"/>
    <cellStyle name="Currency 3 2 2 2 2 6" xfId="2416" xr:uid="{00000000-0005-0000-0000-0000B90A0000}"/>
    <cellStyle name="Currency 3 2 2 2 2 6 2" xfId="6700" xr:uid="{00000000-0005-0000-0000-0000BA0A0000}"/>
    <cellStyle name="Currency 3 2 2 2 2 6 2 2" xfId="15195" xr:uid="{A6581BAB-B7BF-4B50-9500-3F0C004C0B65}"/>
    <cellStyle name="Currency 3 2 2 2 2 6 3" xfId="10982" xr:uid="{BF6F78C7-BFC5-4709-AB7B-0385E33D4D48}"/>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5512" xr:uid="{39B623AD-92F6-432B-BD66-6B803C847401}"/>
    <cellStyle name="Currency 3 2 2 2 2 8 3" xfId="11299" xr:uid="{016057F6-69D2-45DC-89D1-08D05ECCFBD4}"/>
    <cellStyle name="Currency 3 2 2 2 2 9" xfId="4634" xr:uid="{00000000-0005-0000-0000-0000BE0A0000}"/>
    <cellStyle name="Currency 3 2 2 2 2 9 2" xfId="13130" xr:uid="{A719D7B9-B6C6-4AE8-8E3D-C4D0EB17BDA5}"/>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5687" xr:uid="{6BC6B11E-D20B-4B4B-9465-742F0B4D1D14}"/>
    <cellStyle name="Currency 3 2 2 2 3 2 3" xfId="11474" xr:uid="{8F10285E-6335-4790-8706-5562F4E22FFB}"/>
    <cellStyle name="Currency 3 2 2 2 3 3" xfId="5047" xr:uid="{00000000-0005-0000-0000-0000C20A0000}"/>
    <cellStyle name="Currency 3 2 2 2 3 3 2" xfId="13542" xr:uid="{E25CC439-8234-41A0-BD00-9E8652860213}"/>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100" xr:uid="{CC742EAE-41AD-4B79-A742-DF8FCF46A55C}"/>
    <cellStyle name="Currency 3 2 2 2 4 2 3" xfId="11887" xr:uid="{5EA01A56-5C15-495E-ACC5-94BE8E876C4A}"/>
    <cellStyle name="Currency 3 2 2 2 4 3" xfId="5460" xr:uid="{00000000-0005-0000-0000-0000C60A0000}"/>
    <cellStyle name="Currency 3 2 2 2 4 3 2" xfId="13955" xr:uid="{FF6C090F-4A3A-4171-ABB0-C6BACF2D3CBE}"/>
    <cellStyle name="Currency 3 2 2 2 4 4" xfId="9742" xr:uid="{947DF886-B5CF-4BCE-B0EE-048780B4FE1B}"/>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6513" xr:uid="{403D1E60-17CD-46BA-8DC8-7F6D3F025F08}"/>
    <cellStyle name="Currency 3 2 2 2 5 2 3" xfId="12300" xr:uid="{8B02FB50-3B12-400C-BE68-501A57CD5E3D}"/>
    <cellStyle name="Currency 3 2 2 2 5 3" xfId="5873" xr:uid="{00000000-0005-0000-0000-0000CA0A0000}"/>
    <cellStyle name="Currency 3 2 2 2 5 3 2" xfId="14368" xr:uid="{5E8ADD5F-5B15-446B-9651-BDF6B0746661}"/>
    <cellStyle name="Currency 3 2 2 2 5 4" xfId="10155" xr:uid="{1CEB1146-8067-4DFB-A734-410A50A5CC59}"/>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6926" xr:uid="{3DB6F117-F2B6-4671-B837-09E3A060B318}"/>
    <cellStyle name="Currency 3 2 2 2 6 2 3" xfId="12713" xr:uid="{533FB682-6838-4838-B89C-BFBC6D2C073F}"/>
    <cellStyle name="Currency 3 2 2 2 6 3" xfId="6286" xr:uid="{00000000-0005-0000-0000-0000CE0A0000}"/>
    <cellStyle name="Currency 3 2 2 2 6 3 2" xfId="14781" xr:uid="{05D7D0D1-CB2C-46AE-B0BE-A7090A9A292E}"/>
    <cellStyle name="Currency 3 2 2 2 6 4" xfId="10568" xr:uid="{861D51E2-53F2-49B1-AEE5-FEF0DBEFDB98}"/>
    <cellStyle name="Currency 3 2 2 2 7" xfId="2415" xr:uid="{00000000-0005-0000-0000-0000CF0A0000}"/>
    <cellStyle name="Currency 3 2 2 2 7 2" xfId="6699" xr:uid="{00000000-0005-0000-0000-0000D00A0000}"/>
    <cellStyle name="Currency 3 2 2 2 7 2 2" xfId="15194" xr:uid="{FAF04645-B24B-4432-A29D-F9CFA32F396D}"/>
    <cellStyle name="Currency 3 2 2 2 7 3" xfId="10981" xr:uid="{B132FB92-172E-436D-8DC9-EA808D3B3B81}"/>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5511" xr:uid="{6B3B6097-9C21-416C-98AB-F4B9D890A7F1}"/>
    <cellStyle name="Currency 3 2 2 2 9 3" xfId="11298" xr:uid="{D188CED6-8BDB-4C6B-9680-ADBE58BAD1DB}"/>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5689" xr:uid="{77FB4F5C-6D17-4019-98FD-A3CA5B616590}"/>
    <cellStyle name="Currency 3 2 2 3 2 2 3" xfId="11476" xr:uid="{0F739947-E852-4CEB-9499-BB6382C91260}"/>
    <cellStyle name="Currency 3 2 2 3 2 3" xfId="5049" xr:uid="{00000000-0005-0000-0000-0000D80A0000}"/>
    <cellStyle name="Currency 3 2 2 3 2 3 2" xfId="13544" xr:uid="{F972BD2E-9747-4C7E-9AC7-DDA802DBBDFB}"/>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102" xr:uid="{CA7EA110-9849-4D95-B9CF-2F046C4B8926}"/>
    <cellStyle name="Currency 3 2 2 3 3 2 3" xfId="11889" xr:uid="{86C631E9-15B2-4857-A035-FC6534629B7A}"/>
    <cellStyle name="Currency 3 2 2 3 3 3" xfId="5462" xr:uid="{00000000-0005-0000-0000-0000DC0A0000}"/>
    <cellStyle name="Currency 3 2 2 3 3 3 2" xfId="13957" xr:uid="{574B7134-39AE-422F-94E5-144443BA45CC}"/>
    <cellStyle name="Currency 3 2 2 3 3 4" xfId="9744" xr:uid="{1074588A-20C4-4034-9317-F71B2D28778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6515" xr:uid="{F7E64606-5F3A-4290-A1DE-1CF1DE7F433C}"/>
    <cellStyle name="Currency 3 2 2 3 4 2 3" xfId="12302" xr:uid="{496B245C-0068-4FE2-9EA0-550DEC491ADB}"/>
    <cellStyle name="Currency 3 2 2 3 4 3" xfId="5875" xr:uid="{00000000-0005-0000-0000-0000E00A0000}"/>
    <cellStyle name="Currency 3 2 2 3 4 3 2" xfId="14370" xr:uid="{29612D20-90FC-41AA-B821-771E7067ACB2}"/>
    <cellStyle name="Currency 3 2 2 3 4 4" xfId="10157" xr:uid="{2FECB92E-B392-4DC5-BE40-BE39DE71C68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6928" xr:uid="{54A7320C-EA93-4290-8020-E0A3923BF9D8}"/>
    <cellStyle name="Currency 3 2 2 3 5 2 3" xfId="12715" xr:uid="{B86F3694-2ECB-4A38-8EF2-A70BBA2CF2B4}"/>
    <cellStyle name="Currency 3 2 2 3 5 3" xfId="6288" xr:uid="{00000000-0005-0000-0000-0000E40A0000}"/>
    <cellStyle name="Currency 3 2 2 3 5 3 2" xfId="14783" xr:uid="{20A06796-1D25-4987-92A2-A90D0D02350B}"/>
    <cellStyle name="Currency 3 2 2 3 5 4" xfId="10570" xr:uid="{CFA9EDDB-05C8-48CA-8F4D-7F42D8F7DB2E}"/>
    <cellStyle name="Currency 3 2 2 3 6" xfId="2417" xr:uid="{00000000-0005-0000-0000-0000E50A0000}"/>
    <cellStyle name="Currency 3 2 2 3 6 2" xfId="6701" xr:uid="{00000000-0005-0000-0000-0000E60A0000}"/>
    <cellStyle name="Currency 3 2 2 3 6 2 2" xfId="15196" xr:uid="{5E0C417E-3D83-4123-ADC5-D8DC0F7D040A}"/>
    <cellStyle name="Currency 3 2 2 3 6 3" xfId="10983" xr:uid="{3A1CC216-A0DD-4EC5-9534-0777479FD9F2}"/>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5513" xr:uid="{AE4820A5-C1BF-48DA-8D33-F6B90697F8B1}"/>
    <cellStyle name="Currency 3 2 2 3 8 3" xfId="11300" xr:uid="{074BBFF6-9B06-41A1-BB8A-65EDBC151FDB}"/>
    <cellStyle name="Currency 3 2 2 3 9" xfId="4635" xr:uid="{00000000-0005-0000-0000-0000EA0A0000}"/>
    <cellStyle name="Currency 3 2 2 3 9 2" xfId="13131" xr:uid="{07FDE9FB-84B2-4D2F-9648-271B04A71146}"/>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5686" xr:uid="{1F175B0F-1934-4840-8D7A-70DB55035F4A}"/>
    <cellStyle name="Currency 3 2 2 4 2 3" xfId="11473" xr:uid="{0882707C-CC84-4D58-AF92-7EA17BA5451D}"/>
    <cellStyle name="Currency 3 2 2 4 3" xfId="5046" xr:uid="{00000000-0005-0000-0000-0000EE0A0000}"/>
    <cellStyle name="Currency 3 2 2 4 3 2" xfId="13541" xr:uid="{B257CA0B-F052-4996-93FC-5B946D5A791B}"/>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099" xr:uid="{54C791B5-F4C2-4011-8C59-54413E1CCF82}"/>
    <cellStyle name="Currency 3 2 2 5 2 3" xfId="11886" xr:uid="{42A4174E-6C55-413A-AC39-BEA2A2544F39}"/>
    <cellStyle name="Currency 3 2 2 5 3" xfId="5459" xr:uid="{00000000-0005-0000-0000-0000F20A0000}"/>
    <cellStyle name="Currency 3 2 2 5 3 2" xfId="13954" xr:uid="{D2991AA1-4DBA-4FAD-AC7F-5620EE971AD6}"/>
    <cellStyle name="Currency 3 2 2 5 4" xfId="9741" xr:uid="{C3689D29-2BD5-4245-8836-61A1B5475E09}"/>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6512" xr:uid="{8A800FF9-2AFD-452A-9DCB-EDCBA284467F}"/>
    <cellStyle name="Currency 3 2 2 6 2 3" xfId="12299" xr:uid="{3D11F140-141E-4974-9E6A-B28ED886542F}"/>
    <cellStyle name="Currency 3 2 2 6 3" xfId="5872" xr:uid="{00000000-0005-0000-0000-0000F60A0000}"/>
    <cellStyle name="Currency 3 2 2 6 3 2" xfId="14367" xr:uid="{8EF36290-0E26-4E10-91B2-39A0ED7558E7}"/>
    <cellStyle name="Currency 3 2 2 6 4" xfId="10154" xr:uid="{80919849-04C8-492D-A3EA-D53C71375896}"/>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6925" xr:uid="{55ED7D00-0CB0-4F24-AE62-AEB9FE6DC499}"/>
    <cellStyle name="Currency 3 2 2 7 2 3" xfId="12712" xr:uid="{1C8B2CB6-084F-417F-9904-B189C442DF0D}"/>
    <cellStyle name="Currency 3 2 2 7 3" xfId="6285" xr:uid="{00000000-0005-0000-0000-0000FA0A0000}"/>
    <cellStyle name="Currency 3 2 2 7 3 2" xfId="14780" xr:uid="{58174387-B105-44F7-B0F3-EB9FEDF21574}"/>
    <cellStyle name="Currency 3 2 2 7 4" xfId="10567" xr:uid="{FF7E87D2-4F79-498A-B607-3062BF28E619}"/>
    <cellStyle name="Currency 3 2 2 8" xfId="2414" xr:uid="{00000000-0005-0000-0000-0000FB0A0000}"/>
    <cellStyle name="Currency 3 2 2 8 2" xfId="6698" xr:uid="{00000000-0005-0000-0000-0000FC0A0000}"/>
    <cellStyle name="Currency 3 2 2 8 2 2" xfId="15193" xr:uid="{B58FEC95-E7B0-4AFF-BF2C-70D7C1C0B0F2}"/>
    <cellStyle name="Currency 3 2 2 8 3" xfId="10980" xr:uid="{D82119FF-ADED-466E-BA6D-EF7F1AAE88B4}"/>
    <cellStyle name="Currency 3 2 2 9" xfId="2711" xr:uid="{00000000-0005-0000-0000-0000FD0A0000}"/>
    <cellStyle name="Currency 3 2 3" xfId="182" xr:uid="{00000000-0005-0000-0000-0000FE0A0000}"/>
    <cellStyle name="Currency 3 2 3 10" xfId="4636" xr:uid="{00000000-0005-0000-0000-0000FF0A0000}"/>
    <cellStyle name="Currency 3 2 3 10 2" xfId="13132" xr:uid="{1A5D10FC-FCBA-4902-B298-21CF6A39C6C5}"/>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5691" xr:uid="{6DA76D00-9CBB-4951-AC0C-A7854F356BC2}"/>
    <cellStyle name="Currency 3 2 3 2 2 2 3" xfId="11478" xr:uid="{151BC099-3432-440C-B9A2-A098A8ACC920}"/>
    <cellStyle name="Currency 3 2 3 2 2 3" xfId="5051" xr:uid="{00000000-0005-0000-0000-0000040B0000}"/>
    <cellStyle name="Currency 3 2 3 2 2 3 2" xfId="13546" xr:uid="{C2994025-AC10-4738-83E0-C293720438DC}"/>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104" xr:uid="{13CCAC51-37D5-4D07-AE7B-D215A44938C4}"/>
    <cellStyle name="Currency 3 2 3 2 3 2 3" xfId="11891" xr:uid="{8A3C746B-20F5-4E60-B4F2-97531E6B6225}"/>
    <cellStyle name="Currency 3 2 3 2 3 3" xfId="5464" xr:uid="{00000000-0005-0000-0000-0000080B0000}"/>
    <cellStyle name="Currency 3 2 3 2 3 3 2" xfId="13959" xr:uid="{0AA8D7EC-B0B3-4F77-9CE0-B3D17DF4F5DD}"/>
    <cellStyle name="Currency 3 2 3 2 3 4" xfId="9746" xr:uid="{F59A0CC4-597E-4623-ACB2-90C4C2C8D51C}"/>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6517" xr:uid="{1CC68318-86DF-4CEC-837F-5693F2528F03}"/>
    <cellStyle name="Currency 3 2 3 2 4 2 3" xfId="12304" xr:uid="{63F1AE0C-AB5D-4B13-8680-29F27A2B1F71}"/>
    <cellStyle name="Currency 3 2 3 2 4 3" xfId="5877" xr:uid="{00000000-0005-0000-0000-00000C0B0000}"/>
    <cellStyle name="Currency 3 2 3 2 4 3 2" xfId="14372" xr:uid="{85356BB8-0DD2-42FF-8578-C25B09D2E5A5}"/>
    <cellStyle name="Currency 3 2 3 2 4 4" xfId="10159" xr:uid="{F54D01D6-AF5C-4695-AE60-CF94C382E6C4}"/>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6930" xr:uid="{9D5306C8-119C-46F0-A363-3D6085C1A707}"/>
    <cellStyle name="Currency 3 2 3 2 5 2 3" xfId="12717" xr:uid="{2AF1A503-0B74-421A-BC4D-79E0147FAB78}"/>
    <cellStyle name="Currency 3 2 3 2 5 3" xfId="6290" xr:uid="{00000000-0005-0000-0000-0000100B0000}"/>
    <cellStyle name="Currency 3 2 3 2 5 3 2" xfId="14785" xr:uid="{0ABB57DD-ED7D-4EE2-8326-9A4B1EA88C21}"/>
    <cellStyle name="Currency 3 2 3 2 5 4" xfId="10572" xr:uid="{A60D9C67-96FC-41C0-8B44-073E1251BFCD}"/>
    <cellStyle name="Currency 3 2 3 2 6" xfId="2419" xr:uid="{00000000-0005-0000-0000-0000110B0000}"/>
    <cellStyle name="Currency 3 2 3 2 6 2" xfId="6703" xr:uid="{00000000-0005-0000-0000-0000120B0000}"/>
    <cellStyle name="Currency 3 2 3 2 6 2 2" xfId="15198" xr:uid="{6E8F5415-3E50-46D8-A713-88B17F2B5113}"/>
    <cellStyle name="Currency 3 2 3 2 6 3" xfId="10985" xr:uid="{EAED79F7-3FCD-40AA-8660-148EFC3A634C}"/>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5515" xr:uid="{12BC9538-CA8E-445F-A119-57D437C6AC81}"/>
    <cellStyle name="Currency 3 2 3 2 8 3" xfId="11302" xr:uid="{98048273-24CE-4CAE-A111-E02F18419E4A}"/>
    <cellStyle name="Currency 3 2 3 2 9" xfId="4637" xr:uid="{00000000-0005-0000-0000-0000160B0000}"/>
    <cellStyle name="Currency 3 2 3 2 9 2" xfId="13133" xr:uid="{907EA583-7B49-49F8-B247-CA460B2B4DA5}"/>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5690" xr:uid="{ECB699E5-B41A-41D2-A239-D1E6C6347E9A}"/>
    <cellStyle name="Currency 3 2 3 3 2 3" xfId="11477" xr:uid="{535B779C-53C5-4723-9F04-39B45654852A}"/>
    <cellStyle name="Currency 3 2 3 3 3" xfId="5050" xr:uid="{00000000-0005-0000-0000-00001A0B0000}"/>
    <cellStyle name="Currency 3 2 3 3 3 2" xfId="13545" xr:uid="{3E0DF804-A21C-4631-BA36-73BDA0311D28}"/>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103" xr:uid="{01E5B1A2-54A5-45D0-8686-A0E92A919B5F}"/>
    <cellStyle name="Currency 3 2 3 4 2 3" xfId="11890" xr:uid="{3C9EDEC3-0028-43F4-9969-7EAC53759A49}"/>
    <cellStyle name="Currency 3 2 3 4 3" xfId="5463" xr:uid="{00000000-0005-0000-0000-00001E0B0000}"/>
    <cellStyle name="Currency 3 2 3 4 3 2" xfId="13958" xr:uid="{5EBD1275-D607-40E6-8232-F4A91FB33DB7}"/>
    <cellStyle name="Currency 3 2 3 4 4" xfId="9745" xr:uid="{8EDE773D-5597-49C0-85ED-FBFF0096907C}"/>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6516" xr:uid="{D631BBBD-364E-4622-B372-E854B1863830}"/>
    <cellStyle name="Currency 3 2 3 5 2 3" xfId="12303" xr:uid="{FEAEB2F0-50C8-40D5-BEB4-3BC1D4F95DDD}"/>
    <cellStyle name="Currency 3 2 3 5 3" xfId="5876" xr:uid="{00000000-0005-0000-0000-0000220B0000}"/>
    <cellStyle name="Currency 3 2 3 5 3 2" xfId="14371" xr:uid="{D2D52374-A8DC-42D9-82BB-C62AEAD56CA4}"/>
    <cellStyle name="Currency 3 2 3 5 4" xfId="10158" xr:uid="{91A98CFB-2F1F-4CC4-9FFA-95F4701D6D25}"/>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6929" xr:uid="{62DA9295-9907-43D5-91E5-EE84322F4151}"/>
    <cellStyle name="Currency 3 2 3 6 2 3" xfId="12716" xr:uid="{7CBB1897-A4F4-4E25-A542-C8CE61AE860F}"/>
    <cellStyle name="Currency 3 2 3 6 3" xfId="6289" xr:uid="{00000000-0005-0000-0000-0000260B0000}"/>
    <cellStyle name="Currency 3 2 3 6 3 2" xfId="14784" xr:uid="{AB719A8E-6B19-4A71-8D83-D4F8AC9DDD0F}"/>
    <cellStyle name="Currency 3 2 3 6 4" xfId="10571" xr:uid="{C5D47FE6-9248-4A11-BE87-CB4F3E253B72}"/>
    <cellStyle name="Currency 3 2 3 7" xfId="2418" xr:uid="{00000000-0005-0000-0000-0000270B0000}"/>
    <cellStyle name="Currency 3 2 3 7 2" xfId="6702" xr:uid="{00000000-0005-0000-0000-0000280B0000}"/>
    <cellStyle name="Currency 3 2 3 7 2 2" xfId="15197" xr:uid="{8909EFA5-7374-4C2C-B143-AB17E903E31A}"/>
    <cellStyle name="Currency 3 2 3 7 3" xfId="10984" xr:uid="{DFB07E0C-B065-4F33-99A9-FCF09A216465}"/>
    <cellStyle name="Currency 3 2 3 8" xfId="2715" xr:uid="{00000000-0005-0000-0000-0000290B0000}"/>
    <cellStyle name="Currency 3 2 3 9" xfId="2796" xr:uid="{00000000-0005-0000-0000-00002A0B0000}"/>
    <cellStyle name="Currency 3 2 3 9 2" xfId="7019" xr:uid="{00000000-0005-0000-0000-00002B0B0000}"/>
    <cellStyle name="Currency 3 2 3 9 2 2" xfId="15514" xr:uid="{A37A143F-CCC2-49A4-99EF-8D78CB8E60EA}"/>
    <cellStyle name="Currency 3 2 3 9 3" xfId="11301" xr:uid="{4D0F8A61-A425-48F2-B958-4264096258FE}"/>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5692" xr:uid="{CE9C18C5-CECA-4D0C-86D4-87AE193C7A6B}"/>
    <cellStyle name="Currency 3 2 4 2 2 3" xfId="11479" xr:uid="{8B40431A-44F2-4FF5-B2D9-9DBBF94E41B5}"/>
    <cellStyle name="Currency 3 2 4 2 3" xfId="5052" xr:uid="{00000000-0005-0000-0000-0000300B0000}"/>
    <cellStyle name="Currency 3 2 4 2 3 2" xfId="13547" xr:uid="{FE328F15-1200-4733-95C8-87EC226F8F03}"/>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105" xr:uid="{70FF7CBB-24E5-41E0-8913-79B7ADE5E95D}"/>
    <cellStyle name="Currency 3 2 4 3 2 3" xfId="11892" xr:uid="{6D205AF5-184C-41FE-B483-BA4678188011}"/>
    <cellStyle name="Currency 3 2 4 3 3" xfId="5465" xr:uid="{00000000-0005-0000-0000-0000340B0000}"/>
    <cellStyle name="Currency 3 2 4 3 3 2" xfId="13960" xr:uid="{4F31ADFE-19BC-4AB3-8E21-A5B4DA2B573E}"/>
    <cellStyle name="Currency 3 2 4 3 4" xfId="9747" xr:uid="{C40DD82C-0DAC-4901-8121-371083BC01F1}"/>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6518" xr:uid="{A7A676DC-259E-40E7-8706-13CD66348F94}"/>
    <cellStyle name="Currency 3 2 4 4 2 3" xfId="12305" xr:uid="{8159AB33-F65F-4980-B00B-2969D748DA03}"/>
    <cellStyle name="Currency 3 2 4 4 3" xfId="5878" xr:uid="{00000000-0005-0000-0000-0000380B0000}"/>
    <cellStyle name="Currency 3 2 4 4 3 2" xfId="14373" xr:uid="{8295143D-5E53-49A5-902C-D16F17CBE7E3}"/>
    <cellStyle name="Currency 3 2 4 4 4" xfId="10160" xr:uid="{DAC141FC-E42B-4497-8956-14C7CA1C3084}"/>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6931" xr:uid="{F4E520EB-EF51-4D20-950A-AC2EC6F33968}"/>
    <cellStyle name="Currency 3 2 4 5 2 3" xfId="12718" xr:uid="{1C370AD7-9FE0-42B7-B7DE-A2C8F2F0E011}"/>
    <cellStyle name="Currency 3 2 4 5 3" xfId="6291" xr:uid="{00000000-0005-0000-0000-00003C0B0000}"/>
    <cellStyle name="Currency 3 2 4 5 3 2" xfId="14786" xr:uid="{C409F0D2-5D9A-401E-858E-551E7F3DB008}"/>
    <cellStyle name="Currency 3 2 4 5 4" xfId="10573" xr:uid="{DD63217F-5EE3-4AED-A7F5-614AAFA2473E}"/>
    <cellStyle name="Currency 3 2 4 6" xfId="2420" xr:uid="{00000000-0005-0000-0000-00003D0B0000}"/>
    <cellStyle name="Currency 3 2 4 6 2" xfId="6704" xr:uid="{00000000-0005-0000-0000-00003E0B0000}"/>
    <cellStyle name="Currency 3 2 4 6 2 2" xfId="15199" xr:uid="{1DD96025-FF3E-4555-A5ED-7092D954E8F1}"/>
    <cellStyle name="Currency 3 2 4 6 3" xfId="10986" xr:uid="{8BA229BA-F806-4424-96A5-E5221D1DDB59}"/>
    <cellStyle name="Currency 3 2 4 7" xfId="2717" xr:uid="{00000000-0005-0000-0000-00003F0B0000}"/>
    <cellStyle name="Currency 3 2 4 8" xfId="2798" xr:uid="{00000000-0005-0000-0000-0000400B0000}"/>
    <cellStyle name="Currency 3 2 4 8 2" xfId="7021" xr:uid="{00000000-0005-0000-0000-0000410B0000}"/>
    <cellStyle name="Currency 3 2 4 8 2 2" xfId="15516" xr:uid="{A450AE41-C82C-4082-88B9-910A77E7D6BB}"/>
    <cellStyle name="Currency 3 2 4 8 3" xfId="11303" xr:uid="{32198C15-53CF-409A-A1B3-03269EBFC01A}"/>
    <cellStyle name="Currency 3 2 4 9" xfId="4638" xr:uid="{00000000-0005-0000-0000-0000420B0000}"/>
    <cellStyle name="Currency 3 2 4 9 2" xfId="13134" xr:uid="{B64D24A1-AFC4-42DC-A2FE-B32EE8F908EF}"/>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5693" xr:uid="{C0AAC544-B68D-49B6-8AC0-8F701598C973}"/>
    <cellStyle name="Currency 3 2 5 2 2 3" xfId="11480" xr:uid="{CBC95925-F020-47A5-878D-DEA7FB77F51C}"/>
    <cellStyle name="Currency 3 2 5 2 3" xfId="5053" xr:uid="{00000000-0005-0000-0000-0000470B0000}"/>
    <cellStyle name="Currency 3 2 5 2 3 2" xfId="13548" xr:uid="{82B8ACC7-21D2-4D5F-A4EF-EC8B2CD4D083}"/>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106" xr:uid="{EDA4FAE3-A41A-409E-BB0C-0C5F0A5A12AE}"/>
    <cellStyle name="Currency 3 2 5 3 2 3" xfId="11893" xr:uid="{C4770CC1-8181-406D-8E5A-56E94D47B882}"/>
    <cellStyle name="Currency 3 2 5 3 3" xfId="5466" xr:uid="{00000000-0005-0000-0000-00004B0B0000}"/>
    <cellStyle name="Currency 3 2 5 3 3 2" xfId="13961" xr:uid="{4AD92676-825E-470F-BDB2-4CFA5554B598}"/>
    <cellStyle name="Currency 3 2 5 3 4" xfId="9748" xr:uid="{E4501C82-97C6-4925-A211-A2265572B819}"/>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6519" xr:uid="{40F1F14D-769B-4F17-B045-C0F178ADD2F5}"/>
    <cellStyle name="Currency 3 2 5 4 2 3" xfId="12306" xr:uid="{5B3A01AA-91E0-491E-B244-BC659C816288}"/>
    <cellStyle name="Currency 3 2 5 4 3" xfId="5879" xr:uid="{00000000-0005-0000-0000-00004F0B0000}"/>
    <cellStyle name="Currency 3 2 5 4 3 2" xfId="14374" xr:uid="{07E76ADC-7930-4D3B-8708-5BB9D6E31F1D}"/>
    <cellStyle name="Currency 3 2 5 4 4" xfId="10161" xr:uid="{DE4FE7D8-21C0-4E1C-935E-D0780EFFF455}"/>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6932" xr:uid="{C1012E4A-BB92-4463-94E4-73A62E697F06}"/>
    <cellStyle name="Currency 3 2 5 5 2 3" xfId="12719" xr:uid="{6FF3B716-B560-4BD1-BA8A-0B045F9F9C03}"/>
    <cellStyle name="Currency 3 2 5 5 3" xfId="6292" xr:uid="{00000000-0005-0000-0000-0000530B0000}"/>
    <cellStyle name="Currency 3 2 5 5 3 2" xfId="14787" xr:uid="{CEE2F1D7-01B2-43D7-BFD9-8F356BAA1495}"/>
    <cellStyle name="Currency 3 2 5 5 4" xfId="10574" xr:uid="{E96D1134-14AD-4B27-BD1E-643EE00A5E0B}"/>
    <cellStyle name="Currency 3 2 5 6" xfId="2421" xr:uid="{00000000-0005-0000-0000-0000540B0000}"/>
    <cellStyle name="Currency 3 2 5 6 2" xfId="6705" xr:uid="{00000000-0005-0000-0000-0000550B0000}"/>
    <cellStyle name="Currency 3 2 5 6 2 2" xfId="15200" xr:uid="{4A99587D-BB82-4EA8-8C27-8E106CCFCA00}"/>
    <cellStyle name="Currency 3 2 5 6 3" xfId="10987" xr:uid="{096030B8-00FB-43FA-B8D0-236B6FE142EC}"/>
    <cellStyle name="Currency 3 2 5 7" xfId="2718" xr:uid="{00000000-0005-0000-0000-0000560B0000}"/>
    <cellStyle name="Currency 3 2 5 8" xfId="2799" xr:uid="{00000000-0005-0000-0000-0000570B0000}"/>
    <cellStyle name="Currency 3 2 5 8 2" xfId="7022" xr:uid="{00000000-0005-0000-0000-0000580B0000}"/>
    <cellStyle name="Currency 3 2 5 8 2 2" xfId="15517" xr:uid="{56746A15-7166-45F1-A215-3573A06A247E}"/>
    <cellStyle name="Currency 3 2 5 8 3" xfId="11304" xr:uid="{B13CAB7B-EF12-4FE1-88BB-16D513D4FE0E}"/>
    <cellStyle name="Currency 3 2 5 9" xfId="4639" xr:uid="{00000000-0005-0000-0000-0000590B0000}"/>
    <cellStyle name="Currency 3 2 5 9 2" xfId="13135" xr:uid="{AC1099E3-1643-4E09-8DC2-9253A2537714}"/>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5518" xr:uid="{04863058-E15E-4576-ABF1-16F31827DE1D}"/>
    <cellStyle name="Currency 5 2 2 2 10 3" xfId="11305" xr:uid="{AED0BF60-F08A-45D5-9F89-37011742CD18}"/>
    <cellStyle name="Currency 5 2 2 2 11" xfId="4640" xr:uid="{00000000-0005-0000-0000-00006C0B0000}"/>
    <cellStyle name="Currency 5 2 2 2 11 2" xfId="13136" xr:uid="{966E4828-72BC-49BA-8F88-51465279C58E}"/>
    <cellStyle name="Currency 5 2 2 2 12" xfId="8809" xr:uid="{6E2B58BA-BC61-49BF-A0FE-5BC79A050654}"/>
    <cellStyle name="Currency 5 2 2 2 2" xfId="197" xr:uid="{00000000-0005-0000-0000-00006D0B0000}"/>
    <cellStyle name="Currency 5 2 2 2 2 10" xfId="4641" xr:uid="{00000000-0005-0000-0000-00006E0B0000}"/>
    <cellStyle name="Currency 5 2 2 2 2 10 2" xfId="13137" xr:uid="{DEB9382C-33D8-4340-B97D-5EB5CF1333C2}"/>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5696" xr:uid="{591B184C-475A-40C3-AA72-D29C8DDC1472}"/>
    <cellStyle name="Currency 5 2 2 2 2 2 2 2 3" xfId="11483" xr:uid="{E9AE5425-1FB2-41A8-B354-F75F31D03826}"/>
    <cellStyle name="Currency 5 2 2 2 2 2 2 3" xfId="5056" xr:uid="{00000000-0005-0000-0000-0000730B0000}"/>
    <cellStyle name="Currency 5 2 2 2 2 2 2 3 2" xfId="13551" xr:uid="{FBD5953E-B2E0-48DE-9508-951FCA5ECB11}"/>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109" xr:uid="{53133B72-C43A-4123-91DD-36F6707AA78A}"/>
    <cellStyle name="Currency 5 2 2 2 2 2 3 2 3" xfId="11896" xr:uid="{3873E652-A90A-4FCE-A931-BACBCBFE5588}"/>
    <cellStyle name="Currency 5 2 2 2 2 2 3 3" xfId="5469" xr:uid="{00000000-0005-0000-0000-0000770B0000}"/>
    <cellStyle name="Currency 5 2 2 2 2 2 3 3 2" xfId="13964" xr:uid="{0D986EBB-BE03-4BD9-8A54-E011F3D48A68}"/>
    <cellStyle name="Currency 5 2 2 2 2 2 3 4" xfId="9751" xr:uid="{6DC3AE81-D3AA-4102-83EF-3D4927A503E1}"/>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6522" xr:uid="{9FA5A47E-0CB5-4DBB-A617-D4DE4387FB66}"/>
    <cellStyle name="Currency 5 2 2 2 2 2 4 2 3" xfId="12309" xr:uid="{23645FF2-01C4-4552-8AE4-2E2DD7F1F8BB}"/>
    <cellStyle name="Currency 5 2 2 2 2 2 4 3" xfId="5882" xr:uid="{00000000-0005-0000-0000-00007B0B0000}"/>
    <cellStyle name="Currency 5 2 2 2 2 2 4 3 2" xfId="14377" xr:uid="{1E716B74-3737-4A0D-9E0A-9C950A9DF9EF}"/>
    <cellStyle name="Currency 5 2 2 2 2 2 4 4" xfId="10164" xr:uid="{0D0EAEA0-E499-4AD5-91DB-31EE4584B6D5}"/>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6935" xr:uid="{D3D7DADE-4536-4DDE-AE33-C0047F0256DE}"/>
    <cellStyle name="Currency 5 2 2 2 2 2 5 2 3" xfId="12722" xr:uid="{6144214C-2B4C-407F-806B-9000609D0954}"/>
    <cellStyle name="Currency 5 2 2 2 2 2 5 3" xfId="6295" xr:uid="{00000000-0005-0000-0000-00007F0B0000}"/>
    <cellStyle name="Currency 5 2 2 2 2 2 5 3 2" xfId="14790" xr:uid="{3D74871B-2A91-46EF-91EF-30420EA630DF}"/>
    <cellStyle name="Currency 5 2 2 2 2 2 5 4" xfId="10577" xr:uid="{35A409F9-BBFC-46B4-B865-0F9870A7FA98}"/>
    <cellStyle name="Currency 5 2 2 2 2 2 6" xfId="2424" xr:uid="{00000000-0005-0000-0000-0000800B0000}"/>
    <cellStyle name="Currency 5 2 2 2 2 2 6 2" xfId="6708" xr:uid="{00000000-0005-0000-0000-0000810B0000}"/>
    <cellStyle name="Currency 5 2 2 2 2 2 6 2 2" xfId="15203" xr:uid="{B4C7C656-B587-44D3-9939-01F25C2EB531}"/>
    <cellStyle name="Currency 5 2 2 2 2 2 6 3" xfId="10990" xr:uid="{CDBFF954-A1CB-48DC-A7F8-BA413BB3F06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5520" xr:uid="{6D2EE4F0-4E0C-40A5-AC3F-51760C3B84EA}"/>
    <cellStyle name="Currency 5 2 2 2 2 2 8 3" xfId="11307" xr:uid="{3A79B8BA-45A3-432E-BB3B-4D1A312A3B06}"/>
    <cellStyle name="Currency 5 2 2 2 2 2 9" xfId="4642" xr:uid="{00000000-0005-0000-0000-0000850B0000}"/>
    <cellStyle name="Currency 5 2 2 2 2 2 9 2" xfId="13138" xr:uid="{719627C2-D182-4CDB-836C-553528197C55}"/>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5695" xr:uid="{146C3115-6862-4FBE-AF7B-D4C62E052F55}"/>
    <cellStyle name="Currency 5 2 2 2 2 3 2 3" xfId="11482" xr:uid="{02DC041A-D6B9-4130-8D84-088E88F19B7A}"/>
    <cellStyle name="Currency 5 2 2 2 2 3 3" xfId="5055" xr:uid="{00000000-0005-0000-0000-0000890B0000}"/>
    <cellStyle name="Currency 5 2 2 2 2 3 3 2" xfId="13550" xr:uid="{EE0CA74B-F58F-4517-BE55-EFEC210C280E}"/>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108" xr:uid="{81E04AC5-B239-4AAF-A9FF-164749688FC8}"/>
    <cellStyle name="Currency 5 2 2 2 2 4 2 3" xfId="11895" xr:uid="{955989F2-6496-4B40-8867-A2F5A56BE058}"/>
    <cellStyle name="Currency 5 2 2 2 2 4 3" xfId="5468" xr:uid="{00000000-0005-0000-0000-00008D0B0000}"/>
    <cellStyle name="Currency 5 2 2 2 2 4 3 2" xfId="13963" xr:uid="{3D818D99-201B-41E8-B427-6473839A08DA}"/>
    <cellStyle name="Currency 5 2 2 2 2 4 4" xfId="9750" xr:uid="{35D4F611-CF62-48FA-B088-4BE9DB35912A}"/>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6521" xr:uid="{EFE30CFE-C371-45B5-8E16-E149E04474D4}"/>
    <cellStyle name="Currency 5 2 2 2 2 5 2 3" xfId="12308" xr:uid="{15277EC8-0445-4EF3-B2F7-2D369D283945}"/>
    <cellStyle name="Currency 5 2 2 2 2 5 3" xfId="5881" xr:uid="{00000000-0005-0000-0000-0000910B0000}"/>
    <cellStyle name="Currency 5 2 2 2 2 5 3 2" xfId="14376" xr:uid="{C0956584-B80F-4C15-AEC1-EE8319BEF63B}"/>
    <cellStyle name="Currency 5 2 2 2 2 5 4" xfId="10163" xr:uid="{091D5819-0A83-4023-B993-EA62C0ADC619}"/>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6934" xr:uid="{19ABD771-5853-4FD3-9802-91C3A5FA5BCF}"/>
    <cellStyle name="Currency 5 2 2 2 2 6 2 3" xfId="12721" xr:uid="{1D0DD80F-8863-4DF4-9C92-7E02EA330610}"/>
    <cellStyle name="Currency 5 2 2 2 2 6 3" xfId="6294" xr:uid="{00000000-0005-0000-0000-0000950B0000}"/>
    <cellStyle name="Currency 5 2 2 2 2 6 3 2" xfId="14789" xr:uid="{24976055-7FD2-4F61-896C-34532721C68D}"/>
    <cellStyle name="Currency 5 2 2 2 2 6 4" xfId="10576" xr:uid="{07C6C1BA-1D30-4595-B6EE-3E12D55005B3}"/>
    <cellStyle name="Currency 5 2 2 2 2 7" xfId="2423" xr:uid="{00000000-0005-0000-0000-0000960B0000}"/>
    <cellStyle name="Currency 5 2 2 2 2 7 2" xfId="6707" xr:uid="{00000000-0005-0000-0000-0000970B0000}"/>
    <cellStyle name="Currency 5 2 2 2 2 7 2 2" xfId="15202" xr:uid="{BBB5AAB4-2F2D-4F0D-912A-F347D8EA5CFA}"/>
    <cellStyle name="Currency 5 2 2 2 2 7 3" xfId="10989" xr:uid="{AA52CF31-BE30-40DC-9895-2FD4F7EB2F2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5519" xr:uid="{0F352769-BB57-4928-A7A6-F74D41756B2B}"/>
    <cellStyle name="Currency 5 2 2 2 2 9 3" xfId="11306" xr:uid="{3AEF8FFC-DAB2-4BC6-ACB0-CCBB7A281ECA}"/>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5697" xr:uid="{21B0D481-DF62-49F8-9143-320983A46865}"/>
    <cellStyle name="Currency 5 2 2 2 3 2 2 3" xfId="11484" xr:uid="{02519624-7BB4-408A-99DF-A2145BEFDD8F}"/>
    <cellStyle name="Currency 5 2 2 2 3 2 3" xfId="5057" xr:uid="{00000000-0005-0000-0000-00009F0B0000}"/>
    <cellStyle name="Currency 5 2 2 2 3 2 3 2" xfId="13552" xr:uid="{A4377FB3-6950-45D7-971C-FC754FC4C7A2}"/>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110" xr:uid="{C0E2CE35-22EA-45B4-BFD5-092ED98B7651}"/>
    <cellStyle name="Currency 5 2 2 2 3 3 2 3" xfId="11897" xr:uid="{A841536A-13B1-48F2-9325-BFF555A8B522}"/>
    <cellStyle name="Currency 5 2 2 2 3 3 3" xfId="5470" xr:uid="{00000000-0005-0000-0000-0000A30B0000}"/>
    <cellStyle name="Currency 5 2 2 2 3 3 3 2" xfId="13965" xr:uid="{4EBDCDCC-F369-45F6-AC1F-6154D112302C}"/>
    <cellStyle name="Currency 5 2 2 2 3 3 4" xfId="9752" xr:uid="{37FFC533-DAEA-42F3-91C9-2199040EE47F}"/>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6523" xr:uid="{6D7C915E-C03D-4F05-A26F-EE57DA9F0815}"/>
    <cellStyle name="Currency 5 2 2 2 3 4 2 3" xfId="12310" xr:uid="{360948AC-70A6-4C73-83B8-84688124C345}"/>
    <cellStyle name="Currency 5 2 2 2 3 4 3" xfId="5883" xr:uid="{00000000-0005-0000-0000-0000A70B0000}"/>
    <cellStyle name="Currency 5 2 2 2 3 4 3 2" xfId="14378" xr:uid="{91E24EDF-DA28-4881-ABF5-67C3ECB5E686}"/>
    <cellStyle name="Currency 5 2 2 2 3 4 4" xfId="10165" xr:uid="{5E211E94-A0F3-4535-BBCE-3F38C1B9480D}"/>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6936" xr:uid="{FFB5508F-83DF-4179-A3BB-45E2D59F3392}"/>
    <cellStyle name="Currency 5 2 2 2 3 5 2 3" xfId="12723" xr:uid="{79BA9460-1AAF-472C-B495-D26068231C02}"/>
    <cellStyle name="Currency 5 2 2 2 3 5 3" xfId="6296" xr:uid="{00000000-0005-0000-0000-0000AB0B0000}"/>
    <cellStyle name="Currency 5 2 2 2 3 5 3 2" xfId="14791" xr:uid="{AE0B6B02-F4D1-4EF9-BC65-0A1F839EF825}"/>
    <cellStyle name="Currency 5 2 2 2 3 5 4" xfId="10578" xr:uid="{51180D86-4392-45CB-840B-13F11D6F5C97}"/>
    <cellStyle name="Currency 5 2 2 2 3 6" xfId="2425" xr:uid="{00000000-0005-0000-0000-0000AC0B0000}"/>
    <cellStyle name="Currency 5 2 2 2 3 6 2" xfId="6709" xr:uid="{00000000-0005-0000-0000-0000AD0B0000}"/>
    <cellStyle name="Currency 5 2 2 2 3 6 2 2" xfId="15204" xr:uid="{F642EAE0-DF5C-47C5-920D-A09E4AA0009A}"/>
    <cellStyle name="Currency 5 2 2 2 3 6 3" xfId="10991" xr:uid="{45B720EE-614C-490B-B652-3D2D1377E4AE}"/>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5521" xr:uid="{22873CEF-290A-4B30-B938-A5659557BFDC}"/>
    <cellStyle name="Currency 5 2 2 2 3 8 3" xfId="11308" xr:uid="{B042E652-3E7A-4BFC-AA60-5AD2A71819D2}"/>
    <cellStyle name="Currency 5 2 2 2 3 9" xfId="4643" xr:uid="{00000000-0005-0000-0000-0000B10B0000}"/>
    <cellStyle name="Currency 5 2 2 2 3 9 2" xfId="13139" xr:uid="{70A8E5DD-3CC7-4ED4-9056-26D16E488EF6}"/>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5694" xr:uid="{48A96418-AAAC-494C-89B2-6A92BA7F58A2}"/>
    <cellStyle name="Currency 5 2 2 2 4 2 3" xfId="11481" xr:uid="{367D60FE-4CBD-43CD-A071-E46C86024ED6}"/>
    <cellStyle name="Currency 5 2 2 2 4 3" xfId="5054" xr:uid="{00000000-0005-0000-0000-0000B50B0000}"/>
    <cellStyle name="Currency 5 2 2 2 4 3 2" xfId="13549" xr:uid="{3B262026-CD77-4D1F-B686-0011F624990A}"/>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107" xr:uid="{3CB6ED95-94AA-457E-A69C-A86AB45CD1DB}"/>
    <cellStyle name="Currency 5 2 2 2 5 2 3" xfId="11894" xr:uid="{6766DF0A-801B-4B58-A92D-D5DEE766C663}"/>
    <cellStyle name="Currency 5 2 2 2 5 3" xfId="5467" xr:uid="{00000000-0005-0000-0000-0000B90B0000}"/>
    <cellStyle name="Currency 5 2 2 2 5 3 2" xfId="13962" xr:uid="{96CE8894-CD26-428A-B955-B12B6711CEDD}"/>
    <cellStyle name="Currency 5 2 2 2 5 4" xfId="9749" xr:uid="{CF9F5C14-B1C6-49FA-894A-8B3B753873AA}"/>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6520" xr:uid="{24B3F483-4071-445C-BE2C-43E198CC4F43}"/>
    <cellStyle name="Currency 5 2 2 2 6 2 3" xfId="12307" xr:uid="{46108AE9-3018-4913-9C5C-81A1D1D492BB}"/>
    <cellStyle name="Currency 5 2 2 2 6 3" xfId="5880" xr:uid="{00000000-0005-0000-0000-0000BD0B0000}"/>
    <cellStyle name="Currency 5 2 2 2 6 3 2" xfId="14375" xr:uid="{721F8C6C-5D75-40EA-BE52-8202424E5A00}"/>
    <cellStyle name="Currency 5 2 2 2 6 4" xfId="10162" xr:uid="{F14678C9-5833-4D47-A970-5CDFD790BC42}"/>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6933" xr:uid="{8B1769C9-4C73-426B-A27C-617F009263CB}"/>
    <cellStyle name="Currency 5 2 2 2 7 2 3" xfId="12720" xr:uid="{957C35EC-B6DA-4A6D-99AB-D464F46B9AA6}"/>
    <cellStyle name="Currency 5 2 2 2 7 3" xfId="6293" xr:uid="{00000000-0005-0000-0000-0000C10B0000}"/>
    <cellStyle name="Currency 5 2 2 2 7 3 2" xfId="14788" xr:uid="{FF4098E8-A889-4185-940A-B905FD00D22C}"/>
    <cellStyle name="Currency 5 2 2 2 7 4" xfId="10575" xr:uid="{0F013978-64D4-48F3-B2FC-E723F856C4D9}"/>
    <cellStyle name="Currency 5 2 2 2 8" xfId="2422" xr:uid="{00000000-0005-0000-0000-0000C20B0000}"/>
    <cellStyle name="Currency 5 2 2 2 8 2" xfId="6706" xr:uid="{00000000-0005-0000-0000-0000C30B0000}"/>
    <cellStyle name="Currency 5 2 2 2 8 2 2" xfId="15201" xr:uid="{2F522CD2-0326-48DC-86B0-94F79F93030B}"/>
    <cellStyle name="Currency 5 2 2 2 8 3" xfId="10988" xr:uid="{8EDDCBC0-CFD5-472F-A027-C86FB94BC303}"/>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140" xr:uid="{44D85FBB-095E-409E-BC91-3DE84A35411C}"/>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5699" xr:uid="{7F04A763-DFBB-43AB-9BA9-2A79A2AEB76E}"/>
    <cellStyle name="Currency 5 2 2 3 2 2 2 3" xfId="11486" xr:uid="{860FCFD9-5587-4BC5-9B66-90400BBCECC5}"/>
    <cellStyle name="Currency 5 2 2 3 2 2 3" xfId="5059" xr:uid="{00000000-0005-0000-0000-0000CB0B0000}"/>
    <cellStyle name="Currency 5 2 2 3 2 2 3 2" xfId="13554" xr:uid="{7E6241EF-4012-4C61-963B-97D1CD34D464}"/>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112" xr:uid="{87FA7441-1448-4809-A2C8-E4CD29F497BD}"/>
    <cellStyle name="Currency 5 2 2 3 2 3 2 3" xfId="11899" xr:uid="{13813808-F869-4C67-8ECB-DED6F9FC4092}"/>
    <cellStyle name="Currency 5 2 2 3 2 3 3" xfId="5472" xr:uid="{00000000-0005-0000-0000-0000CF0B0000}"/>
    <cellStyle name="Currency 5 2 2 3 2 3 3 2" xfId="13967" xr:uid="{161050FA-6B88-4F22-BD31-D5607B495167}"/>
    <cellStyle name="Currency 5 2 2 3 2 3 4" xfId="9754" xr:uid="{DF882960-5565-4597-8AE5-92311E9D5C8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6525" xr:uid="{EEA875CA-4FEF-4377-800A-F0CB6A0FA31A}"/>
    <cellStyle name="Currency 5 2 2 3 2 4 2 3" xfId="12312" xr:uid="{4D8184C7-971F-41E0-8817-8F4ABF70DED9}"/>
    <cellStyle name="Currency 5 2 2 3 2 4 3" xfId="5885" xr:uid="{00000000-0005-0000-0000-0000D30B0000}"/>
    <cellStyle name="Currency 5 2 2 3 2 4 3 2" xfId="14380" xr:uid="{F32B748B-87F8-4CEC-9869-63C7922CD8BA}"/>
    <cellStyle name="Currency 5 2 2 3 2 4 4" xfId="10167" xr:uid="{6FB4FE28-6822-4278-9576-E7228D8838F8}"/>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6938" xr:uid="{AA7159C8-3447-47AD-A25E-3E8E29A10905}"/>
    <cellStyle name="Currency 5 2 2 3 2 5 2 3" xfId="12725" xr:uid="{B44A4078-722C-4B1B-8F44-DF2091BFEE88}"/>
    <cellStyle name="Currency 5 2 2 3 2 5 3" xfId="6298" xr:uid="{00000000-0005-0000-0000-0000D70B0000}"/>
    <cellStyle name="Currency 5 2 2 3 2 5 3 2" xfId="14793" xr:uid="{21ADFAD4-2AF5-4145-8EE9-3BB7477EC8D1}"/>
    <cellStyle name="Currency 5 2 2 3 2 5 4" xfId="10580" xr:uid="{142DB686-89D4-4290-BA51-3A82BF05020E}"/>
    <cellStyle name="Currency 5 2 2 3 2 6" xfId="2427" xr:uid="{00000000-0005-0000-0000-0000D80B0000}"/>
    <cellStyle name="Currency 5 2 2 3 2 6 2" xfId="6711" xr:uid="{00000000-0005-0000-0000-0000D90B0000}"/>
    <cellStyle name="Currency 5 2 2 3 2 6 2 2" xfId="15206" xr:uid="{C4A012EC-A210-4F8F-B50D-3CC3E54F91A5}"/>
    <cellStyle name="Currency 5 2 2 3 2 6 3" xfId="10993" xr:uid="{3C0DF670-B4AD-4BF5-8B18-84F79F8746F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5523" xr:uid="{C566E21B-1CA8-40A0-81B6-6FFDB3E6A5B1}"/>
    <cellStyle name="Currency 5 2 2 3 2 8 3" xfId="11310" xr:uid="{A659919C-521F-4A75-BD65-D842EE3FFFD2}"/>
    <cellStyle name="Currency 5 2 2 3 2 9" xfId="4645" xr:uid="{00000000-0005-0000-0000-0000DD0B0000}"/>
    <cellStyle name="Currency 5 2 2 3 2 9 2" xfId="13141" xr:uid="{46538A77-49D6-4AD7-8D84-69F77687C44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5698" xr:uid="{EDBECB42-1965-4E09-8EB5-9E8ED7E86A90}"/>
    <cellStyle name="Currency 5 2 2 3 3 2 3" xfId="11485" xr:uid="{E6452F5F-7FB4-4965-B564-1F0DD5F0CAAB}"/>
    <cellStyle name="Currency 5 2 2 3 3 3" xfId="5058" xr:uid="{00000000-0005-0000-0000-0000E10B0000}"/>
    <cellStyle name="Currency 5 2 2 3 3 3 2" xfId="13553" xr:uid="{42A6E9DD-BC75-41E5-BE2F-EED31784867E}"/>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111" xr:uid="{856C202A-CECE-4EDA-9990-6BF3B54B7616}"/>
    <cellStyle name="Currency 5 2 2 3 4 2 3" xfId="11898" xr:uid="{0CECA585-3ECD-4E47-B1AE-C54553DF0D0F}"/>
    <cellStyle name="Currency 5 2 2 3 4 3" xfId="5471" xr:uid="{00000000-0005-0000-0000-0000E50B0000}"/>
    <cellStyle name="Currency 5 2 2 3 4 3 2" xfId="13966" xr:uid="{2006ABFD-7E73-4B72-9453-0507D90FCE17}"/>
    <cellStyle name="Currency 5 2 2 3 4 4" xfId="9753" xr:uid="{F724D37B-984F-4B60-91D6-56A19D2F21C3}"/>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6524" xr:uid="{2635131F-09AB-4F18-8A3B-BBB148C98B2D}"/>
    <cellStyle name="Currency 5 2 2 3 5 2 3" xfId="12311" xr:uid="{09455964-4F9D-428A-888A-FF10B498FBB3}"/>
    <cellStyle name="Currency 5 2 2 3 5 3" xfId="5884" xr:uid="{00000000-0005-0000-0000-0000E90B0000}"/>
    <cellStyle name="Currency 5 2 2 3 5 3 2" xfId="14379" xr:uid="{67342665-7D5A-4249-8865-B5B89DCF8ED6}"/>
    <cellStyle name="Currency 5 2 2 3 5 4" xfId="10166" xr:uid="{803667E7-8B2B-4BD1-B8A7-7CCFB833D139}"/>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6937" xr:uid="{1F0D77E8-C8E4-4EFC-9C10-4EF377DA82F1}"/>
    <cellStyle name="Currency 5 2 2 3 6 2 3" xfId="12724" xr:uid="{34D125F5-00C6-4721-9D50-6EE51F5DE96A}"/>
    <cellStyle name="Currency 5 2 2 3 6 3" xfId="6297" xr:uid="{00000000-0005-0000-0000-0000ED0B0000}"/>
    <cellStyle name="Currency 5 2 2 3 6 3 2" xfId="14792" xr:uid="{9CEEEB70-6C5E-4F0D-9B70-7D498306698D}"/>
    <cellStyle name="Currency 5 2 2 3 6 4" xfId="10579" xr:uid="{6A2170CE-1B7D-4D7F-888D-543A1D1ED867}"/>
    <cellStyle name="Currency 5 2 2 3 7" xfId="2426" xr:uid="{00000000-0005-0000-0000-0000EE0B0000}"/>
    <cellStyle name="Currency 5 2 2 3 7 2" xfId="6710" xr:uid="{00000000-0005-0000-0000-0000EF0B0000}"/>
    <cellStyle name="Currency 5 2 2 3 7 2 2" xfId="15205" xr:uid="{6BEB5AC1-751D-4D8B-9210-F1ED705E9646}"/>
    <cellStyle name="Currency 5 2 2 3 7 3" xfId="10992" xr:uid="{2248AE9E-CB8E-4721-BB27-B374AD05316F}"/>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5522" xr:uid="{2957D053-4E7C-48B2-8EA1-1949AE8109B3}"/>
    <cellStyle name="Currency 5 2 2 3 9 3" xfId="11309" xr:uid="{B1C2CCFA-7187-47F1-99B3-A49B8EF4ECC7}"/>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5700" xr:uid="{76285E48-7811-4E70-9B55-ED713663D6A3}"/>
    <cellStyle name="Currency 5 2 2 4 2 2 3" xfId="11487" xr:uid="{8E3322EE-005F-4571-8540-4790D528F96F}"/>
    <cellStyle name="Currency 5 2 2 4 2 3" xfId="5060" xr:uid="{00000000-0005-0000-0000-0000F70B0000}"/>
    <cellStyle name="Currency 5 2 2 4 2 3 2" xfId="13555" xr:uid="{265C1731-21A3-45A9-BC6E-650958DD3F48}"/>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113" xr:uid="{69BA076A-A504-494A-BE23-9C80511DF375}"/>
    <cellStyle name="Currency 5 2 2 4 3 2 3" xfId="11900" xr:uid="{EB97F323-C0BB-46E9-9C35-9411A42BE88F}"/>
    <cellStyle name="Currency 5 2 2 4 3 3" xfId="5473" xr:uid="{00000000-0005-0000-0000-0000FB0B0000}"/>
    <cellStyle name="Currency 5 2 2 4 3 3 2" xfId="13968" xr:uid="{C37B023D-D077-475B-B27F-4B5C246D2B91}"/>
    <cellStyle name="Currency 5 2 2 4 3 4" xfId="9755" xr:uid="{EA841BF6-5C6C-4098-8790-334ACA8947A9}"/>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6526" xr:uid="{78F44F1A-1E5C-4A10-96FD-A0B11F16447E}"/>
    <cellStyle name="Currency 5 2 2 4 4 2 3" xfId="12313" xr:uid="{4FBE6FA8-F264-423B-8311-833A75AC509C}"/>
    <cellStyle name="Currency 5 2 2 4 4 3" xfId="5886" xr:uid="{00000000-0005-0000-0000-0000FF0B0000}"/>
    <cellStyle name="Currency 5 2 2 4 4 3 2" xfId="14381" xr:uid="{481E8059-A393-4076-90AF-AE8A7D17833E}"/>
    <cellStyle name="Currency 5 2 2 4 4 4" xfId="10168" xr:uid="{E36AF5C7-1EAD-414F-8400-5FD3486A423E}"/>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6939" xr:uid="{0D162EBA-9DDC-49A6-AB13-642D134B6881}"/>
    <cellStyle name="Currency 5 2 2 4 5 2 3" xfId="12726" xr:uid="{C9B5F5AF-9841-4ED6-84DA-F1EA70FF8F9E}"/>
    <cellStyle name="Currency 5 2 2 4 5 3" xfId="6299" xr:uid="{00000000-0005-0000-0000-0000030C0000}"/>
    <cellStyle name="Currency 5 2 2 4 5 3 2" xfId="14794" xr:uid="{5E4DB8AF-5273-45BD-B5AA-E25F4257E55E}"/>
    <cellStyle name="Currency 5 2 2 4 5 4" xfId="10581" xr:uid="{351B461F-1C79-4F37-84D9-75FE4F39C314}"/>
    <cellStyle name="Currency 5 2 2 4 6" xfId="2428" xr:uid="{00000000-0005-0000-0000-0000040C0000}"/>
    <cellStyle name="Currency 5 2 2 4 6 2" xfId="6712" xr:uid="{00000000-0005-0000-0000-0000050C0000}"/>
    <cellStyle name="Currency 5 2 2 4 6 2 2" xfId="15207" xr:uid="{73F202C2-EFD5-447F-A17C-7A30E532B02A}"/>
    <cellStyle name="Currency 5 2 2 4 6 3" xfId="10994" xr:uid="{9FB28B0C-6EAC-4FBC-8DFD-47A08681F0C3}"/>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5524" xr:uid="{01166509-4190-4ADC-9AB1-DA94884FD2E0}"/>
    <cellStyle name="Currency 5 2 2 4 8 3" xfId="11311" xr:uid="{075C92C8-ED7B-4FE8-9878-ED0B5F39724F}"/>
    <cellStyle name="Currency 5 2 2 4 9" xfId="4646" xr:uid="{00000000-0005-0000-0000-0000090C0000}"/>
    <cellStyle name="Currency 5 2 2 4 9 2" xfId="13142" xr:uid="{0307F9CB-0D27-4E7E-8F6E-381E0FFB367B}"/>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5701" xr:uid="{2711635F-1E41-4FA3-936C-A0F8E359423D}"/>
    <cellStyle name="Currency 5 2 2 5 2 2 3" xfId="11488" xr:uid="{EC5C9644-2A1A-40B2-AF7D-7F7DE3425E28}"/>
    <cellStyle name="Currency 5 2 2 5 2 3" xfId="5061" xr:uid="{00000000-0005-0000-0000-00000E0C0000}"/>
    <cellStyle name="Currency 5 2 2 5 2 3 2" xfId="13556" xr:uid="{75129E3A-0D5A-4BD4-B710-5CC5081175EC}"/>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114" xr:uid="{6FDF72A2-FDEA-4846-93CD-EFBAB6A0A23E}"/>
    <cellStyle name="Currency 5 2 2 5 3 2 3" xfId="11901" xr:uid="{1967A919-B628-45AA-926A-35611231C103}"/>
    <cellStyle name="Currency 5 2 2 5 3 3" xfId="5474" xr:uid="{00000000-0005-0000-0000-0000120C0000}"/>
    <cellStyle name="Currency 5 2 2 5 3 3 2" xfId="13969" xr:uid="{EACCA74F-162C-4761-8DC6-4CB9C3B493D5}"/>
    <cellStyle name="Currency 5 2 2 5 3 4" xfId="9756" xr:uid="{F6731629-B8AE-48E5-B619-B30F64B104F5}"/>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6527" xr:uid="{AD52222F-7D15-411D-9C1E-BCBB1708726B}"/>
    <cellStyle name="Currency 5 2 2 5 4 2 3" xfId="12314" xr:uid="{09908E12-A82C-4D98-A34F-3F34B89D4C77}"/>
    <cellStyle name="Currency 5 2 2 5 4 3" xfId="5887" xr:uid="{00000000-0005-0000-0000-0000160C0000}"/>
    <cellStyle name="Currency 5 2 2 5 4 3 2" xfId="14382" xr:uid="{8B3BAD77-3C35-48DF-809E-81923DEDC8F6}"/>
    <cellStyle name="Currency 5 2 2 5 4 4" xfId="10169" xr:uid="{B3C06D78-83C9-4408-84BD-147ED8C141A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6940" xr:uid="{1E9C78D7-29A0-4BDE-AA91-D6F7E653EB88}"/>
    <cellStyle name="Currency 5 2 2 5 5 2 3" xfId="12727" xr:uid="{442F608F-2287-4D5B-8DEB-ED7A9B99A372}"/>
    <cellStyle name="Currency 5 2 2 5 5 3" xfId="6300" xr:uid="{00000000-0005-0000-0000-00001A0C0000}"/>
    <cellStyle name="Currency 5 2 2 5 5 3 2" xfId="14795" xr:uid="{7EC5C494-7D4D-41FC-8193-E5C0B9472685}"/>
    <cellStyle name="Currency 5 2 2 5 5 4" xfId="10582" xr:uid="{2EC79789-CD23-4FA9-9E16-19C7ADE05611}"/>
    <cellStyle name="Currency 5 2 2 5 6" xfId="2429" xr:uid="{00000000-0005-0000-0000-00001B0C0000}"/>
    <cellStyle name="Currency 5 2 2 5 6 2" xfId="6713" xr:uid="{00000000-0005-0000-0000-00001C0C0000}"/>
    <cellStyle name="Currency 5 2 2 5 6 2 2" xfId="15208" xr:uid="{9DCB60C4-AC73-4462-B17D-07F0072C796E}"/>
    <cellStyle name="Currency 5 2 2 5 6 3" xfId="10995" xr:uid="{C2EC384A-E181-43FA-B3D6-0780E596FEF1}"/>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5525" xr:uid="{5034810A-6600-4355-AC54-1F0828B8C85A}"/>
    <cellStyle name="Currency 5 2 2 5 8 3" xfId="11312" xr:uid="{75713003-E408-4481-A167-A511CED968F4}"/>
    <cellStyle name="Currency 5 2 2 5 9" xfId="4647" xr:uid="{00000000-0005-0000-0000-0000200C0000}"/>
    <cellStyle name="Currency 5 2 2 5 9 2" xfId="13143" xr:uid="{FAEE3E44-ED5E-4F36-A05C-8B74BFED27F9}"/>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144" xr:uid="{F1FE7F5D-4E8A-4FCB-AF0C-85E113BA66B7}"/>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5703" xr:uid="{BF9579D2-1A6D-4079-8FA0-7AA016A09958}"/>
    <cellStyle name="Currency 5 2 4 2 2 2 3" xfId="11490" xr:uid="{8E6E4F8B-23BC-4972-8A36-9D29F8A47C90}"/>
    <cellStyle name="Currency 5 2 4 2 2 3" xfId="5063" xr:uid="{00000000-0005-0000-0000-0000290C0000}"/>
    <cellStyle name="Currency 5 2 4 2 2 3 2" xfId="13558" xr:uid="{668EF011-2D02-4905-BD67-BDB160CEA9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116" xr:uid="{D4F94EAF-763D-419F-890B-0F44B67E9460}"/>
    <cellStyle name="Currency 5 2 4 2 3 2 3" xfId="11903" xr:uid="{548AB25F-095A-4C8D-92D7-9BF1AEFEFCE9}"/>
    <cellStyle name="Currency 5 2 4 2 3 3" xfId="5476" xr:uid="{00000000-0005-0000-0000-00002D0C0000}"/>
    <cellStyle name="Currency 5 2 4 2 3 3 2" xfId="13971" xr:uid="{FD448911-F36B-4A17-868C-C66B5FA73747}"/>
    <cellStyle name="Currency 5 2 4 2 3 4" xfId="9758" xr:uid="{CAB0CCA9-8544-4DC5-A31B-3EB4C241AABD}"/>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6529" xr:uid="{3607079C-D0DE-4666-A5A2-FDB561EDC203}"/>
    <cellStyle name="Currency 5 2 4 2 4 2 3" xfId="12316" xr:uid="{2824A9A0-79EA-47F7-83C2-DD0FC05BEB5A}"/>
    <cellStyle name="Currency 5 2 4 2 4 3" xfId="5889" xr:uid="{00000000-0005-0000-0000-0000310C0000}"/>
    <cellStyle name="Currency 5 2 4 2 4 3 2" xfId="14384" xr:uid="{9B8CFE5C-894A-4D0C-92DE-EA5DCD00E83F}"/>
    <cellStyle name="Currency 5 2 4 2 4 4" xfId="10171" xr:uid="{ADA77150-73AA-4F6B-9C72-DA334AE48DA8}"/>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6942" xr:uid="{90E70C1D-2C80-4754-AFA3-0C7616007E71}"/>
    <cellStyle name="Currency 5 2 4 2 5 2 3" xfId="12729" xr:uid="{F0807ECA-DC97-4296-919E-26CA84FEA097}"/>
    <cellStyle name="Currency 5 2 4 2 5 3" xfId="6302" xr:uid="{00000000-0005-0000-0000-0000350C0000}"/>
    <cellStyle name="Currency 5 2 4 2 5 3 2" xfId="14797" xr:uid="{D192EA43-D77A-4B09-A030-68E29EACDDBA}"/>
    <cellStyle name="Currency 5 2 4 2 5 4" xfId="10584" xr:uid="{5102A3A5-1241-4A8F-8ABC-2BBD3D39B6F3}"/>
    <cellStyle name="Currency 5 2 4 2 6" xfId="2431" xr:uid="{00000000-0005-0000-0000-0000360C0000}"/>
    <cellStyle name="Currency 5 2 4 2 6 2" xfId="6715" xr:uid="{00000000-0005-0000-0000-0000370C0000}"/>
    <cellStyle name="Currency 5 2 4 2 6 2 2" xfId="15210" xr:uid="{4F75E06C-E1C9-495A-8FE4-E995030FB985}"/>
    <cellStyle name="Currency 5 2 4 2 6 3" xfId="10997" xr:uid="{248F07AA-EBFF-4D9C-9FA0-F701DB8DDB9F}"/>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5527" xr:uid="{81C8D7C2-E4C3-4B0A-89A5-BFB337F2CEBF}"/>
    <cellStyle name="Currency 5 2 4 2 8 3" xfId="11314" xr:uid="{5DB9E8C6-368B-4F3C-B1E9-AFB14C5E1E47}"/>
    <cellStyle name="Currency 5 2 4 2 9" xfId="4649" xr:uid="{00000000-0005-0000-0000-00003B0C0000}"/>
    <cellStyle name="Currency 5 2 4 2 9 2" xfId="13145" xr:uid="{C9C6D101-35CF-4114-8490-38DA82134CBE}"/>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5702" xr:uid="{29B0775F-3005-4B2D-9873-96FD2214E9AD}"/>
    <cellStyle name="Currency 5 2 4 3 2 3" xfId="11489" xr:uid="{AC47E458-5733-433C-9EED-D4236845AC04}"/>
    <cellStyle name="Currency 5 2 4 3 3" xfId="5062" xr:uid="{00000000-0005-0000-0000-00003F0C0000}"/>
    <cellStyle name="Currency 5 2 4 3 3 2" xfId="13557" xr:uid="{405AA15D-983D-4C22-9BE3-733EED12FD2D}"/>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115" xr:uid="{9579594E-E931-44A0-97E5-67AC27F8D860}"/>
    <cellStyle name="Currency 5 2 4 4 2 3" xfId="11902" xr:uid="{1D328C92-0196-4498-A264-904301F166E3}"/>
    <cellStyle name="Currency 5 2 4 4 3" xfId="5475" xr:uid="{00000000-0005-0000-0000-0000430C0000}"/>
    <cellStyle name="Currency 5 2 4 4 3 2" xfId="13970" xr:uid="{25258D22-77DD-4C90-81C5-FE06B690E72B}"/>
    <cellStyle name="Currency 5 2 4 4 4" xfId="9757" xr:uid="{9AE8905A-76A7-4A55-8B55-39B7437E345F}"/>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6528" xr:uid="{7CADD3F6-99C0-46E7-8F56-A07F62029A17}"/>
    <cellStyle name="Currency 5 2 4 5 2 3" xfId="12315" xr:uid="{4E409963-B576-46AE-B902-1A6459EAE112}"/>
    <cellStyle name="Currency 5 2 4 5 3" xfId="5888" xr:uid="{00000000-0005-0000-0000-0000470C0000}"/>
    <cellStyle name="Currency 5 2 4 5 3 2" xfId="14383" xr:uid="{33AD0DF2-DC4D-482A-B7DF-A105065AFCF2}"/>
    <cellStyle name="Currency 5 2 4 5 4" xfId="10170" xr:uid="{F7B13139-8BC8-49E5-A2BB-F126C030EF56}"/>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6941" xr:uid="{4A5F4417-4CA7-483E-B8FF-622449EC65BD}"/>
    <cellStyle name="Currency 5 2 4 6 2 3" xfId="12728" xr:uid="{5788EFFF-07CE-4E3F-A965-B407E224ACF6}"/>
    <cellStyle name="Currency 5 2 4 6 3" xfId="6301" xr:uid="{00000000-0005-0000-0000-00004B0C0000}"/>
    <cellStyle name="Currency 5 2 4 6 3 2" xfId="14796" xr:uid="{0FF0EBFE-B7A2-4BEF-BB5F-060A09562CF5}"/>
    <cellStyle name="Currency 5 2 4 6 4" xfId="10583" xr:uid="{F7614E49-FC20-467A-BB2D-9BB50409C365}"/>
    <cellStyle name="Currency 5 2 4 7" xfId="2430" xr:uid="{00000000-0005-0000-0000-00004C0C0000}"/>
    <cellStyle name="Currency 5 2 4 7 2" xfId="6714" xr:uid="{00000000-0005-0000-0000-00004D0C0000}"/>
    <cellStyle name="Currency 5 2 4 7 2 2" xfId="15209" xr:uid="{90476C1B-B2E9-4C17-875A-A1239F8EA52D}"/>
    <cellStyle name="Currency 5 2 4 7 3" xfId="10996" xr:uid="{AA4E27E2-D0EA-49C8-8294-E18CB1BB08C5}"/>
    <cellStyle name="Currency 5 2 4 8" xfId="2727" xr:uid="{00000000-0005-0000-0000-00004E0C0000}"/>
    <cellStyle name="Currency 5 2 4 9" xfId="2808" xr:uid="{00000000-0005-0000-0000-00004F0C0000}"/>
    <cellStyle name="Currency 5 2 4 9 2" xfId="7031" xr:uid="{00000000-0005-0000-0000-0000500C0000}"/>
    <cellStyle name="Currency 5 2 4 9 2 2" xfId="15526" xr:uid="{1EF5ECB9-664D-47BC-B1D7-3DD660CE055B}"/>
    <cellStyle name="Currency 5 2 4 9 3" xfId="11313" xr:uid="{BA1B96E7-4554-47CA-B5AB-A73DCE67D8DE}"/>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5704" xr:uid="{3FBC671F-CE9A-417A-BFCE-4DDAFF7E3E0F}"/>
    <cellStyle name="Currency 5 2 5 2 2 3" xfId="11491" xr:uid="{7775FA8E-6434-4563-9630-735F2ADE5275}"/>
    <cellStyle name="Currency 5 2 5 2 3" xfId="5064" xr:uid="{00000000-0005-0000-0000-0000550C0000}"/>
    <cellStyle name="Currency 5 2 5 2 3 2" xfId="13559" xr:uid="{218BDC6C-FA9A-4A16-8033-9EA67F148038}"/>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117" xr:uid="{29DF16E7-6C2E-4DAD-8E75-27E4E8013FBD}"/>
    <cellStyle name="Currency 5 2 5 3 2 3" xfId="11904" xr:uid="{2D57D8D9-4261-47C4-BE1A-B5C7CFA57584}"/>
    <cellStyle name="Currency 5 2 5 3 3" xfId="5477" xr:uid="{00000000-0005-0000-0000-0000590C0000}"/>
    <cellStyle name="Currency 5 2 5 3 3 2" xfId="13972" xr:uid="{8408F394-2AEE-48FB-885E-87D5D4A0A5A2}"/>
    <cellStyle name="Currency 5 2 5 3 4" xfId="9759" xr:uid="{524A99EE-5D60-4B6C-ACB4-7FE262012BAB}"/>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6530" xr:uid="{04EF67AA-192E-48F9-BA01-7D2E97EFCEE3}"/>
    <cellStyle name="Currency 5 2 5 4 2 3" xfId="12317" xr:uid="{E5788AF9-D361-4140-A35A-217988AF98E8}"/>
    <cellStyle name="Currency 5 2 5 4 3" xfId="5890" xr:uid="{00000000-0005-0000-0000-00005D0C0000}"/>
    <cellStyle name="Currency 5 2 5 4 3 2" xfId="14385" xr:uid="{92ED81DF-51D8-4F5E-AC33-74387D7E1844}"/>
    <cellStyle name="Currency 5 2 5 4 4" xfId="10172" xr:uid="{78C6BB02-3A60-4F24-B51A-26AB4F3F07E0}"/>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6943" xr:uid="{566CE778-BF66-4816-9407-1B6312A3CBD2}"/>
    <cellStyle name="Currency 5 2 5 5 2 3" xfId="12730" xr:uid="{8FC8284F-691D-4C0A-904D-5A653E09A055}"/>
    <cellStyle name="Currency 5 2 5 5 3" xfId="6303" xr:uid="{00000000-0005-0000-0000-0000610C0000}"/>
    <cellStyle name="Currency 5 2 5 5 3 2" xfId="14798" xr:uid="{AF09866C-250F-4C86-A3D7-202C7511D591}"/>
    <cellStyle name="Currency 5 2 5 5 4" xfId="10585" xr:uid="{4831C245-CEB4-42DB-AD7F-E49ADDAFAF52}"/>
    <cellStyle name="Currency 5 2 5 6" xfId="2432" xr:uid="{00000000-0005-0000-0000-0000620C0000}"/>
    <cellStyle name="Currency 5 2 5 6 2" xfId="6716" xr:uid="{00000000-0005-0000-0000-0000630C0000}"/>
    <cellStyle name="Currency 5 2 5 6 2 2" xfId="15211" xr:uid="{4E38707E-CE65-48EC-B17D-BEC1F4986B7D}"/>
    <cellStyle name="Currency 5 2 5 6 3" xfId="10998" xr:uid="{55E38D52-6732-449A-B392-FEA8F2D61766}"/>
    <cellStyle name="Currency 5 2 5 7" xfId="2729" xr:uid="{00000000-0005-0000-0000-0000640C0000}"/>
    <cellStyle name="Currency 5 2 5 8" xfId="2810" xr:uid="{00000000-0005-0000-0000-0000650C0000}"/>
    <cellStyle name="Currency 5 2 5 8 2" xfId="7033" xr:uid="{00000000-0005-0000-0000-0000660C0000}"/>
    <cellStyle name="Currency 5 2 5 8 2 2" xfId="15528" xr:uid="{02478181-A0B6-4906-AE0B-979E947671D2}"/>
    <cellStyle name="Currency 5 2 5 8 3" xfId="11315" xr:uid="{7D43C8C6-F034-425A-8ED1-2681770342CF}"/>
    <cellStyle name="Currency 5 2 5 9" xfId="4650" xr:uid="{00000000-0005-0000-0000-0000670C0000}"/>
    <cellStyle name="Currency 5 2 5 9 2" xfId="13146" xr:uid="{007C47A8-FA40-47EC-B4FE-F8754CF428AF}"/>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5705" xr:uid="{6F0273F2-9B14-461C-8664-97CD6F4D133D}"/>
    <cellStyle name="Currency 5 2 6 2 2 3" xfId="11492" xr:uid="{89ED1C70-C49B-46CD-B61C-87FE4BFB043D}"/>
    <cellStyle name="Currency 5 2 6 2 3" xfId="5065" xr:uid="{00000000-0005-0000-0000-00006C0C0000}"/>
    <cellStyle name="Currency 5 2 6 2 3 2" xfId="13560" xr:uid="{B40EDBFB-13B4-4AAA-B738-4C32B676FFDD}"/>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118" xr:uid="{C8E00C5E-6DDE-49C2-A9FA-67629A84B2C1}"/>
    <cellStyle name="Currency 5 2 6 3 2 3" xfId="11905" xr:uid="{AE0AE1E9-F0DE-42F9-AF80-EC2CB6946774}"/>
    <cellStyle name="Currency 5 2 6 3 3" xfId="5478" xr:uid="{00000000-0005-0000-0000-0000700C0000}"/>
    <cellStyle name="Currency 5 2 6 3 3 2" xfId="13973" xr:uid="{5453CA9D-7D14-4964-8E3C-876E79DFF627}"/>
    <cellStyle name="Currency 5 2 6 3 4" xfId="9760" xr:uid="{AE3D33B8-420C-42C0-B8B0-2A6A6764345B}"/>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6531" xr:uid="{F15F86C8-61A3-452D-B00F-AF17A98BEEF1}"/>
    <cellStyle name="Currency 5 2 6 4 2 3" xfId="12318" xr:uid="{C374B61B-FDC0-4082-8D2C-A2B1A44AB528}"/>
    <cellStyle name="Currency 5 2 6 4 3" xfId="5891" xr:uid="{00000000-0005-0000-0000-0000740C0000}"/>
    <cellStyle name="Currency 5 2 6 4 3 2" xfId="14386" xr:uid="{0A39CBBD-194D-4190-A79B-763866F4554B}"/>
    <cellStyle name="Currency 5 2 6 4 4" xfId="10173" xr:uid="{2D113790-E0E6-403E-B164-63FF6CFCFE84}"/>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6944" xr:uid="{6C61F12D-7074-48A5-9D74-9C26472839FB}"/>
    <cellStyle name="Currency 5 2 6 5 2 3" xfId="12731" xr:uid="{9CCC4800-3B52-457D-85A4-03D281A8C2D2}"/>
    <cellStyle name="Currency 5 2 6 5 3" xfId="6304" xr:uid="{00000000-0005-0000-0000-0000780C0000}"/>
    <cellStyle name="Currency 5 2 6 5 3 2" xfId="14799" xr:uid="{E155B7A0-6C6E-4337-91C0-BCAF084C2C59}"/>
    <cellStyle name="Currency 5 2 6 5 4" xfId="10586" xr:uid="{F64869EE-5831-4D19-93E3-F3741FC4DF33}"/>
    <cellStyle name="Currency 5 2 6 6" xfId="2433" xr:uid="{00000000-0005-0000-0000-0000790C0000}"/>
    <cellStyle name="Currency 5 2 6 6 2" xfId="6717" xr:uid="{00000000-0005-0000-0000-00007A0C0000}"/>
    <cellStyle name="Currency 5 2 6 6 2 2" xfId="15212" xr:uid="{AD8C0811-7D3F-46B0-A0DC-FFC607748D89}"/>
    <cellStyle name="Currency 5 2 6 6 3" xfId="10999" xr:uid="{73564DDD-565D-4A65-A9E7-E326653F3573}"/>
    <cellStyle name="Currency 5 2 6 7" xfId="2730" xr:uid="{00000000-0005-0000-0000-00007B0C0000}"/>
    <cellStyle name="Currency 5 2 6 8" xfId="2811" xr:uid="{00000000-0005-0000-0000-00007C0C0000}"/>
    <cellStyle name="Currency 5 2 6 8 2" xfId="7034" xr:uid="{00000000-0005-0000-0000-00007D0C0000}"/>
    <cellStyle name="Currency 5 2 6 8 2 2" xfId="15529" xr:uid="{47A6AECC-0088-4EA2-9187-DA9FC6EE4205}"/>
    <cellStyle name="Currency 5 2 6 8 3" xfId="11316" xr:uid="{A03E6208-BA46-47BA-A006-20E4312CF12B}"/>
    <cellStyle name="Currency 5 2 6 9" xfId="4651" xr:uid="{00000000-0005-0000-0000-00007E0C0000}"/>
    <cellStyle name="Currency 5 2 6 9 2" xfId="13147" xr:uid="{A61400F4-04E9-48B5-989C-7B240554766A}"/>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5530" xr:uid="{61FA01FF-BD18-4EC5-A66C-C972A40DF9EC}"/>
    <cellStyle name="Currency 5 3 2 10 3" xfId="11317" xr:uid="{E2368918-7667-4636-9963-39A8925C1C3E}"/>
    <cellStyle name="Currency 5 3 2 11" xfId="4652" xr:uid="{00000000-0005-0000-0000-0000840C0000}"/>
    <cellStyle name="Currency 5 3 2 11 2" xfId="13148" xr:uid="{3BE2AC2E-74AB-4749-AFF4-780522792BCA}"/>
    <cellStyle name="Currency 5 3 2 12" xfId="8810" xr:uid="{C5234FF9-D509-4CD8-ADA1-D3604CCF3D1F}"/>
    <cellStyle name="Currency 5 3 2 2" xfId="211" xr:uid="{00000000-0005-0000-0000-0000850C0000}"/>
    <cellStyle name="Currency 5 3 2 2 10" xfId="4653" xr:uid="{00000000-0005-0000-0000-0000860C0000}"/>
    <cellStyle name="Currency 5 3 2 2 10 2" xfId="13149" xr:uid="{EE9E6EF5-AAEF-4D5D-B522-9117BFD75258}"/>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5708" xr:uid="{E819DF36-24FB-403C-BA5E-D28A3C6A381F}"/>
    <cellStyle name="Currency 5 3 2 2 2 2 2 3" xfId="11495" xr:uid="{AEEA7C3B-79B3-45A9-ACF7-2E67B3AC25E5}"/>
    <cellStyle name="Currency 5 3 2 2 2 2 3" xfId="5068" xr:uid="{00000000-0005-0000-0000-00008B0C0000}"/>
    <cellStyle name="Currency 5 3 2 2 2 2 3 2" xfId="13563" xr:uid="{D9B2FCCC-04B3-4D52-B073-ED5A607E7BF8}"/>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121" xr:uid="{3CBB2F44-1ED3-4E3C-8353-3E069B57A903}"/>
    <cellStyle name="Currency 5 3 2 2 2 3 2 3" xfId="11908" xr:uid="{C32E5599-6A9B-4559-B80A-B08CAE0D65D2}"/>
    <cellStyle name="Currency 5 3 2 2 2 3 3" xfId="5481" xr:uid="{00000000-0005-0000-0000-00008F0C0000}"/>
    <cellStyle name="Currency 5 3 2 2 2 3 3 2" xfId="13976" xr:uid="{DDE1E557-CDE1-4DCB-A3ED-764C84BCEE37}"/>
    <cellStyle name="Currency 5 3 2 2 2 3 4" xfId="9763" xr:uid="{507CC208-7C7C-4480-A97B-4B0CCFDE5CE7}"/>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6534" xr:uid="{8B5B7665-2D47-44ED-8FB1-48DA62E0E99E}"/>
    <cellStyle name="Currency 5 3 2 2 2 4 2 3" xfId="12321" xr:uid="{A1AC4DA4-0081-4CDF-9D93-AC184A4DC41C}"/>
    <cellStyle name="Currency 5 3 2 2 2 4 3" xfId="5894" xr:uid="{00000000-0005-0000-0000-0000930C0000}"/>
    <cellStyle name="Currency 5 3 2 2 2 4 3 2" xfId="14389" xr:uid="{2352BE0D-6DE7-471A-960B-A9426DA1D954}"/>
    <cellStyle name="Currency 5 3 2 2 2 4 4" xfId="10176" xr:uid="{FD060346-DB4B-4561-B469-4000C1FA3806}"/>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6947" xr:uid="{151E962A-EFE9-46DE-9A28-6027BE9823D1}"/>
    <cellStyle name="Currency 5 3 2 2 2 5 2 3" xfId="12734" xr:uid="{A0881AD2-9634-414F-B46F-F8B1BF761F10}"/>
    <cellStyle name="Currency 5 3 2 2 2 5 3" xfId="6307" xr:uid="{00000000-0005-0000-0000-0000970C0000}"/>
    <cellStyle name="Currency 5 3 2 2 2 5 3 2" xfId="14802" xr:uid="{62B78D8E-97B4-4543-9024-BA6ED7EF8BC0}"/>
    <cellStyle name="Currency 5 3 2 2 2 5 4" xfId="10589" xr:uid="{F6F1D2A2-C59F-4DC3-A815-5D45960F809B}"/>
    <cellStyle name="Currency 5 3 2 2 2 6" xfId="2436" xr:uid="{00000000-0005-0000-0000-0000980C0000}"/>
    <cellStyle name="Currency 5 3 2 2 2 6 2" xfId="6720" xr:uid="{00000000-0005-0000-0000-0000990C0000}"/>
    <cellStyle name="Currency 5 3 2 2 2 6 2 2" xfId="15215" xr:uid="{7E24CD3A-02B9-4384-AB26-9F3D4FE24B90}"/>
    <cellStyle name="Currency 5 3 2 2 2 6 3" xfId="11002" xr:uid="{CB3B81EF-71EA-4195-B402-AD8D878E6AC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5532" xr:uid="{C549366F-B4A1-4F8F-84BF-608CDB8C9A00}"/>
    <cellStyle name="Currency 5 3 2 2 2 8 3" xfId="11319" xr:uid="{6815C883-F2CF-4870-B0FF-D81044E7F3C8}"/>
    <cellStyle name="Currency 5 3 2 2 2 9" xfId="4654" xr:uid="{00000000-0005-0000-0000-00009D0C0000}"/>
    <cellStyle name="Currency 5 3 2 2 2 9 2" xfId="13150" xr:uid="{04CBEF2D-6C3D-4B01-B177-16E77CAF3D7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5707" xr:uid="{2E05E2DA-F0EA-433B-96A7-852AC6BE2B98}"/>
    <cellStyle name="Currency 5 3 2 2 3 2 3" xfId="11494" xr:uid="{C6278A7F-F826-412B-B0D6-AE4295113CC5}"/>
    <cellStyle name="Currency 5 3 2 2 3 3" xfId="5067" xr:uid="{00000000-0005-0000-0000-0000A10C0000}"/>
    <cellStyle name="Currency 5 3 2 2 3 3 2" xfId="13562" xr:uid="{3FCED32B-235C-4CDF-9C52-07A5B54B7474}"/>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120" xr:uid="{EC4EB796-B49F-488E-B33C-3AE7A96E397B}"/>
    <cellStyle name="Currency 5 3 2 2 4 2 3" xfId="11907" xr:uid="{60C14218-6EE0-440C-BC72-72E1124B54ED}"/>
    <cellStyle name="Currency 5 3 2 2 4 3" xfId="5480" xr:uid="{00000000-0005-0000-0000-0000A50C0000}"/>
    <cellStyle name="Currency 5 3 2 2 4 3 2" xfId="13975" xr:uid="{4AC15102-E428-4F98-AED9-05CBB206094B}"/>
    <cellStyle name="Currency 5 3 2 2 4 4" xfId="9762" xr:uid="{1AFACE73-4D32-4E2D-90CA-6F0661BE806B}"/>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6533" xr:uid="{64F9FD95-F507-4601-B88C-0645F5329252}"/>
    <cellStyle name="Currency 5 3 2 2 5 2 3" xfId="12320" xr:uid="{E48FC9ED-CA97-4111-8CDB-9D84E7CA72F0}"/>
    <cellStyle name="Currency 5 3 2 2 5 3" xfId="5893" xr:uid="{00000000-0005-0000-0000-0000A90C0000}"/>
    <cellStyle name="Currency 5 3 2 2 5 3 2" xfId="14388" xr:uid="{F938A980-0835-458C-A013-FF9EF41510C3}"/>
    <cellStyle name="Currency 5 3 2 2 5 4" xfId="10175" xr:uid="{754096E0-342F-4FEE-86E1-090807096339}"/>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6946" xr:uid="{BFF0D805-7A5B-4A4B-BE71-5D080D53D8ED}"/>
    <cellStyle name="Currency 5 3 2 2 6 2 3" xfId="12733" xr:uid="{FBB6D8E9-54B0-466B-A2B9-59308A36335F}"/>
    <cellStyle name="Currency 5 3 2 2 6 3" xfId="6306" xr:uid="{00000000-0005-0000-0000-0000AD0C0000}"/>
    <cellStyle name="Currency 5 3 2 2 6 3 2" xfId="14801" xr:uid="{7D2B4883-3AF1-4B52-8404-A1B8F3AE50FD}"/>
    <cellStyle name="Currency 5 3 2 2 6 4" xfId="10588" xr:uid="{66A7A850-94BB-45A3-AAFB-643F3081EBFC}"/>
    <cellStyle name="Currency 5 3 2 2 7" xfId="2435" xr:uid="{00000000-0005-0000-0000-0000AE0C0000}"/>
    <cellStyle name="Currency 5 3 2 2 7 2" xfId="6719" xr:uid="{00000000-0005-0000-0000-0000AF0C0000}"/>
    <cellStyle name="Currency 5 3 2 2 7 2 2" xfId="15214" xr:uid="{DDBA5B64-55C4-46FA-B125-167155002267}"/>
    <cellStyle name="Currency 5 3 2 2 7 3" xfId="11001" xr:uid="{AB3F219F-28D1-4B73-B0C6-C7BCBBD8FD53}"/>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5531" xr:uid="{55F31EF4-7184-41C8-83BC-F91924825973}"/>
    <cellStyle name="Currency 5 3 2 2 9 3" xfId="11318" xr:uid="{AC5B57EF-CD24-4897-B36E-FAD16FF6D5E7}"/>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5709" xr:uid="{0ABAFF9D-6A5E-4A6F-9B25-95ACBD372ADD}"/>
    <cellStyle name="Currency 5 3 2 3 2 2 3" xfId="11496" xr:uid="{635C1D5A-D114-4EEF-BFC1-4DECAD353EF4}"/>
    <cellStyle name="Currency 5 3 2 3 2 3" xfId="5069" xr:uid="{00000000-0005-0000-0000-0000B70C0000}"/>
    <cellStyle name="Currency 5 3 2 3 2 3 2" xfId="13564" xr:uid="{2A86CF53-46FA-4DED-A77A-D694163BA88A}"/>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122" xr:uid="{142A41D9-DBFD-4E14-87B0-22454BC35259}"/>
    <cellStyle name="Currency 5 3 2 3 3 2 3" xfId="11909" xr:uid="{05ED5832-C0D8-4E65-AF97-08D11A321485}"/>
    <cellStyle name="Currency 5 3 2 3 3 3" xfId="5482" xr:uid="{00000000-0005-0000-0000-0000BB0C0000}"/>
    <cellStyle name="Currency 5 3 2 3 3 3 2" xfId="13977" xr:uid="{56711EFB-9AFA-46D2-8787-AC2BCDDFB779}"/>
    <cellStyle name="Currency 5 3 2 3 3 4" xfId="9764" xr:uid="{3BFCF825-54F5-4470-B363-BEACC90EBB42}"/>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6535" xr:uid="{23423F63-5BA8-424C-A9BA-A1391430CB5E}"/>
    <cellStyle name="Currency 5 3 2 3 4 2 3" xfId="12322" xr:uid="{697CA1CA-7E44-4D20-AB8B-99244F0C327B}"/>
    <cellStyle name="Currency 5 3 2 3 4 3" xfId="5895" xr:uid="{00000000-0005-0000-0000-0000BF0C0000}"/>
    <cellStyle name="Currency 5 3 2 3 4 3 2" xfId="14390" xr:uid="{CCF26910-7309-4073-B4C0-7435BD1B973B}"/>
    <cellStyle name="Currency 5 3 2 3 4 4" xfId="10177" xr:uid="{6897AABC-2CFA-4379-A0AC-29C18D704671}"/>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6948" xr:uid="{058529A4-5EE5-4D21-BAEC-08E315386A33}"/>
    <cellStyle name="Currency 5 3 2 3 5 2 3" xfId="12735" xr:uid="{0DE25CF8-BAC6-4406-8F5E-EDCD8611C237}"/>
    <cellStyle name="Currency 5 3 2 3 5 3" xfId="6308" xr:uid="{00000000-0005-0000-0000-0000C30C0000}"/>
    <cellStyle name="Currency 5 3 2 3 5 3 2" xfId="14803" xr:uid="{00A64D11-3D4B-4A51-892A-C5D017FE4327}"/>
    <cellStyle name="Currency 5 3 2 3 5 4" xfId="10590" xr:uid="{4761E15B-B53A-4162-8244-4FC5FFF8C930}"/>
    <cellStyle name="Currency 5 3 2 3 6" xfId="2437" xr:uid="{00000000-0005-0000-0000-0000C40C0000}"/>
    <cellStyle name="Currency 5 3 2 3 6 2" xfId="6721" xr:uid="{00000000-0005-0000-0000-0000C50C0000}"/>
    <cellStyle name="Currency 5 3 2 3 6 2 2" xfId="15216" xr:uid="{2D280195-99CB-41AC-B114-FA94F74A5D63}"/>
    <cellStyle name="Currency 5 3 2 3 6 3" xfId="11003" xr:uid="{D5316C8E-B260-4E01-B26F-623E258A58A8}"/>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5533" xr:uid="{AAB10CDB-E632-4C25-8B63-EF652F2F9559}"/>
    <cellStyle name="Currency 5 3 2 3 8 3" xfId="11320" xr:uid="{6017054D-C374-4543-8863-009297D3B17D}"/>
    <cellStyle name="Currency 5 3 2 3 9" xfId="4655" xr:uid="{00000000-0005-0000-0000-0000C90C0000}"/>
    <cellStyle name="Currency 5 3 2 3 9 2" xfId="13151" xr:uid="{810981C8-CC8E-4129-AD41-5BE43129917A}"/>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5706" xr:uid="{9CCE35C7-A185-4D8F-BE3D-A6203ED6106E}"/>
    <cellStyle name="Currency 5 3 2 4 2 3" xfId="11493" xr:uid="{2314FAC3-2EE6-41E3-A478-3977AAE44451}"/>
    <cellStyle name="Currency 5 3 2 4 3" xfId="5066" xr:uid="{00000000-0005-0000-0000-0000CD0C0000}"/>
    <cellStyle name="Currency 5 3 2 4 3 2" xfId="13561" xr:uid="{ADD9B69E-C8A1-4900-84FD-C9BB1AAEE82B}"/>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119" xr:uid="{6D1FC9B9-3E3A-4C4D-AFCE-BD73889A47BC}"/>
    <cellStyle name="Currency 5 3 2 5 2 3" xfId="11906" xr:uid="{49D153C3-DC63-41EE-BE4C-ABE8383A85D8}"/>
    <cellStyle name="Currency 5 3 2 5 3" xfId="5479" xr:uid="{00000000-0005-0000-0000-0000D10C0000}"/>
    <cellStyle name="Currency 5 3 2 5 3 2" xfId="13974" xr:uid="{2657CEAC-0DA5-46A9-8677-74E5521AA739}"/>
    <cellStyle name="Currency 5 3 2 5 4" xfId="9761" xr:uid="{8D582FEF-DC6E-4933-8838-F2EDABE52F2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6532" xr:uid="{569CD50B-E231-41A6-802C-ED0AAF2482F0}"/>
    <cellStyle name="Currency 5 3 2 6 2 3" xfId="12319" xr:uid="{CEB7B78C-A626-4FF3-BF3E-968D3FBB0352}"/>
    <cellStyle name="Currency 5 3 2 6 3" xfId="5892" xr:uid="{00000000-0005-0000-0000-0000D50C0000}"/>
    <cellStyle name="Currency 5 3 2 6 3 2" xfId="14387" xr:uid="{C87A9AFF-4135-429F-B21D-E39D08EDE6BB}"/>
    <cellStyle name="Currency 5 3 2 6 4" xfId="10174" xr:uid="{583438DC-EDFF-4193-AD5F-EBFAEFC6F862}"/>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6945" xr:uid="{133F05B2-44B0-4C77-97B1-B31AD90D60D0}"/>
    <cellStyle name="Currency 5 3 2 7 2 3" xfId="12732" xr:uid="{6E5108A3-84D3-4CAF-89EB-0551ECB38647}"/>
    <cellStyle name="Currency 5 3 2 7 3" xfId="6305" xr:uid="{00000000-0005-0000-0000-0000D90C0000}"/>
    <cellStyle name="Currency 5 3 2 7 3 2" xfId="14800" xr:uid="{76656FAD-11AC-40D8-A3A4-2B3135FA9A7A}"/>
    <cellStyle name="Currency 5 3 2 7 4" xfId="10587" xr:uid="{E044C934-96ED-46FA-9D20-0615AD28E446}"/>
    <cellStyle name="Currency 5 3 2 8" xfId="2434" xr:uid="{00000000-0005-0000-0000-0000DA0C0000}"/>
    <cellStyle name="Currency 5 3 2 8 2" xfId="6718" xr:uid="{00000000-0005-0000-0000-0000DB0C0000}"/>
    <cellStyle name="Currency 5 3 2 8 2 2" xfId="15213" xr:uid="{ACAAB2F9-3403-45A9-92E1-A8AEF35A2602}"/>
    <cellStyle name="Currency 5 3 2 8 3" xfId="11000" xr:uid="{BF63BF2C-A598-4B44-AE2C-308BE81F9692}"/>
    <cellStyle name="Currency 5 3 2 9" xfId="2731" xr:uid="{00000000-0005-0000-0000-0000DC0C0000}"/>
    <cellStyle name="Currency 5 3 3" xfId="214" xr:uid="{00000000-0005-0000-0000-0000DD0C0000}"/>
    <cellStyle name="Currency 5 3 3 10" xfId="4656" xr:uid="{00000000-0005-0000-0000-0000DE0C0000}"/>
    <cellStyle name="Currency 5 3 3 10 2" xfId="13152" xr:uid="{2FAB4BFF-E18D-452B-B759-867666E0E171}"/>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5711" xr:uid="{92690F22-DC11-4626-81B8-A58C3C79501D}"/>
    <cellStyle name="Currency 5 3 3 2 2 2 3" xfId="11498" xr:uid="{2015F7F6-8D47-4B58-BE74-7167EB3E716C}"/>
    <cellStyle name="Currency 5 3 3 2 2 3" xfId="5071" xr:uid="{00000000-0005-0000-0000-0000E30C0000}"/>
    <cellStyle name="Currency 5 3 3 2 2 3 2" xfId="13566" xr:uid="{877F85C6-90CF-42C5-88A4-0FF3DBD96077}"/>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124" xr:uid="{8D18FB1C-984B-419E-8104-8CDF7BA54CF4}"/>
    <cellStyle name="Currency 5 3 3 2 3 2 3" xfId="11911" xr:uid="{50D83BCB-95B5-4792-9A52-59776BA2A337}"/>
    <cellStyle name="Currency 5 3 3 2 3 3" xfId="5484" xr:uid="{00000000-0005-0000-0000-0000E70C0000}"/>
    <cellStyle name="Currency 5 3 3 2 3 3 2" xfId="13979" xr:uid="{665FCDBA-5784-4192-82DD-A2E1A8B53CE3}"/>
    <cellStyle name="Currency 5 3 3 2 3 4" xfId="9766" xr:uid="{A8F87421-0780-46AA-A0A6-F846A640A035}"/>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6537" xr:uid="{B8054F60-4430-4FF7-A162-437467AB51E9}"/>
    <cellStyle name="Currency 5 3 3 2 4 2 3" xfId="12324" xr:uid="{1BD072BA-204F-40EC-923C-C668AFE2A078}"/>
    <cellStyle name="Currency 5 3 3 2 4 3" xfId="5897" xr:uid="{00000000-0005-0000-0000-0000EB0C0000}"/>
    <cellStyle name="Currency 5 3 3 2 4 3 2" xfId="14392" xr:uid="{54BE0B5C-7FEA-401D-80CC-6EE2AC1E5031}"/>
    <cellStyle name="Currency 5 3 3 2 4 4" xfId="10179" xr:uid="{AE4F3E53-6AC4-44A4-885E-634D4851B4FE}"/>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6950" xr:uid="{9A20480A-91E7-4AA2-841B-56E628411D40}"/>
    <cellStyle name="Currency 5 3 3 2 5 2 3" xfId="12737" xr:uid="{3FA3E1EF-9665-43EB-BDCD-791D8FDDF973}"/>
    <cellStyle name="Currency 5 3 3 2 5 3" xfId="6310" xr:uid="{00000000-0005-0000-0000-0000EF0C0000}"/>
    <cellStyle name="Currency 5 3 3 2 5 3 2" xfId="14805" xr:uid="{AC5E513A-973D-4D60-A898-9798E0D64111}"/>
    <cellStyle name="Currency 5 3 3 2 5 4" xfId="10592" xr:uid="{448DC503-4C5D-4F79-A4F2-4EBA2653DF83}"/>
    <cellStyle name="Currency 5 3 3 2 6" xfId="2439" xr:uid="{00000000-0005-0000-0000-0000F00C0000}"/>
    <cellStyle name="Currency 5 3 3 2 6 2" xfId="6723" xr:uid="{00000000-0005-0000-0000-0000F10C0000}"/>
    <cellStyle name="Currency 5 3 3 2 6 2 2" xfId="15218" xr:uid="{AB4EE18D-5DB6-4E82-ACC1-01D0942CE587}"/>
    <cellStyle name="Currency 5 3 3 2 6 3" xfId="11005" xr:uid="{28D14CF2-392F-4264-B256-18E00AD63CD2}"/>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5535" xr:uid="{3408BB8A-61CB-4AD4-9EC4-E637580F9E92}"/>
    <cellStyle name="Currency 5 3 3 2 8 3" xfId="11322" xr:uid="{12188C88-F47E-42F9-851F-484EDBE1AB9B}"/>
    <cellStyle name="Currency 5 3 3 2 9" xfId="4657" xr:uid="{00000000-0005-0000-0000-0000F50C0000}"/>
    <cellStyle name="Currency 5 3 3 2 9 2" xfId="13153" xr:uid="{E644970D-0EA5-40B3-AD92-C3CFCF5617D1}"/>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5710" xr:uid="{5FF1E1C6-7AA1-45B1-B29A-069310C84762}"/>
    <cellStyle name="Currency 5 3 3 3 2 3" xfId="11497" xr:uid="{34F8A998-1942-4972-9FF0-82A80FC1D280}"/>
    <cellStyle name="Currency 5 3 3 3 3" xfId="5070" xr:uid="{00000000-0005-0000-0000-0000F90C0000}"/>
    <cellStyle name="Currency 5 3 3 3 3 2" xfId="13565" xr:uid="{3CCA2C5D-43C2-4520-8465-91CA8D70638D}"/>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123" xr:uid="{4D545D99-E6B2-4FF0-8172-F7C508BE639E}"/>
    <cellStyle name="Currency 5 3 3 4 2 3" xfId="11910" xr:uid="{90B6B2FC-7ED8-4D54-9805-BC4A9E755D92}"/>
    <cellStyle name="Currency 5 3 3 4 3" xfId="5483" xr:uid="{00000000-0005-0000-0000-0000FD0C0000}"/>
    <cellStyle name="Currency 5 3 3 4 3 2" xfId="13978" xr:uid="{372431E7-21FB-47EB-99A9-59C209CC587B}"/>
    <cellStyle name="Currency 5 3 3 4 4" xfId="9765" xr:uid="{7EA36A0B-028A-44ED-85CE-ED47B9EB5A2E}"/>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6536" xr:uid="{DDC76673-53AF-4EDB-AF07-102C60A64FAF}"/>
    <cellStyle name="Currency 5 3 3 5 2 3" xfId="12323" xr:uid="{7ECA03E2-6898-4450-905A-8BF9C272D080}"/>
    <cellStyle name="Currency 5 3 3 5 3" xfId="5896" xr:uid="{00000000-0005-0000-0000-0000010D0000}"/>
    <cellStyle name="Currency 5 3 3 5 3 2" xfId="14391" xr:uid="{C931B05B-BF44-495E-81CC-ABCFADA6D931}"/>
    <cellStyle name="Currency 5 3 3 5 4" xfId="10178" xr:uid="{3F5E58AF-B143-4113-89FF-CE864A3B8FE5}"/>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6949" xr:uid="{B232E8DC-93F5-48B5-81CC-239C68B08EF9}"/>
    <cellStyle name="Currency 5 3 3 6 2 3" xfId="12736" xr:uid="{1C1E9EE6-66A2-4298-918E-18676952DBC9}"/>
    <cellStyle name="Currency 5 3 3 6 3" xfId="6309" xr:uid="{00000000-0005-0000-0000-0000050D0000}"/>
    <cellStyle name="Currency 5 3 3 6 3 2" xfId="14804" xr:uid="{C145EC48-8888-42F9-BA7B-50C15894ADEB}"/>
    <cellStyle name="Currency 5 3 3 6 4" xfId="10591" xr:uid="{B9587E51-7F49-4C81-99D7-472322DC9A2E}"/>
    <cellStyle name="Currency 5 3 3 7" xfId="2438" xr:uid="{00000000-0005-0000-0000-0000060D0000}"/>
    <cellStyle name="Currency 5 3 3 7 2" xfId="6722" xr:uid="{00000000-0005-0000-0000-0000070D0000}"/>
    <cellStyle name="Currency 5 3 3 7 2 2" xfId="15217" xr:uid="{A7DA4B6A-FCF3-4BBD-A9B6-0667328AC7CF}"/>
    <cellStyle name="Currency 5 3 3 7 3" xfId="11004" xr:uid="{D9EF8A57-2738-4032-88FF-5BDA84659CD4}"/>
    <cellStyle name="Currency 5 3 3 8" xfId="2735" xr:uid="{00000000-0005-0000-0000-0000080D0000}"/>
    <cellStyle name="Currency 5 3 3 9" xfId="2816" xr:uid="{00000000-0005-0000-0000-0000090D0000}"/>
    <cellStyle name="Currency 5 3 3 9 2" xfId="7039" xr:uid="{00000000-0005-0000-0000-00000A0D0000}"/>
    <cellStyle name="Currency 5 3 3 9 2 2" xfId="15534" xr:uid="{A19ACF53-76CF-41A7-B837-C3AAEEFA1D46}"/>
    <cellStyle name="Currency 5 3 3 9 3" xfId="11321" xr:uid="{111016C8-E76E-483A-971D-426B8324E193}"/>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5712" xr:uid="{2ED2752E-A0D6-4644-8485-69C11BE45C5B}"/>
    <cellStyle name="Currency 5 3 4 2 2 3" xfId="11499" xr:uid="{0E110697-FD5A-430E-B905-7B5B0320DB4E}"/>
    <cellStyle name="Currency 5 3 4 2 3" xfId="5072" xr:uid="{00000000-0005-0000-0000-00000F0D0000}"/>
    <cellStyle name="Currency 5 3 4 2 3 2" xfId="13567" xr:uid="{D84D8275-CD4E-4A21-9642-EF921739B2B9}"/>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125" xr:uid="{55148EFC-9F7E-4F3D-BB7E-9FED924A3D82}"/>
    <cellStyle name="Currency 5 3 4 3 2 3" xfId="11912" xr:uid="{4D27F1F6-258F-4D10-914E-677E6EADD4CD}"/>
    <cellStyle name="Currency 5 3 4 3 3" xfId="5485" xr:uid="{00000000-0005-0000-0000-0000130D0000}"/>
    <cellStyle name="Currency 5 3 4 3 3 2" xfId="13980" xr:uid="{34C8B33B-F69D-43B9-9A71-1EED2225571B}"/>
    <cellStyle name="Currency 5 3 4 3 4" xfId="9767" xr:uid="{217C8119-6387-4A20-889E-B9639F8CC7FB}"/>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6538" xr:uid="{2A3500ED-0039-4B45-81FA-620691ED4D77}"/>
    <cellStyle name="Currency 5 3 4 4 2 3" xfId="12325" xr:uid="{BE4DCC86-4188-4075-92A8-B114FE160398}"/>
    <cellStyle name="Currency 5 3 4 4 3" xfId="5898" xr:uid="{00000000-0005-0000-0000-0000170D0000}"/>
    <cellStyle name="Currency 5 3 4 4 3 2" xfId="14393" xr:uid="{7E5914B8-54FB-4388-8232-8055A54C5058}"/>
    <cellStyle name="Currency 5 3 4 4 4" xfId="10180" xr:uid="{7CAECBB9-E385-4397-B20C-93145BA1C71E}"/>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6951" xr:uid="{4FBBBE79-E99C-420D-9B75-1036415178A2}"/>
    <cellStyle name="Currency 5 3 4 5 2 3" xfId="12738" xr:uid="{2C2A8CA2-101D-4A4A-8EE7-0CB892C21C69}"/>
    <cellStyle name="Currency 5 3 4 5 3" xfId="6311" xr:uid="{00000000-0005-0000-0000-00001B0D0000}"/>
    <cellStyle name="Currency 5 3 4 5 3 2" xfId="14806" xr:uid="{7B45B741-7AAF-4516-9B03-F22DC9BFDFF4}"/>
    <cellStyle name="Currency 5 3 4 5 4" xfId="10593" xr:uid="{DC1CAABA-D052-4846-8CB1-54C50D5EDBA0}"/>
    <cellStyle name="Currency 5 3 4 6" xfId="2440" xr:uid="{00000000-0005-0000-0000-00001C0D0000}"/>
    <cellStyle name="Currency 5 3 4 6 2" xfId="6724" xr:uid="{00000000-0005-0000-0000-00001D0D0000}"/>
    <cellStyle name="Currency 5 3 4 6 2 2" xfId="15219" xr:uid="{2193C303-34F4-4701-B963-3E328BA73F25}"/>
    <cellStyle name="Currency 5 3 4 6 3" xfId="11006" xr:uid="{AB88A503-0153-49CB-98A0-E171FED7C1F9}"/>
    <cellStyle name="Currency 5 3 4 7" xfId="2737" xr:uid="{00000000-0005-0000-0000-00001E0D0000}"/>
    <cellStyle name="Currency 5 3 4 8" xfId="2818" xr:uid="{00000000-0005-0000-0000-00001F0D0000}"/>
    <cellStyle name="Currency 5 3 4 8 2" xfId="7041" xr:uid="{00000000-0005-0000-0000-0000200D0000}"/>
    <cellStyle name="Currency 5 3 4 8 2 2" xfId="15536" xr:uid="{B3467095-643D-4531-BA3D-A0D05EDEA3BA}"/>
    <cellStyle name="Currency 5 3 4 8 3" xfId="11323" xr:uid="{54E45F69-AEC8-4AEA-A68B-AA78D2FA7A11}"/>
    <cellStyle name="Currency 5 3 4 9" xfId="4658" xr:uid="{00000000-0005-0000-0000-0000210D0000}"/>
    <cellStyle name="Currency 5 3 4 9 2" xfId="13154" xr:uid="{9D2270CD-635B-4744-BA9E-6B971443BBEF}"/>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5713" xr:uid="{C99C3428-2060-49FF-A4E0-2A979AB0979F}"/>
    <cellStyle name="Currency 5 3 5 2 2 3" xfId="11500" xr:uid="{A8C1837C-3B7B-426B-BE39-41FBCD0F34C2}"/>
    <cellStyle name="Currency 5 3 5 2 3" xfId="5073" xr:uid="{00000000-0005-0000-0000-0000260D0000}"/>
    <cellStyle name="Currency 5 3 5 2 3 2" xfId="13568" xr:uid="{7599BDE6-1664-4010-8CA7-1A070B5D288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126" xr:uid="{952492D3-ECEE-432D-BF88-5F77EFB1C1F1}"/>
    <cellStyle name="Currency 5 3 5 3 2 3" xfId="11913" xr:uid="{159FC7E9-244E-48C7-9D3C-C2DF5AB8AA24}"/>
    <cellStyle name="Currency 5 3 5 3 3" xfId="5486" xr:uid="{00000000-0005-0000-0000-00002A0D0000}"/>
    <cellStyle name="Currency 5 3 5 3 3 2" xfId="13981" xr:uid="{ED24A05D-8FD7-4E7E-9FAF-98A54E80D2DA}"/>
    <cellStyle name="Currency 5 3 5 3 4" xfId="9768" xr:uid="{B1C37552-66AC-4877-94A8-34D5A10299FA}"/>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6539" xr:uid="{BCA38CAF-457B-4D57-B8A0-321F5E4F473F}"/>
    <cellStyle name="Currency 5 3 5 4 2 3" xfId="12326" xr:uid="{42E52B34-C506-474D-A9C5-7FAC27B45089}"/>
    <cellStyle name="Currency 5 3 5 4 3" xfId="5899" xr:uid="{00000000-0005-0000-0000-00002E0D0000}"/>
    <cellStyle name="Currency 5 3 5 4 3 2" xfId="14394" xr:uid="{0BBD96DC-C44E-4902-9457-F746FD8700EC}"/>
    <cellStyle name="Currency 5 3 5 4 4" xfId="10181" xr:uid="{6E7050D8-31BC-44ED-86AE-4E693A8FA9C9}"/>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6952" xr:uid="{E0830C70-39C8-44A1-8147-0D46632D2A25}"/>
    <cellStyle name="Currency 5 3 5 5 2 3" xfId="12739" xr:uid="{95FBBBDA-5B99-4723-8EED-AD3C736DFDDF}"/>
    <cellStyle name="Currency 5 3 5 5 3" xfId="6312" xr:uid="{00000000-0005-0000-0000-0000320D0000}"/>
    <cellStyle name="Currency 5 3 5 5 3 2" xfId="14807" xr:uid="{1F83E19E-D9ED-4EF0-A11D-5F3FACD8B551}"/>
    <cellStyle name="Currency 5 3 5 5 4" xfId="10594" xr:uid="{EA462453-BFA1-42D8-874D-28B5AE8862F0}"/>
    <cellStyle name="Currency 5 3 5 6" xfId="2441" xr:uid="{00000000-0005-0000-0000-0000330D0000}"/>
    <cellStyle name="Currency 5 3 5 6 2" xfId="6725" xr:uid="{00000000-0005-0000-0000-0000340D0000}"/>
    <cellStyle name="Currency 5 3 5 6 2 2" xfId="15220" xr:uid="{A3E51AF5-7A47-4C5C-8CEC-C203BD4A36C6}"/>
    <cellStyle name="Currency 5 3 5 6 3" xfId="11007" xr:uid="{FC9FD08F-93A1-4653-B5EF-1D9BCE48819C}"/>
    <cellStyle name="Currency 5 3 5 7" xfId="2738" xr:uid="{00000000-0005-0000-0000-0000350D0000}"/>
    <cellStyle name="Currency 5 3 5 8" xfId="2819" xr:uid="{00000000-0005-0000-0000-0000360D0000}"/>
    <cellStyle name="Currency 5 3 5 8 2" xfId="7042" xr:uid="{00000000-0005-0000-0000-0000370D0000}"/>
    <cellStyle name="Currency 5 3 5 8 2 2" xfId="15537" xr:uid="{15D26CED-77A9-415B-8814-3F8BFE9F11FB}"/>
    <cellStyle name="Currency 5 3 5 8 3" xfId="11324" xr:uid="{FD1B1FF6-254B-4036-B859-58D8CEA95A74}"/>
    <cellStyle name="Currency 5 3 5 9" xfId="4659" xr:uid="{00000000-0005-0000-0000-0000380D0000}"/>
    <cellStyle name="Currency 5 3 5 9 2" xfId="13155" xr:uid="{EBB3C9BB-54AC-48E6-A6B2-D6CE4828EB45}"/>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156" xr:uid="{2A0A362C-73DC-4830-964E-3B964C25795A}"/>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5715" xr:uid="{15D7E654-AA23-4A8C-ABB3-31E56AB7A475}"/>
    <cellStyle name="Currency 5 5 2 2 2 3" xfId="11502" xr:uid="{E27F582F-9B6B-44C4-9FE4-BDC7B29BE324}"/>
    <cellStyle name="Currency 5 5 2 2 3" xfId="5075" xr:uid="{00000000-0005-0000-0000-0000410D0000}"/>
    <cellStyle name="Currency 5 5 2 2 3 2" xfId="13570" xr:uid="{B979EACD-58D8-4177-B003-57BEE0F4EE2D}"/>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128" xr:uid="{6C1BE325-CBA4-4CF1-B36F-E293ACA81970}"/>
    <cellStyle name="Currency 5 5 2 3 2 3" xfId="11915" xr:uid="{6BFDC8CF-7F52-49DE-A861-FD76090CA9EF}"/>
    <cellStyle name="Currency 5 5 2 3 3" xfId="5488" xr:uid="{00000000-0005-0000-0000-0000450D0000}"/>
    <cellStyle name="Currency 5 5 2 3 3 2" xfId="13983" xr:uid="{936C32D8-2A82-4025-A012-0B5F5F7A7D60}"/>
    <cellStyle name="Currency 5 5 2 3 4" xfId="9770" xr:uid="{BDF3EF90-1731-4A50-B963-9B20AC8D2C9C}"/>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6541" xr:uid="{6B2D1FAA-998E-410F-80E9-58DD664A56FD}"/>
    <cellStyle name="Currency 5 5 2 4 2 3" xfId="12328" xr:uid="{106CB125-7FB8-4EF7-AB8D-303827485951}"/>
    <cellStyle name="Currency 5 5 2 4 3" xfId="5901" xr:uid="{00000000-0005-0000-0000-0000490D0000}"/>
    <cellStyle name="Currency 5 5 2 4 3 2" xfId="14396" xr:uid="{17D9B475-ED6E-40A0-92B4-07B9E7D61680}"/>
    <cellStyle name="Currency 5 5 2 4 4" xfId="10183" xr:uid="{60B39166-A2A9-4A7E-8289-C3DCE278667D}"/>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6954" xr:uid="{64998E6B-0218-4900-8D01-33E5B52FD632}"/>
    <cellStyle name="Currency 5 5 2 5 2 3" xfId="12741" xr:uid="{65056885-C2F9-4833-A37F-36AAD0D44814}"/>
    <cellStyle name="Currency 5 5 2 5 3" xfId="6314" xr:uid="{00000000-0005-0000-0000-00004D0D0000}"/>
    <cellStyle name="Currency 5 5 2 5 3 2" xfId="14809" xr:uid="{550B6B58-1374-498F-9BE4-12CA7F661D12}"/>
    <cellStyle name="Currency 5 5 2 5 4" xfId="10596" xr:uid="{BE9F3766-5873-40CD-94FB-31B45171496E}"/>
    <cellStyle name="Currency 5 5 2 6" xfId="2443" xr:uid="{00000000-0005-0000-0000-00004E0D0000}"/>
    <cellStyle name="Currency 5 5 2 6 2" xfId="6727" xr:uid="{00000000-0005-0000-0000-00004F0D0000}"/>
    <cellStyle name="Currency 5 5 2 6 2 2" xfId="15222" xr:uid="{0621DE9A-6324-4B62-8061-56C0A97E1661}"/>
    <cellStyle name="Currency 5 5 2 6 3" xfId="11009" xr:uid="{FD50ADB7-6D4D-499C-84E3-A3A1320CF869}"/>
    <cellStyle name="Currency 5 5 2 7" xfId="2740" xr:uid="{00000000-0005-0000-0000-0000500D0000}"/>
    <cellStyle name="Currency 5 5 2 8" xfId="2821" xr:uid="{00000000-0005-0000-0000-0000510D0000}"/>
    <cellStyle name="Currency 5 5 2 8 2" xfId="7044" xr:uid="{00000000-0005-0000-0000-0000520D0000}"/>
    <cellStyle name="Currency 5 5 2 8 2 2" xfId="15539" xr:uid="{1FFD363F-4223-4FAA-9713-C506F0F8EB78}"/>
    <cellStyle name="Currency 5 5 2 8 3" xfId="11326" xr:uid="{D9089AD3-AE00-4ABF-B072-C3DB6403CD4D}"/>
    <cellStyle name="Currency 5 5 2 9" xfId="4661" xr:uid="{00000000-0005-0000-0000-0000530D0000}"/>
    <cellStyle name="Currency 5 5 2 9 2" xfId="13157" xr:uid="{74733C29-51EB-4BF6-8A5F-686825756888}"/>
    <cellStyle name="Currency 5 5 3" xfId="745" xr:uid="{00000000-0005-0000-0000-0000540D0000}"/>
    <cellStyle name="Currency 5 5 3 2" xfId="2997" xr:uid="{00000000-0005-0000-0000-0000550D0000}"/>
    <cellStyle name="Currency 5 5 3 2 2" xfId="7219" xr:uid="{00000000-0005-0000-0000-0000560D0000}"/>
    <cellStyle name="Currency 5 5 3 2 2 2" xfId="15714" xr:uid="{B843DBCD-3758-4E6D-ABF5-9AB3A81FA21A}"/>
    <cellStyle name="Currency 5 5 3 2 3" xfId="11501" xr:uid="{F53808D6-AF3D-4C63-BAC9-AA4E89C07F20}"/>
    <cellStyle name="Currency 5 5 3 3" xfId="5074" xr:uid="{00000000-0005-0000-0000-0000570D0000}"/>
    <cellStyle name="Currency 5 5 3 3 2" xfId="13569" xr:uid="{970D95EE-3A8A-4135-A76A-0D842DB856A1}"/>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2 2 2" xfId="16127" xr:uid="{EF2FB7CB-C55A-4072-8971-669A7D152CAE}"/>
    <cellStyle name="Currency 5 5 4 2 3" xfId="11914" xr:uid="{38CF9126-7388-4938-900D-FFCB69661239}"/>
    <cellStyle name="Currency 5 5 4 3" xfId="5487" xr:uid="{00000000-0005-0000-0000-00005B0D0000}"/>
    <cellStyle name="Currency 5 5 4 3 2" xfId="13982" xr:uid="{6715CC09-00C4-40A3-96A3-4E380C1F78DB}"/>
    <cellStyle name="Currency 5 5 4 4" xfId="9769" xr:uid="{F5BACEFE-63BF-4DF4-8A45-203305167B04}"/>
    <cellStyle name="Currency 5 5 5" xfId="1593" xr:uid="{00000000-0005-0000-0000-00005C0D0000}"/>
    <cellStyle name="Currency 5 5 5 2" xfId="3823" xr:uid="{00000000-0005-0000-0000-00005D0D0000}"/>
    <cellStyle name="Currency 5 5 5 2 2" xfId="8045" xr:uid="{00000000-0005-0000-0000-00005E0D0000}"/>
    <cellStyle name="Currency 5 5 5 2 2 2" xfId="16540" xr:uid="{7A1D2DF1-9D0F-4248-8774-947461AA1029}"/>
    <cellStyle name="Currency 5 5 5 2 3" xfId="12327" xr:uid="{9180CA9A-C858-4234-8917-AA746A899DD2}"/>
    <cellStyle name="Currency 5 5 5 3" xfId="5900" xr:uid="{00000000-0005-0000-0000-00005F0D0000}"/>
    <cellStyle name="Currency 5 5 5 3 2" xfId="14395" xr:uid="{33C79A14-8055-48CB-B257-7FE80D4D99D1}"/>
    <cellStyle name="Currency 5 5 5 4" xfId="10182" xr:uid="{E5492D20-6347-4629-A333-14D3AD7B96D3}"/>
    <cellStyle name="Currency 5 5 6" xfId="2007" xr:uid="{00000000-0005-0000-0000-0000600D0000}"/>
    <cellStyle name="Currency 5 5 6 2" xfId="4236" xr:uid="{00000000-0005-0000-0000-0000610D0000}"/>
    <cellStyle name="Currency 5 5 6 2 2" xfId="8458" xr:uid="{00000000-0005-0000-0000-0000620D0000}"/>
    <cellStyle name="Currency 5 5 6 2 2 2" xfId="16953" xr:uid="{CBCA75B2-D357-4038-A614-7B949D2FB9C8}"/>
    <cellStyle name="Currency 5 5 6 2 3" xfId="12740" xr:uid="{13DCF83F-3423-41D8-B0F8-7FA8AD05B1B8}"/>
    <cellStyle name="Currency 5 5 6 3" xfId="6313" xr:uid="{00000000-0005-0000-0000-0000630D0000}"/>
    <cellStyle name="Currency 5 5 6 3 2" xfId="14808" xr:uid="{94F3B18A-D4F2-4F4A-8F4B-E57A4CEE227F}"/>
    <cellStyle name="Currency 5 5 6 4" xfId="10595" xr:uid="{ACFFC001-E050-4826-B8EC-800DC4E16D8E}"/>
    <cellStyle name="Currency 5 5 7" xfId="2442" xr:uid="{00000000-0005-0000-0000-0000640D0000}"/>
    <cellStyle name="Currency 5 5 7 2" xfId="6726" xr:uid="{00000000-0005-0000-0000-0000650D0000}"/>
    <cellStyle name="Currency 5 5 7 2 2" xfId="15221" xr:uid="{97F35868-0CB9-415F-BC5F-AA136BDD5615}"/>
    <cellStyle name="Currency 5 5 7 3" xfId="11008" xr:uid="{7D80DF93-FA69-4783-963E-66A91D9FFE49}"/>
    <cellStyle name="Currency 5 5 8" xfId="2739" xr:uid="{00000000-0005-0000-0000-0000660D0000}"/>
    <cellStyle name="Currency 5 5 9" xfId="2820" xr:uid="{00000000-0005-0000-0000-0000670D0000}"/>
    <cellStyle name="Currency 5 5 9 2" xfId="7043" xr:uid="{00000000-0005-0000-0000-0000680D0000}"/>
    <cellStyle name="Currency 5 5 9 2 2" xfId="15538" xr:uid="{F616057E-B98B-4777-BDC7-DA2BEBCE60FE}"/>
    <cellStyle name="Currency 5 5 9 3" xfId="11325" xr:uid="{0F0B4358-7E5E-4BD1-844F-264130D78475}"/>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2 2 2" xfId="15716" xr:uid="{8496F3AC-EF15-4848-BBA2-01C7CF9D4FA8}"/>
    <cellStyle name="Currency 5 6 2 2 3" xfId="11503" xr:uid="{A886997F-B85E-435F-AF7A-D955620E777E}"/>
    <cellStyle name="Currency 5 6 2 3" xfId="5076" xr:uid="{00000000-0005-0000-0000-00006D0D0000}"/>
    <cellStyle name="Currency 5 6 2 3 2" xfId="13571" xr:uid="{8033B47E-3CB4-491D-A54A-79D1BEFCF935}"/>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2 2 2" xfId="16129" xr:uid="{7915EACC-95E7-47FC-85CD-31FA9A5DFC39}"/>
    <cellStyle name="Currency 5 6 3 2 3" xfId="11916" xr:uid="{459B6B21-945B-4CA1-843A-B54A419BC434}"/>
    <cellStyle name="Currency 5 6 3 3" xfId="5489" xr:uid="{00000000-0005-0000-0000-0000710D0000}"/>
    <cellStyle name="Currency 5 6 3 3 2" xfId="13984" xr:uid="{38F48FE5-F9A7-46C6-95A8-DBE1E5866C95}"/>
    <cellStyle name="Currency 5 6 3 4" xfId="9771" xr:uid="{93F69902-D611-4583-B829-0AC70E8A3694}"/>
    <cellStyle name="Currency 5 6 4" xfId="1595" xr:uid="{00000000-0005-0000-0000-0000720D0000}"/>
    <cellStyle name="Currency 5 6 4 2" xfId="3825" xr:uid="{00000000-0005-0000-0000-0000730D0000}"/>
    <cellStyle name="Currency 5 6 4 2 2" xfId="8047" xr:uid="{00000000-0005-0000-0000-0000740D0000}"/>
    <cellStyle name="Currency 5 6 4 2 2 2" xfId="16542" xr:uid="{5363A931-53DA-48B7-9980-188F8921EB71}"/>
    <cellStyle name="Currency 5 6 4 2 3" xfId="12329" xr:uid="{AA110D34-EA30-4E45-ADEF-076862567A0F}"/>
    <cellStyle name="Currency 5 6 4 3" xfId="5902" xr:uid="{00000000-0005-0000-0000-0000750D0000}"/>
    <cellStyle name="Currency 5 6 4 3 2" xfId="14397" xr:uid="{16E64686-C922-4F9D-9F1E-C9FF77E96C90}"/>
    <cellStyle name="Currency 5 6 4 4" xfId="10184" xr:uid="{9016CC3A-EC86-410C-AA17-6DE6C369C33E}"/>
    <cellStyle name="Currency 5 6 5" xfId="2009" xr:uid="{00000000-0005-0000-0000-0000760D0000}"/>
    <cellStyle name="Currency 5 6 5 2" xfId="4238" xr:uid="{00000000-0005-0000-0000-0000770D0000}"/>
    <cellStyle name="Currency 5 6 5 2 2" xfId="8460" xr:uid="{00000000-0005-0000-0000-0000780D0000}"/>
    <cellStyle name="Currency 5 6 5 2 2 2" xfId="16955" xr:uid="{5D44C21F-15AB-442B-B01C-4B611E173065}"/>
    <cellStyle name="Currency 5 6 5 2 3" xfId="12742" xr:uid="{CFFB97C8-5059-4185-8BD6-35DA9E12C60F}"/>
    <cellStyle name="Currency 5 6 5 3" xfId="6315" xr:uid="{00000000-0005-0000-0000-0000790D0000}"/>
    <cellStyle name="Currency 5 6 5 3 2" xfId="14810" xr:uid="{1D3BF490-9A3F-4604-B4F2-F1258CBA52B2}"/>
    <cellStyle name="Currency 5 6 5 4" xfId="10597" xr:uid="{D7A122C9-0C2C-4D49-BE6B-570F5FBAF195}"/>
    <cellStyle name="Currency 5 6 6" xfId="2444" xr:uid="{00000000-0005-0000-0000-00007A0D0000}"/>
    <cellStyle name="Currency 5 6 6 2" xfId="6728" xr:uid="{00000000-0005-0000-0000-00007B0D0000}"/>
    <cellStyle name="Currency 5 6 6 2 2" xfId="15223" xr:uid="{E88942FC-20D5-466E-918E-91843C2AD1F7}"/>
    <cellStyle name="Currency 5 6 6 3" xfId="11010" xr:uid="{C97C34C7-0B5A-4DA4-A2DF-A7EE474BD360}"/>
    <cellStyle name="Currency 5 6 7" xfId="2741" xr:uid="{00000000-0005-0000-0000-00007C0D0000}"/>
    <cellStyle name="Currency 5 6 8" xfId="2822" xr:uid="{00000000-0005-0000-0000-00007D0D0000}"/>
    <cellStyle name="Currency 5 6 8 2" xfId="7045" xr:uid="{00000000-0005-0000-0000-00007E0D0000}"/>
    <cellStyle name="Currency 5 6 8 2 2" xfId="15540" xr:uid="{D8041772-6CA2-4EC4-9AEF-B8899400902E}"/>
    <cellStyle name="Currency 5 6 8 3" xfId="11327" xr:uid="{C97D9A18-BBD4-42E4-B97D-BBBB560FCBA4}"/>
    <cellStyle name="Currency 5 6 9" xfId="4662" xr:uid="{00000000-0005-0000-0000-00007F0D0000}"/>
    <cellStyle name="Currency 5 6 9 2" xfId="13158" xr:uid="{3DF8BF81-E12A-4975-9311-5112D6D2D839}"/>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2 2 2" xfId="15717" xr:uid="{280EB07E-EF43-42B4-A297-AF553880EF9A}"/>
    <cellStyle name="Currency 5 7 2 2 3" xfId="11504" xr:uid="{BA9EA337-6EE3-43B0-994D-D21576FE39F0}"/>
    <cellStyle name="Currency 5 7 2 3" xfId="5077" xr:uid="{00000000-0005-0000-0000-0000840D0000}"/>
    <cellStyle name="Currency 5 7 2 3 2" xfId="13572" xr:uid="{6309F57B-C4A5-4F37-B8C8-93B8326AD8C9}"/>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2 2 2" xfId="16130" xr:uid="{BE93B2CB-3B20-44DE-A238-A447784AE0F6}"/>
    <cellStyle name="Currency 5 7 3 2 3" xfId="11917" xr:uid="{565DE7DD-9DC7-4561-9E7C-8A451245489E}"/>
    <cellStyle name="Currency 5 7 3 3" xfId="5490" xr:uid="{00000000-0005-0000-0000-0000880D0000}"/>
    <cellStyle name="Currency 5 7 3 3 2" xfId="13985" xr:uid="{405F4AAD-1E50-4149-AE73-4235237D7C07}"/>
    <cellStyle name="Currency 5 7 3 4" xfId="9772" xr:uid="{375A2AB5-7A20-495D-B87B-489C1FA09BBF}"/>
    <cellStyle name="Currency 5 7 4" xfId="1596" xr:uid="{00000000-0005-0000-0000-0000890D0000}"/>
    <cellStyle name="Currency 5 7 4 2" xfId="3826" xr:uid="{00000000-0005-0000-0000-00008A0D0000}"/>
    <cellStyle name="Currency 5 7 4 2 2" xfId="8048" xr:uid="{00000000-0005-0000-0000-00008B0D0000}"/>
    <cellStyle name="Currency 5 7 4 2 2 2" xfId="16543" xr:uid="{408C8B65-8130-4836-B752-66002DF41CA8}"/>
    <cellStyle name="Currency 5 7 4 2 3" xfId="12330" xr:uid="{A301B6E8-BDB2-4E12-8A32-35E8BCF37556}"/>
    <cellStyle name="Currency 5 7 4 3" xfId="5903" xr:uid="{00000000-0005-0000-0000-00008C0D0000}"/>
    <cellStyle name="Currency 5 7 4 3 2" xfId="14398" xr:uid="{EC9BFA24-B45B-4C54-ACCE-409C974E78FD}"/>
    <cellStyle name="Currency 5 7 4 4" xfId="10185" xr:uid="{28761EAE-534E-443C-B101-47966FF39D74}"/>
    <cellStyle name="Currency 5 7 5" xfId="2010" xr:uid="{00000000-0005-0000-0000-00008D0D0000}"/>
    <cellStyle name="Currency 5 7 5 2" xfId="4239" xr:uid="{00000000-0005-0000-0000-00008E0D0000}"/>
    <cellStyle name="Currency 5 7 5 2 2" xfId="8461" xr:uid="{00000000-0005-0000-0000-00008F0D0000}"/>
    <cellStyle name="Currency 5 7 5 2 2 2" xfId="16956" xr:uid="{DC97A2FE-6DBC-4075-B1A1-AAC2B9D2DBB7}"/>
    <cellStyle name="Currency 5 7 5 2 3" xfId="12743" xr:uid="{297598AF-CF8F-4B11-BB13-E24D57804184}"/>
    <cellStyle name="Currency 5 7 5 3" xfId="6316" xr:uid="{00000000-0005-0000-0000-0000900D0000}"/>
    <cellStyle name="Currency 5 7 5 3 2" xfId="14811" xr:uid="{2B3D3453-B9C2-4865-AC43-953AB584CF03}"/>
    <cellStyle name="Currency 5 7 5 4" xfId="10598" xr:uid="{D10A8CB3-260E-4E6A-8337-4AA80DB34572}"/>
    <cellStyle name="Currency 5 7 6" xfId="2445" xr:uid="{00000000-0005-0000-0000-0000910D0000}"/>
    <cellStyle name="Currency 5 7 6 2" xfId="6729" xr:uid="{00000000-0005-0000-0000-0000920D0000}"/>
    <cellStyle name="Currency 5 7 6 2 2" xfId="15224" xr:uid="{C1B30414-68DC-4117-B4B4-3A0917404DA4}"/>
    <cellStyle name="Currency 5 7 6 3" xfId="11011" xr:uid="{B1113D52-ECDA-43AE-95CB-66CFE8B3A39F}"/>
    <cellStyle name="Currency 5 7 7" xfId="2742" xr:uid="{00000000-0005-0000-0000-0000930D0000}"/>
    <cellStyle name="Currency 5 7 8" xfId="2823" xr:uid="{00000000-0005-0000-0000-0000940D0000}"/>
    <cellStyle name="Currency 5 7 8 2" xfId="7046" xr:uid="{00000000-0005-0000-0000-0000950D0000}"/>
    <cellStyle name="Currency 5 7 8 2 2" xfId="15541" xr:uid="{973B67BD-8274-4664-AC84-03C912793D71}"/>
    <cellStyle name="Currency 5 7 8 3" xfId="11328" xr:uid="{310C4283-7383-4DC1-98C7-3C2E5A2A249C}"/>
    <cellStyle name="Currency 5 7 9" xfId="4663" xr:uid="{00000000-0005-0000-0000-0000960D0000}"/>
    <cellStyle name="Currency 5 7 9 2" xfId="13159" xr:uid="{E1A67960-4FDE-4B2F-9A3D-8224EAC27CB7}"/>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5225" xr:uid="{F662381B-B036-4F87-BD3E-EAC20A8FCB69}"/>
    <cellStyle name="Normal 12 10 3" xfId="11012" xr:uid="{2DA0CBCE-7D59-4C49-892B-2715C9221797}"/>
    <cellStyle name="Normal 12 11" xfId="4664" xr:uid="{00000000-0005-0000-0000-0000CC0D0000}"/>
    <cellStyle name="Normal 12 11 2" xfId="13160" xr:uid="{2D8FD36E-2EA4-428C-984F-C515F9E0E9B7}"/>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5721" xr:uid="{8A287AD7-518C-429C-B42E-4BAF78C60AB5}"/>
    <cellStyle name="Normal 12 2 2 2 2 2 3" xfId="11508" xr:uid="{1268191B-A7AD-4704-B245-4F07CB1F1037}"/>
    <cellStyle name="Normal 12 2 2 2 2 3" xfId="5081" xr:uid="{00000000-0005-0000-0000-0000D30D0000}"/>
    <cellStyle name="Normal 12 2 2 2 2 3 2" xfId="13576" xr:uid="{622B1DE4-B4A2-46E1-AB2F-02537825666F}"/>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134" xr:uid="{3983E439-0D10-4193-AD5C-BCD2DB2BC3E3}"/>
    <cellStyle name="Normal 12 2 2 2 3 2 3" xfId="11921" xr:uid="{B06FCA3A-8DB7-49D3-AA59-35F7CA819639}"/>
    <cellStyle name="Normal 12 2 2 2 3 3" xfId="5494" xr:uid="{00000000-0005-0000-0000-0000D70D0000}"/>
    <cellStyle name="Normal 12 2 2 2 3 3 2" xfId="13989" xr:uid="{F66EDB1C-CA72-47DD-B65F-F1305EED9A06}"/>
    <cellStyle name="Normal 12 2 2 2 3 4" xfId="9776" xr:uid="{4C825F7B-9F29-47C2-A81D-70BD625423BD}"/>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6547" xr:uid="{D587F9D8-088A-46DA-AD08-25266D1B252B}"/>
    <cellStyle name="Normal 12 2 2 2 4 2 3" xfId="12334" xr:uid="{E5295082-B2CC-4DEA-BB5D-54B14A7FCDC9}"/>
    <cellStyle name="Normal 12 2 2 2 4 3" xfId="5907" xr:uid="{00000000-0005-0000-0000-0000DB0D0000}"/>
    <cellStyle name="Normal 12 2 2 2 4 3 2" xfId="14402" xr:uid="{59D930DB-C37E-4681-B755-3B7C2E9B5335}"/>
    <cellStyle name="Normal 12 2 2 2 4 4" xfId="10189" xr:uid="{74F92BBB-F637-4AAE-B73C-9DBAA18D5EA8}"/>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6960" xr:uid="{9A74BEB5-BBD4-4C89-9A06-5EC91AA09070}"/>
    <cellStyle name="Normal 12 2 2 2 5 2 3" xfId="12747" xr:uid="{D58BA271-ED7C-4205-8D33-22F35FCFF549}"/>
    <cellStyle name="Normal 12 2 2 2 5 3" xfId="6320" xr:uid="{00000000-0005-0000-0000-0000DF0D0000}"/>
    <cellStyle name="Normal 12 2 2 2 5 3 2" xfId="14815" xr:uid="{8FE554E2-6F64-4C40-91CC-96E9CB92C76C}"/>
    <cellStyle name="Normal 12 2 2 2 5 4" xfId="10602" xr:uid="{F256D184-CC17-4DF5-912D-B61397903BB5}"/>
    <cellStyle name="Normal 12 2 2 2 6" xfId="2450" xr:uid="{00000000-0005-0000-0000-0000E00D0000}"/>
    <cellStyle name="Normal 12 2 2 2 6 2" xfId="6733" xr:uid="{00000000-0005-0000-0000-0000E10D0000}"/>
    <cellStyle name="Normal 12 2 2 2 6 2 2" xfId="15228" xr:uid="{0427D568-B4C6-4D0D-8171-8A70B93A1DF1}"/>
    <cellStyle name="Normal 12 2 2 2 6 3" xfId="11015" xr:uid="{609F463C-B3DA-4AA5-8EF9-07AE2C838046}"/>
    <cellStyle name="Normal 12 2 2 2 7" xfId="4667" xr:uid="{00000000-0005-0000-0000-0000E20D0000}"/>
    <cellStyle name="Normal 12 2 2 2 7 2" xfId="13163" xr:uid="{2840BB16-5AB0-43D5-9119-7733FADE16B8}"/>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2 2 2" xfId="15720" xr:uid="{33C10277-779D-43A1-9B27-E76621D86AA2}"/>
    <cellStyle name="Normal 12 2 2 3 2 3" xfId="11507" xr:uid="{A3309EB0-8FBB-474A-83D1-0257FB9B14CC}"/>
    <cellStyle name="Normal 12 2 2 3 3" xfId="5080" xr:uid="{00000000-0005-0000-0000-0000E60D0000}"/>
    <cellStyle name="Normal 12 2 2 3 3 2" xfId="13575" xr:uid="{B74A288E-C7FF-43C2-9BB1-26368557678A}"/>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133" xr:uid="{8FF1093C-D3C3-46E9-A983-9D6A9B9EBFF5}"/>
    <cellStyle name="Normal 12 2 2 4 2 3" xfId="11920" xr:uid="{66CBC9B0-8A84-4EB2-8430-A3CA93D08197}"/>
    <cellStyle name="Normal 12 2 2 4 3" xfId="5493" xr:uid="{00000000-0005-0000-0000-0000EA0D0000}"/>
    <cellStyle name="Normal 12 2 2 4 3 2" xfId="13988" xr:uid="{9B153484-0F51-4AF0-B6D7-CBDDBACC73A7}"/>
    <cellStyle name="Normal 12 2 2 4 4" xfId="9775" xr:uid="{3FE99404-FC19-4DB1-B3A4-800798853386}"/>
    <cellStyle name="Normal 12 2 2 5" xfId="1599" xr:uid="{00000000-0005-0000-0000-0000EB0D0000}"/>
    <cellStyle name="Normal 12 2 2 5 2" xfId="3829" xr:uid="{00000000-0005-0000-0000-0000EC0D0000}"/>
    <cellStyle name="Normal 12 2 2 5 2 2" xfId="8051" xr:uid="{00000000-0005-0000-0000-0000ED0D0000}"/>
    <cellStyle name="Normal 12 2 2 5 2 2 2" xfId="16546" xr:uid="{3C0E27B7-9A20-4D0A-A21F-835768CDBE3C}"/>
    <cellStyle name="Normal 12 2 2 5 2 3" xfId="12333" xr:uid="{18128BF9-3034-4D35-A2B2-E480C275C02B}"/>
    <cellStyle name="Normal 12 2 2 5 3" xfId="5906" xr:uid="{00000000-0005-0000-0000-0000EE0D0000}"/>
    <cellStyle name="Normal 12 2 2 5 3 2" xfId="14401" xr:uid="{69594F51-D4EC-4138-82F3-D17B5B7C08A3}"/>
    <cellStyle name="Normal 12 2 2 5 4" xfId="10188" xr:uid="{F2A2A920-2A2E-4B1C-B88D-F55656AB2399}"/>
    <cellStyle name="Normal 12 2 2 6" xfId="2013" xr:uid="{00000000-0005-0000-0000-0000EF0D0000}"/>
    <cellStyle name="Normal 12 2 2 6 2" xfId="4242" xr:uid="{00000000-0005-0000-0000-0000F00D0000}"/>
    <cellStyle name="Normal 12 2 2 6 2 2" xfId="8464" xr:uid="{00000000-0005-0000-0000-0000F10D0000}"/>
    <cellStyle name="Normal 12 2 2 6 2 2 2" xfId="16959" xr:uid="{8E50E40B-D91C-4856-B270-3D1B4350131D}"/>
    <cellStyle name="Normal 12 2 2 6 2 3" xfId="12746" xr:uid="{EADE5232-A62C-4E79-BDE6-1CCE8059EB5D}"/>
    <cellStyle name="Normal 12 2 2 6 3" xfId="6319" xr:uid="{00000000-0005-0000-0000-0000F20D0000}"/>
    <cellStyle name="Normal 12 2 2 6 3 2" xfId="14814" xr:uid="{31C32C7D-2A31-412F-A0BC-150CAD0073C3}"/>
    <cellStyle name="Normal 12 2 2 6 4" xfId="10601" xr:uid="{BD794D53-E3B0-4E59-9BC2-918579310EF2}"/>
    <cellStyle name="Normal 12 2 2 7" xfId="2449" xr:uid="{00000000-0005-0000-0000-0000F30D0000}"/>
    <cellStyle name="Normal 12 2 2 7 2" xfId="6732" xr:uid="{00000000-0005-0000-0000-0000F40D0000}"/>
    <cellStyle name="Normal 12 2 2 7 2 2" xfId="15227" xr:uid="{FF037491-B155-437B-AFC5-9A3BD1F98FF6}"/>
    <cellStyle name="Normal 12 2 2 7 3" xfId="11014" xr:uid="{ABAAACA1-999C-4E29-8A42-D1AE6FEC0319}"/>
    <cellStyle name="Normal 12 2 2 8" xfId="4666" xr:uid="{00000000-0005-0000-0000-0000F50D0000}"/>
    <cellStyle name="Normal 12 2 2 8 2" xfId="13162" xr:uid="{300FA6AC-3F51-45E0-89F8-F1459FDE4864}"/>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5722" xr:uid="{7386FF2C-B599-468E-8867-ADBC41ADF5E2}"/>
    <cellStyle name="Normal 12 2 3 2 2 3" xfId="11509" xr:uid="{CAA5D3B9-7E06-4351-A9DB-0DA0E4DD5CC3}"/>
    <cellStyle name="Normal 12 2 3 2 3" xfId="5082" xr:uid="{00000000-0005-0000-0000-0000FA0D0000}"/>
    <cellStyle name="Normal 12 2 3 2 3 2" xfId="13577" xr:uid="{207B1DE4-53FF-45BD-9363-96CDC56A8919}"/>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135" xr:uid="{3BA3544D-0809-43A9-87D4-19B65A674AB1}"/>
    <cellStyle name="Normal 12 2 3 3 2 3" xfId="11922" xr:uid="{8889E3FD-F8A2-4A5F-8D6B-E2F7A288F1F4}"/>
    <cellStyle name="Normal 12 2 3 3 3" xfId="5495" xr:uid="{00000000-0005-0000-0000-0000FE0D0000}"/>
    <cellStyle name="Normal 12 2 3 3 3 2" xfId="13990" xr:uid="{A46858D4-3D2B-4E03-AB52-76122FAAB6BF}"/>
    <cellStyle name="Normal 12 2 3 3 4" xfId="9777" xr:uid="{C2929C23-6C27-40EC-B9A3-8E87EDC687D3}"/>
    <cellStyle name="Normal 12 2 3 4" xfId="1601" xr:uid="{00000000-0005-0000-0000-0000FF0D0000}"/>
    <cellStyle name="Normal 12 2 3 4 2" xfId="3831" xr:uid="{00000000-0005-0000-0000-0000000E0000}"/>
    <cellStyle name="Normal 12 2 3 4 2 2" xfId="8053" xr:uid="{00000000-0005-0000-0000-0000010E0000}"/>
    <cellStyle name="Normal 12 2 3 4 2 2 2" xfId="16548" xr:uid="{97408DA6-8424-4F64-BFD1-444A02C718E2}"/>
    <cellStyle name="Normal 12 2 3 4 2 3" xfId="12335" xr:uid="{678300B8-D238-459F-B486-612E112F62B0}"/>
    <cellStyle name="Normal 12 2 3 4 3" xfId="5908" xr:uid="{00000000-0005-0000-0000-0000020E0000}"/>
    <cellStyle name="Normal 12 2 3 4 3 2" xfId="14403" xr:uid="{1E31A533-4AF2-41E9-8AA8-80903915A812}"/>
    <cellStyle name="Normal 12 2 3 4 4" xfId="10190" xr:uid="{A17FB53B-3C36-4BA3-BF9E-22909E06A639}"/>
    <cellStyle name="Normal 12 2 3 5" xfId="2015" xr:uid="{00000000-0005-0000-0000-0000030E0000}"/>
    <cellStyle name="Normal 12 2 3 5 2" xfId="4244" xr:uid="{00000000-0005-0000-0000-0000040E0000}"/>
    <cellStyle name="Normal 12 2 3 5 2 2" xfId="8466" xr:uid="{00000000-0005-0000-0000-0000050E0000}"/>
    <cellStyle name="Normal 12 2 3 5 2 2 2" xfId="16961" xr:uid="{D62B29A6-16B3-4441-8319-428BBC0BAD78}"/>
    <cellStyle name="Normal 12 2 3 5 2 3" xfId="12748" xr:uid="{D4A42087-00FB-4A80-A3A5-BD4A8E6A1A07}"/>
    <cellStyle name="Normal 12 2 3 5 3" xfId="6321" xr:uid="{00000000-0005-0000-0000-0000060E0000}"/>
    <cellStyle name="Normal 12 2 3 5 3 2" xfId="14816" xr:uid="{0DB0F345-D6CF-4AD0-95A9-4A2133A27398}"/>
    <cellStyle name="Normal 12 2 3 5 4" xfId="10603" xr:uid="{30282326-19DE-4F08-8545-F6ABA185FD22}"/>
    <cellStyle name="Normal 12 2 3 6" xfId="2451" xr:uid="{00000000-0005-0000-0000-0000070E0000}"/>
    <cellStyle name="Normal 12 2 3 6 2" xfId="6734" xr:uid="{00000000-0005-0000-0000-0000080E0000}"/>
    <cellStyle name="Normal 12 2 3 6 2 2" xfId="15229" xr:uid="{4F64D324-0E5F-43BD-BCAB-93E9BD045CC8}"/>
    <cellStyle name="Normal 12 2 3 6 3" xfId="11016" xr:uid="{3D75987B-A213-4611-83B2-735F3A8EF80E}"/>
    <cellStyle name="Normal 12 2 3 7" xfId="4668" xr:uid="{00000000-0005-0000-0000-0000090E0000}"/>
    <cellStyle name="Normal 12 2 3 7 2" xfId="13164" xr:uid="{4236B5CD-0B2C-46EF-8C7D-7B6250C99B44}"/>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2 2 2" xfId="15719" xr:uid="{BCF69961-824D-4EC4-B11B-30619F161CF3}"/>
    <cellStyle name="Normal 12 2 4 2 3" xfId="11506" xr:uid="{440CF8FA-620A-4E5F-99E8-FD1E9495873F}"/>
    <cellStyle name="Normal 12 2 4 3" xfId="5079" xr:uid="{00000000-0005-0000-0000-00000D0E0000}"/>
    <cellStyle name="Normal 12 2 4 3 2" xfId="13574" xr:uid="{2506526A-0BA5-4C4D-A25C-1C31BC50FB37}"/>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2 2 2" xfId="16132" xr:uid="{D23ACAC4-650D-472F-A947-D8C64EED63EA}"/>
    <cellStyle name="Normal 12 2 5 2 3" xfId="11919" xr:uid="{7AFBCEC3-D968-4161-9EDF-158A9613C3AA}"/>
    <cellStyle name="Normal 12 2 5 3" xfId="5492" xr:uid="{00000000-0005-0000-0000-0000110E0000}"/>
    <cellStyle name="Normal 12 2 5 3 2" xfId="13987" xr:uid="{66A11DA5-A2C0-4CF2-A669-C7F3969D32BA}"/>
    <cellStyle name="Normal 12 2 5 4" xfId="9774" xr:uid="{88780B8F-6C68-488A-8F34-447F37EC83FF}"/>
    <cellStyle name="Normal 12 2 6" xfId="1598" xr:uid="{00000000-0005-0000-0000-0000120E0000}"/>
    <cellStyle name="Normal 12 2 6 2" xfId="3828" xr:uid="{00000000-0005-0000-0000-0000130E0000}"/>
    <cellStyle name="Normal 12 2 6 2 2" xfId="8050" xr:uid="{00000000-0005-0000-0000-0000140E0000}"/>
    <cellStyle name="Normal 12 2 6 2 2 2" xfId="16545" xr:uid="{AF3CF5A4-DEEA-494A-B004-2E003F527396}"/>
    <cellStyle name="Normal 12 2 6 2 3" xfId="12332" xr:uid="{6C86ABF7-321B-46FB-B8E0-C4B62AC9877C}"/>
    <cellStyle name="Normal 12 2 6 3" xfId="5905" xr:uid="{00000000-0005-0000-0000-0000150E0000}"/>
    <cellStyle name="Normal 12 2 6 3 2" xfId="14400" xr:uid="{CF46BB39-B636-4E2E-BEEC-DFC61A34BF24}"/>
    <cellStyle name="Normal 12 2 6 4" xfId="10187" xr:uid="{96ED478E-13A9-4952-9E51-14B91A4221EF}"/>
    <cellStyle name="Normal 12 2 7" xfId="2012" xr:uid="{00000000-0005-0000-0000-0000160E0000}"/>
    <cellStyle name="Normal 12 2 7 2" xfId="4241" xr:uid="{00000000-0005-0000-0000-0000170E0000}"/>
    <cellStyle name="Normal 12 2 7 2 2" xfId="8463" xr:uid="{00000000-0005-0000-0000-0000180E0000}"/>
    <cellStyle name="Normal 12 2 7 2 2 2" xfId="16958" xr:uid="{8B7FBD32-6370-41DA-AC53-38BE59EE2F97}"/>
    <cellStyle name="Normal 12 2 7 2 3" xfId="12745" xr:uid="{AEF08B0F-ACD4-4F07-927D-D50A4E4722A4}"/>
    <cellStyle name="Normal 12 2 7 3" xfId="6318" xr:uid="{00000000-0005-0000-0000-0000190E0000}"/>
    <cellStyle name="Normal 12 2 7 3 2" xfId="14813" xr:uid="{2D27C597-D2A4-4EA9-A959-49D6EDBE4A87}"/>
    <cellStyle name="Normal 12 2 7 4" xfId="10600" xr:uid="{820C50E9-261E-46E9-84AE-D22611B495BB}"/>
    <cellStyle name="Normal 12 2 8" xfId="2448" xr:uid="{00000000-0005-0000-0000-00001A0E0000}"/>
    <cellStyle name="Normal 12 2 8 2" xfId="6731" xr:uid="{00000000-0005-0000-0000-00001B0E0000}"/>
    <cellStyle name="Normal 12 2 8 2 2" xfId="15226" xr:uid="{59960C17-35C9-4C06-905C-FE2037E6D9E2}"/>
    <cellStyle name="Normal 12 2 8 3" xfId="11013" xr:uid="{6DD60B01-5877-4857-B7D7-1DECE9F48E41}"/>
    <cellStyle name="Normal 12 2 9" xfId="4665" xr:uid="{00000000-0005-0000-0000-00001C0E0000}"/>
    <cellStyle name="Normal 12 2 9 2" xfId="13161" xr:uid="{A59BBAC0-F5D6-4B56-9F6C-EC3DFD60ABA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5724" xr:uid="{D5AE4421-C0DB-4F1A-BDCF-2F503FB12AB4}"/>
    <cellStyle name="Normal 12 3 2 2 2 3" xfId="11511" xr:uid="{D9AC4FE9-CFD9-4104-8267-C7ABFA7E711C}"/>
    <cellStyle name="Normal 12 3 2 2 3" xfId="5084" xr:uid="{00000000-0005-0000-0000-0000220E0000}"/>
    <cellStyle name="Normal 12 3 2 2 3 2" xfId="13579" xr:uid="{DDFB6991-43D4-4191-B9F9-0D7829E454AF}"/>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137" xr:uid="{B73214C4-889C-483C-8895-8290E4A8B242}"/>
    <cellStyle name="Normal 12 3 2 3 2 3" xfId="11924" xr:uid="{5DA936E7-3699-4516-BC4F-ACDE5D7B5580}"/>
    <cellStyle name="Normal 12 3 2 3 3" xfId="5497" xr:uid="{00000000-0005-0000-0000-0000260E0000}"/>
    <cellStyle name="Normal 12 3 2 3 3 2" xfId="13992" xr:uid="{C7E3F2AA-51B0-4DA1-AB40-15EF0688ECCE}"/>
    <cellStyle name="Normal 12 3 2 3 4" xfId="9779" xr:uid="{2B8CB0AC-27FC-4971-B90B-65A021E83E7C}"/>
    <cellStyle name="Normal 12 3 2 4" xfId="1603" xr:uid="{00000000-0005-0000-0000-0000270E0000}"/>
    <cellStyle name="Normal 12 3 2 4 2" xfId="3833" xr:uid="{00000000-0005-0000-0000-0000280E0000}"/>
    <cellStyle name="Normal 12 3 2 4 2 2" xfId="8055" xr:uid="{00000000-0005-0000-0000-0000290E0000}"/>
    <cellStyle name="Normal 12 3 2 4 2 2 2" xfId="16550" xr:uid="{A3FC9B0D-4D88-4F0B-B4F7-91C64C0A05A1}"/>
    <cellStyle name="Normal 12 3 2 4 2 3" xfId="12337" xr:uid="{2051E8CE-44B5-465E-BA85-1F89711EAB04}"/>
    <cellStyle name="Normal 12 3 2 4 3" xfId="5910" xr:uid="{00000000-0005-0000-0000-00002A0E0000}"/>
    <cellStyle name="Normal 12 3 2 4 3 2" xfId="14405" xr:uid="{B25056DC-14A1-4D66-B542-CCC7FBB9A8FE}"/>
    <cellStyle name="Normal 12 3 2 4 4" xfId="10192" xr:uid="{C9A6A2E2-4A9F-4E9E-93EE-9385224ABD71}"/>
    <cellStyle name="Normal 12 3 2 5" xfId="2017" xr:uid="{00000000-0005-0000-0000-00002B0E0000}"/>
    <cellStyle name="Normal 12 3 2 5 2" xfId="4246" xr:uid="{00000000-0005-0000-0000-00002C0E0000}"/>
    <cellStyle name="Normal 12 3 2 5 2 2" xfId="8468" xr:uid="{00000000-0005-0000-0000-00002D0E0000}"/>
    <cellStyle name="Normal 12 3 2 5 2 2 2" xfId="16963" xr:uid="{35BF743E-C9C4-4250-8065-DC1A8D57F7C8}"/>
    <cellStyle name="Normal 12 3 2 5 2 3" xfId="12750" xr:uid="{655139CE-E6F6-41F1-B4BD-50C66E130776}"/>
    <cellStyle name="Normal 12 3 2 5 3" xfId="6323" xr:uid="{00000000-0005-0000-0000-00002E0E0000}"/>
    <cellStyle name="Normal 12 3 2 5 3 2" xfId="14818" xr:uid="{A4BCDE9F-7B76-471F-8FF1-E6C432C1C331}"/>
    <cellStyle name="Normal 12 3 2 5 4" xfId="10605" xr:uid="{5F6A2AA1-C4A3-4A23-868B-94D81679AAD5}"/>
    <cellStyle name="Normal 12 3 2 6" xfId="2453" xr:uid="{00000000-0005-0000-0000-00002F0E0000}"/>
    <cellStyle name="Normal 12 3 2 6 2" xfId="6736" xr:uid="{00000000-0005-0000-0000-0000300E0000}"/>
    <cellStyle name="Normal 12 3 2 6 2 2" xfId="15231" xr:uid="{05AD2584-E925-441B-9BA5-DF62BAD8A799}"/>
    <cellStyle name="Normal 12 3 2 6 3" xfId="11018" xr:uid="{938EC759-A0C6-43C2-BE34-4B21651E8056}"/>
    <cellStyle name="Normal 12 3 2 7" xfId="4670" xr:uid="{00000000-0005-0000-0000-0000310E0000}"/>
    <cellStyle name="Normal 12 3 2 7 2" xfId="13166" xr:uid="{F9BE6903-86AE-45DC-AC48-D43B938FF7C1}"/>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2 2 2" xfId="15723" xr:uid="{D76F3149-9C36-488F-9E78-1B5CFE0FF57D}"/>
    <cellStyle name="Normal 12 3 3 2 3" xfId="11510" xr:uid="{C7A00CF6-4B58-426F-B7AF-15055F1607BC}"/>
    <cellStyle name="Normal 12 3 3 3" xfId="5083" xr:uid="{00000000-0005-0000-0000-0000350E0000}"/>
    <cellStyle name="Normal 12 3 3 3 2" xfId="13578" xr:uid="{458B7A03-6FB2-49A8-8109-612F52EBA37D}"/>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2 2 2" xfId="16136" xr:uid="{7CA4E63B-8C24-4BA9-805F-8AC3F2F17F61}"/>
    <cellStyle name="Normal 12 3 4 2 3" xfId="11923" xr:uid="{2640C30F-9CA2-4231-BCD9-B748623F4F97}"/>
    <cellStyle name="Normal 12 3 4 3" xfId="5496" xr:uid="{00000000-0005-0000-0000-0000390E0000}"/>
    <cellStyle name="Normal 12 3 4 3 2" xfId="13991" xr:uid="{6E6654CA-8BD8-475C-B8E4-E49142EF53D8}"/>
    <cellStyle name="Normal 12 3 4 4" xfId="9778" xr:uid="{69792A9D-E29E-413B-B4F0-8B0F77E01366}"/>
    <cellStyle name="Normal 12 3 5" xfId="1602" xr:uid="{00000000-0005-0000-0000-00003A0E0000}"/>
    <cellStyle name="Normal 12 3 5 2" xfId="3832" xr:uid="{00000000-0005-0000-0000-00003B0E0000}"/>
    <cellStyle name="Normal 12 3 5 2 2" xfId="8054" xr:uid="{00000000-0005-0000-0000-00003C0E0000}"/>
    <cellStyle name="Normal 12 3 5 2 2 2" xfId="16549" xr:uid="{405B7CA6-7A50-4D06-8AFC-353E567A88CF}"/>
    <cellStyle name="Normal 12 3 5 2 3" xfId="12336" xr:uid="{FCB745B6-E031-425D-AEE1-E916A838CCF9}"/>
    <cellStyle name="Normal 12 3 5 3" xfId="5909" xr:uid="{00000000-0005-0000-0000-00003D0E0000}"/>
    <cellStyle name="Normal 12 3 5 3 2" xfId="14404" xr:uid="{14235F6B-0694-4152-95B1-E35ECFDE1729}"/>
    <cellStyle name="Normal 12 3 5 4" xfId="10191" xr:uid="{38A051F3-D8D8-42AA-9500-1448BF29E3C5}"/>
    <cellStyle name="Normal 12 3 6" xfId="2016" xr:uid="{00000000-0005-0000-0000-00003E0E0000}"/>
    <cellStyle name="Normal 12 3 6 2" xfId="4245" xr:uid="{00000000-0005-0000-0000-00003F0E0000}"/>
    <cellStyle name="Normal 12 3 6 2 2" xfId="8467" xr:uid="{00000000-0005-0000-0000-0000400E0000}"/>
    <cellStyle name="Normal 12 3 6 2 2 2" xfId="16962" xr:uid="{43A45924-5B09-46E6-8D82-B16D3303A862}"/>
    <cellStyle name="Normal 12 3 6 2 3" xfId="12749" xr:uid="{20FFA083-70DF-44D0-B84B-AF1AB3401D39}"/>
    <cellStyle name="Normal 12 3 6 3" xfId="6322" xr:uid="{00000000-0005-0000-0000-0000410E0000}"/>
    <cellStyle name="Normal 12 3 6 3 2" xfId="14817" xr:uid="{8BB8C255-B014-4ADD-A311-2E49F45F5C23}"/>
    <cellStyle name="Normal 12 3 6 4" xfId="10604" xr:uid="{E5E59DAC-4BD1-4285-AF57-E40A7FDE2F9F}"/>
    <cellStyle name="Normal 12 3 7" xfId="2452" xr:uid="{00000000-0005-0000-0000-0000420E0000}"/>
    <cellStyle name="Normal 12 3 7 2" xfId="6735" xr:uid="{00000000-0005-0000-0000-0000430E0000}"/>
    <cellStyle name="Normal 12 3 7 2 2" xfId="15230" xr:uid="{634590F1-CCDF-4FB3-A526-8F5E2E618629}"/>
    <cellStyle name="Normal 12 3 7 3" xfId="11017" xr:uid="{32B3C783-08A7-4276-8107-9DE8999926D7}"/>
    <cellStyle name="Normal 12 3 8" xfId="4669" xr:uid="{00000000-0005-0000-0000-0000440E0000}"/>
    <cellStyle name="Normal 12 3 8 2" xfId="13165" xr:uid="{E5E16706-1B76-4F43-ADB4-739FE0CDC3BF}"/>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5725" xr:uid="{FEABEF95-AF69-4F00-864A-DBF20678F108}"/>
    <cellStyle name="Normal 12 4 2 2 3" xfId="11512" xr:uid="{D71A2883-F15C-4661-B94C-AA49EB0A661A}"/>
    <cellStyle name="Normal 12 4 2 3" xfId="5085" xr:uid="{00000000-0005-0000-0000-0000490E0000}"/>
    <cellStyle name="Normal 12 4 2 3 2" xfId="13580" xr:uid="{38AF05A4-A31B-4A2D-9CDC-A4550B297BAC}"/>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2 2 2" xfId="16138" xr:uid="{AC97391E-BB30-445A-80E0-A4C1DC22F884}"/>
    <cellStyle name="Normal 12 4 3 2 3" xfId="11925" xr:uid="{E1865658-62F0-46BF-9059-351A412C4BFD}"/>
    <cellStyle name="Normal 12 4 3 3" xfId="5498" xr:uid="{00000000-0005-0000-0000-00004D0E0000}"/>
    <cellStyle name="Normal 12 4 3 3 2" xfId="13993" xr:uid="{09D6D7F5-1A06-4A4B-B70B-4B59DB031E99}"/>
    <cellStyle name="Normal 12 4 3 4" xfId="9780" xr:uid="{A898F970-5CB8-4D1A-87D2-85EC7FEF395B}"/>
    <cellStyle name="Normal 12 4 4" xfId="1604" xr:uid="{00000000-0005-0000-0000-00004E0E0000}"/>
    <cellStyle name="Normal 12 4 4 2" xfId="3834" xr:uid="{00000000-0005-0000-0000-00004F0E0000}"/>
    <cellStyle name="Normal 12 4 4 2 2" xfId="8056" xr:uid="{00000000-0005-0000-0000-0000500E0000}"/>
    <cellStyle name="Normal 12 4 4 2 2 2" xfId="16551" xr:uid="{13986AF3-4520-42F8-8BCD-6954837E3347}"/>
    <cellStyle name="Normal 12 4 4 2 3" xfId="12338" xr:uid="{212908C0-50DD-439A-B56E-6F8C8DE635A8}"/>
    <cellStyle name="Normal 12 4 4 3" xfId="5911" xr:uid="{00000000-0005-0000-0000-0000510E0000}"/>
    <cellStyle name="Normal 12 4 4 3 2" xfId="14406" xr:uid="{A0B9270C-F111-4CF3-B44A-0B7A476BC2CB}"/>
    <cellStyle name="Normal 12 4 4 4" xfId="10193" xr:uid="{55BCD53C-5087-485B-AF05-4007E56F4638}"/>
    <cellStyle name="Normal 12 4 5" xfId="2018" xr:uid="{00000000-0005-0000-0000-0000520E0000}"/>
    <cellStyle name="Normal 12 4 5 2" xfId="4247" xr:uid="{00000000-0005-0000-0000-0000530E0000}"/>
    <cellStyle name="Normal 12 4 5 2 2" xfId="8469" xr:uid="{00000000-0005-0000-0000-0000540E0000}"/>
    <cellStyle name="Normal 12 4 5 2 2 2" xfId="16964" xr:uid="{79895DF0-965B-4FC1-A9B6-5D8094901EE4}"/>
    <cellStyle name="Normal 12 4 5 2 3" xfId="12751" xr:uid="{4D6B1C76-4A52-4C84-AA31-0ECCED14EF72}"/>
    <cellStyle name="Normal 12 4 5 3" xfId="6324" xr:uid="{00000000-0005-0000-0000-0000550E0000}"/>
    <cellStyle name="Normal 12 4 5 3 2" xfId="14819" xr:uid="{C4398530-EE6F-4564-B931-BB63C448DD21}"/>
    <cellStyle name="Normal 12 4 5 4" xfId="10606" xr:uid="{2710B68F-7142-4745-B1A1-47274065972F}"/>
    <cellStyle name="Normal 12 4 6" xfId="2454" xr:uid="{00000000-0005-0000-0000-0000560E0000}"/>
    <cellStyle name="Normal 12 4 6 2" xfId="6737" xr:uid="{00000000-0005-0000-0000-0000570E0000}"/>
    <cellStyle name="Normal 12 4 6 2 2" xfId="15232" xr:uid="{4AC13CEC-ECB8-48D0-B05A-6BD62DD58C06}"/>
    <cellStyle name="Normal 12 4 6 3" xfId="11019" xr:uid="{A070CC95-A1D5-4007-B2F2-098B04A53021}"/>
    <cellStyle name="Normal 12 4 7" xfId="4671" xr:uid="{00000000-0005-0000-0000-0000580E0000}"/>
    <cellStyle name="Normal 12 4 7 2" xfId="13167" xr:uid="{1F95DB14-8E5B-4A45-938C-9E667E15DBB1}"/>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5718" xr:uid="{BFCC1FFF-3134-4499-8342-36F9C16C1064}"/>
    <cellStyle name="Normal 12 6 2 3" xfId="11505" xr:uid="{F8992F1A-7165-49B3-88DF-F89D56B683FD}"/>
    <cellStyle name="Normal 12 6 3" xfId="5078" xr:uid="{00000000-0005-0000-0000-00005D0E0000}"/>
    <cellStyle name="Normal 12 6 3 2" xfId="13573" xr:uid="{0D4137F6-4084-4148-A6DE-FE4235D9D38D}"/>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2 2 2" xfId="16131" xr:uid="{EB53CB73-03DB-46A2-8821-E1F2BF57A0B4}"/>
    <cellStyle name="Normal 12 7 2 3" xfId="11918" xr:uid="{BFEAC0D3-0E6B-4606-B42D-9F49565966D2}"/>
    <cellStyle name="Normal 12 7 3" xfId="5491" xr:uid="{00000000-0005-0000-0000-0000610E0000}"/>
    <cellStyle name="Normal 12 7 3 2" xfId="13986" xr:uid="{94E3CC8B-DA8B-4B00-9E4F-132400794D7B}"/>
    <cellStyle name="Normal 12 7 4" xfId="9773" xr:uid="{325A6177-21DB-4FA7-9E36-BC05099F56E7}"/>
    <cellStyle name="Normal 12 8" xfId="1597" xr:uid="{00000000-0005-0000-0000-0000620E0000}"/>
    <cellStyle name="Normal 12 8 2" xfId="3827" xr:uid="{00000000-0005-0000-0000-0000630E0000}"/>
    <cellStyle name="Normal 12 8 2 2" xfId="8049" xr:uid="{00000000-0005-0000-0000-0000640E0000}"/>
    <cellStyle name="Normal 12 8 2 2 2" xfId="16544" xr:uid="{61872D97-661E-400F-B6D1-8AF9EC0F956D}"/>
    <cellStyle name="Normal 12 8 2 3" xfId="12331" xr:uid="{9694429D-05AF-493D-B5A5-1ED9F3BF6579}"/>
    <cellStyle name="Normal 12 8 3" xfId="5904" xr:uid="{00000000-0005-0000-0000-0000650E0000}"/>
    <cellStyle name="Normal 12 8 3 2" xfId="14399" xr:uid="{6FC8945F-40F8-471A-81D9-F8D7B32EB2BD}"/>
    <cellStyle name="Normal 12 8 4" xfId="10186" xr:uid="{FCFBB6BB-8DE9-41E5-B404-DDA7166AA629}"/>
    <cellStyle name="Normal 12 9" xfId="2011" xr:uid="{00000000-0005-0000-0000-0000660E0000}"/>
    <cellStyle name="Normal 12 9 2" xfId="4240" xr:uid="{00000000-0005-0000-0000-0000670E0000}"/>
    <cellStyle name="Normal 12 9 2 2" xfId="8462" xr:uid="{00000000-0005-0000-0000-0000680E0000}"/>
    <cellStyle name="Normal 12 9 2 2 2" xfId="16957" xr:uid="{BF7B836D-F27C-4E26-A991-6152B12B5639}"/>
    <cellStyle name="Normal 12 9 2 3" xfId="12744" xr:uid="{979D9E1C-CDFE-4EF0-9D4B-8AA6A31572ED}"/>
    <cellStyle name="Normal 12 9 3" xfId="6317" xr:uid="{00000000-0005-0000-0000-0000690E0000}"/>
    <cellStyle name="Normal 12 9 3 2" xfId="14812" xr:uid="{2A3B1F96-7B96-4404-94BE-E2F7BF3BC300}"/>
    <cellStyle name="Normal 12 9 4" xfId="10599" xr:uid="{559222B4-78D0-4432-B9CA-E1F17A3989FB}"/>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5726" xr:uid="{C4068C24-A857-4AF1-8940-DFF72D4F8815}"/>
    <cellStyle name="Normal 14 2 2 3" xfId="11513" xr:uid="{131A03AA-AE16-424A-8602-A2DA3C2C20C6}"/>
    <cellStyle name="Normal 14 2 3" xfId="5086" xr:uid="{00000000-0005-0000-0000-0000700E0000}"/>
    <cellStyle name="Normal 14 2 3 2" xfId="13581" xr:uid="{F9924987-9298-439B-AA4C-97307AC36F5D}"/>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2 2 2" xfId="16139" xr:uid="{B316C62D-05B0-41A0-97B4-2C1E1F7AD6F1}"/>
    <cellStyle name="Normal 14 3 2 3" xfId="11926" xr:uid="{BB43D1CF-02FD-4CEB-9CB1-3F82FA4ADFF8}"/>
    <cellStyle name="Normal 14 3 3" xfId="5499" xr:uid="{00000000-0005-0000-0000-0000740E0000}"/>
    <cellStyle name="Normal 14 3 3 2" xfId="13994" xr:uid="{0BED8485-508D-4A0D-BC9E-BC11E4D8FF2A}"/>
    <cellStyle name="Normal 14 3 4" xfId="9781" xr:uid="{077C47E0-C00F-4F32-B1A8-971B0D25724A}"/>
    <cellStyle name="Normal 14 4" xfId="1605" xr:uid="{00000000-0005-0000-0000-0000750E0000}"/>
    <cellStyle name="Normal 14 4 2" xfId="3835" xr:uid="{00000000-0005-0000-0000-0000760E0000}"/>
    <cellStyle name="Normal 14 4 2 2" xfId="8057" xr:uid="{00000000-0005-0000-0000-0000770E0000}"/>
    <cellStyle name="Normal 14 4 2 2 2" xfId="16552" xr:uid="{95BCFC38-6C17-4C5A-8AA6-9E6B261E3279}"/>
    <cellStyle name="Normal 14 4 2 3" xfId="12339" xr:uid="{152BADD9-D281-4829-9B0B-A58AF81539AD}"/>
    <cellStyle name="Normal 14 4 3" xfId="5912" xr:uid="{00000000-0005-0000-0000-0000780E0000}"/>
    <cellStyle name="Normal 14 4 3 2" xfId="14407" xr:uid="{8CBD5625-2A2D-4828-A028-CCBB943CD6C3}"/>
    <cellStyle name="Normal 14 4 4" xfId="10194" xr:uid="{9BFEC6EB-5780-435A-A28C-88287C71F582}"/>
    <cellStyle name="Normal 14 5" xfId="2019" xr:uid="{00000000-0005-0000-0000-0000790E0000}"/>
    <cellStyle name="Normal 14 5 2" xfId="4248" xr:uid="{00000000-0005-0000-0000-00007A0E0000}"/>
    <cellStyle name="Normal 14 5 2 2" xfId="8470" xr:uid="{00000000-0005-0000-0000-00007B0E0000}"/>
    <cellStyle name="Normal 14 5 2 2 2" xfId="16965" xr:uid="{6E88335D-2859-444A-89FE-8E5613D0C42A}"/>
    <cellStyle name="Normal 14 5 2 3" xfId="12752" xr:uid="{F62DADBB-2084-401C-99ED-B29D8FC2AC9D}"/>
    <cellStyle name="Normal 14 5 3" xfId="6325" xr:uid="{00000000-0005-0000-0000-00007C0E0000}"/>
    <cellStyle name="Normal 14 5 3 2" xfId="14820" xr:uid="{9E0DE4E1-5F79-4668-8C1B-1C0349DACC5F}"/>
    <cellStyle name="Normal 14 5 4" xfId="10607" xr:uid="{D28FC3A9-AD28-4F56-9667-6CA9C6A3F51A}"/>
    <cellStyle name="Normal 14 6" xfId="2455" xr:uid="{00000000-0005-0000-0000-00007D0E0000}"/>
    <cellStyle name="Normal 14 6 2" xfId="6738" xr:uid="{00000000-0005-0000-0000-00007E0E0000}"/>
    <cellStyle name="Normal 14 6 2 2" xfId="15233" xr:uid="{9FD86917-0B19-4690-83A1-123AA4E0BB6A}"/>
    <cellStyle name="Normal 14 6 3" xfId="11020" xr:uid="{77F92371-EA8D-4BAB-BC8E-F551E7619972}"/>
    <cellStyle name="Normal 14 7" xfId="4672" xr:uid="{00000000-0005-0000-0000-00007F0E0000}"/>
    <cellStyle name="Normal 14 7 2" xfId="13168" xr:uid="{7DA97CC4-4E29-4568-AFE1-5F30933EEFCE}"/>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2 2" xfId="17210" xr:uid="{860933D4-D521-4DAE-909A-5DAFCB7F5B1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7226" xr:uid="{9053F335-7DA1-4ADC-8F70-A5CA157735A6}"/>
    <cellStyle name="Normal 16 3 2 2 2 3" xfId="17223" xr:uid="{FDF84A19-C63F-4AA7-8709-898162203326}"/>
    <cellStyle name="Normal 16 3 2 2 3" xfId="17219" xr:uid="{CC09B0B8-768D-4A1A-903F-5AD06C89C246}"/>
    <cellStyle name="Normal 16 3 2 3" xfId="17216" xr:uid="{CB8CF70D-7349-4518-878B-3A8151C99E15}"/>
    <cellStyle name="Normal 16 3 3" xfId="17213" xr:uid="{D7F274C5-A8AB-4609-A776-81B4C9426D64}"/>
    <cellStyle name="Normal 16 4" xfId="9612" xr:uid="{8729F6E8-3534-4DAE-B0B2-B2AF3CDCD313}"/>
    <cellStyle name="Normal 16 5" xfId="12997" xr:uid="{A70C35D0-F7FC-4BC1-B655-2D0042728082}"/>
    <cellStyle name="Normal 17" xfId="8728" xr:uid="{3FF0972C-833B-4475-99D8-1A6907499E71}"/>
    <cellStyle name="Normal 17 2" xfId="9157" xr:uid="{6C872296-5E17-4821-9139-E52AD113B06C}"/>
    <cellStyle name="Normal 17 3" xfId="9154" xr:uid="{DC3FF210-EC1F-47CE-8CCE-F8F5460671B1}"/>
    <cellStyle name="Normal 17 4" xfId="17222" xr:uid="{2298B67A-CA86-4048-8C9F-38A84729C000}"/>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6966" xr:uid="{5156781B-6912-4271-8AFC-612EB65097C9}"/>
    <cellStyle name="Normal 2 4 2 10 2 3" xfId="12753" xr:uid="{18A9D33E-1C17-4199-AA6D-43A9E75B10F9}"/>
    <cellStyle name="Normal 2 4 2 10 3" xfId="6326" xr:uid="{00000000-0005-0000-0000-0000910E0000}"/>
    <cellStyle name="Normal 2 4 2 10 3 2" xfId="14821" xr:uid="{D4376F31-3E46-4B52-9051-BCC8E9FB130B}"/>
    <cellStyle name="Normal 2 4 2 10 4" xfId="10608" xr:uid="{A1B2413B-01B1-4CBD-A064-8EA740072DB4}"/>
    <cellStyle name="Normal 2 4 2 11" xfId="2456" xr:uid="{00000000-0005-0000-0000-0000920E0000}"/>
    <cellStyle name="Normal 2 4 2 11 2" xfId="6739" xr:uid="{00000000-0005-0000-0000-0000930E0000}"/>
    <cellStyle name="Normal 2 4 2 11 2 2" xfId="15234" xr:uid="{D73892D5-5BEA-4160-8FF6-E84F70B6C1D0}"/>
    <cellStyle name="Normal 2 4 2 11 3" xfId="11021" xr:uid="{74460ECC-9190-45E4-84C7-E38B751D61C4}"/>
    <cellStyle name="Normal 2 4 2 12" xfId="4673" xr:uid="{00000000-0005-0000-0000-0000940E0000}"/>
    <cellStyle name="Normal 2 4 2 12 2" xfId="13169" xr:uid="{5AFFA027-C530-4B2C-A0EF-BB421B648D51}"/>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0 2" xfId="13170" xr:uid="{8B254967-AC33-4E04-A90B-30DB491E3DEB}"/>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5731" xr:uid="{0D7FAE97-033F-498B-B742-609C84D70A70}"/>
    <cellStyle name="Normal 2 4 2 3 2 2 2 2 2 3" xfId="11518" xr:uid="{44F2275E-B2DE-4589-8595-69C919F28882}"/>
    <cellStyle name="Normal 2 4 2 3 2 2 2 2 3" xfId="5091" xr:uid="{00000000-0005-0000-0000-00009E0E0000}"/>
    <cellStyle name="Normal 2 4 2 3 2 2 2 2 3 2" xfId="13586" xr:uid="{21850331-B5E7-4ABA-9A46-10CBAEEF71B5}"/>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144" xr:uid="{AB868FA9-CE0F-434B-814A-1CD9ADD74CEE}"/>
    <cellStyle name="Normal 2 4 2 3 2 2 2 3 2 3" xfId="11931" xr:uid="{62CA6EC5-790F-4913-A086-84B7BA078203}"/>
    <cellStyle name="Normal 2 4 2 3 2 2 2 3 3" xfId="5504" xr:uid="{00000000-0005-0000-0000-0000A20E0000}"/>
    <cellStyle name="Normal 2 4 2 3 2 2 2 3 3 2" xfId="13999" xr:uid="{AC13CA3F-EA05-436B-B6F4-D51758B42F1B}"/>
    <cellStyle name="Normal 2 4 2 3 2 2 2 3 4" xfId="9786" xr:uid="{59FD9515-048E-4A6A-A3BD-89B57433BBAB}"/>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6557" xr:uid="{85D7DD0C-4291-44AF-9A02-CF80E1FF8E42}"/>
    <cellStyle name="Normal 2 4 2 3 2 2 2 4 2 3" xfId="12344" xr:uid="{C6AA5162-5666-4E06-ABF4-9DF5E8384F8D}"/>
    <cellStyle name="Normal 2 4 2 3 2 2 2 4 3" xfId="5917" xr:uid="{00000000-0005-0000-0000-0000A60E0000}"/>
    <cellStyle name="Normal 2 4 2 3 2 2 2 4 3 2" xfId="14412" xr:uid="{50B34DB4-1008-4BEB-B972-9D27D914E743}"/>
    <cellStyle name="Normal 2 4 2 3 2 2 2 4 4" xfId="10199" xr:uid="{A54EBA85-037E-4EC2-9285-3958C935711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6970" xr:uid="{DE07B9E8-41C7-4817-9FD4-938FB47D7720}"/>
    <cellStyle name="Normal 2 4 2 3 2 2 2 5 2 3" xfId="12757" xr:uid="{A63BF4BA-0E54-4801-BC0B-D836AF19D315}"/>
    <cellStyle name="Normal 2 4 2 3 2 2 2 5 3" xfId="6330" xr:uid="{00000000-0005-0000-0000-0000AA0E0000}"/>
    <cellStyle name="Normal 2 4 2 3 2 2 2 5 3 2" xfId="14825" xr:uid="{0593AE6F-EA72-445B-AF6C-D3323BA3D10A}"/>
    <cellStyle name="Normal 2 4 2 3 2 2 2 5 4" xfId="10612" xr:uid="{D2809D1F-1F6A-4B78-987A-020013370120}"/>
    <cellStyle name="Normal 2 4 2 3 2 2 2 6" xfId="2460" xr:uid="{00000000-0005-0000-0000-0000AB0E0000}"/>
    <cellStyle name="Normal 2 4 2 3 2 2 2 6 2" xfId="6743" xr:uid="{00000000-0005-0000-0000-0000AC0E0000}"/>
    <cellStyle name="Normal 2 4 2 3 2 2 2 6 2 2" xfId="15238" xr:uid="{D890134E-1D4F-4874-BAB0-8FC58B14AAD9}"/>
    <cellStyle name="Normal 2 4 2 3 2 2 2 6 3" xfId="11025" xr:uid="{598E99DD-9B12-4E1A-A938-F077266857E8}"/>
    <cellStyle name="Normal 2 4 2 3 2 2 2 7" xfId="4677" xr:uid="{00000000-0005-0000-0000-0000AD0E0000}"/>
    <cellStyle name="Normal 2 4 2 3 2 2 2 7 2" xfId="13173" xr:uid="{5EA20408-739C-4AD9-838E-412B568185DA}"/>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5730" xr:uid="{96ED4BE6-02AF-48A3-AD76-139E64A9E323}"/>
    <cellStyle name="Normal 2 4 2 3 2 2 3 2 3" xfId="11517" xr:uid="{25DA5091-51DB-42E9-A17E-F95F49321159}"/>
    <cellStyle name="Normal 2 4 2 3 2 2 3 3" xfId="5090" xr:uid="{00000000-0005-0000-0000-0000B10E0000}"/>
    <cellStyle name="Normal 2 4 2 3 2 2 3 3 2" xfId="13585" xr:uid="{8D81FB0F-E4BB-4DBA-A6D8-7AEB468255C1}"/>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143" xr:uid="{421F84C1-AB85-4C56-8505-8B244C95DE83}"/>
    <cellStyle name="Normal 2 4 2 3 2 2 4 2 3" xfId="11930" xr:uid="{71E7E4E6-3530-46F1-89F9-188A4CC3EC4C}"/>
    <cellStyle name="Normal 2 4 2 3 2 2 4 3" xfId="5503" xr:uid="{00000000-0005-0000-0000-0000B50E0000}"/>
    <cellStyle name="Normal 2 4 2 3 2 2 4 3 2" xfId="13998" xr:uid="{FC3405EC-0983-44F4-BBB7-F835E1FDD623}"/>
    <cellStyle name="Normal 2 4 2 3 2 2 4 4" xfId="9785" xr:uid="{B9DA720B-D42B-42E6-B9BC-B9DD5EC82FFA}"/>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6556" xr:uid="{F601C4A4-95A6-4238-A24A-CFAC8CEA6F84}"/>
    <cellStyle name="Normal 2 4 2 3 2 2 5 2 3" xfId="12343" xr:uid="{D3A7EA70-37A7-48B6-AABC-490E199008BF}"/>
    <cellStyle name="Normal 2 4 2 3 2 2 5 3" xfId="5916" xr:uid="{00000000-0005-0000-0000-0000B90E0000}"/>
    <cellStyle name="Normal 2 4 2 3 2 2 5 3 2" xfId="14411" xr:uid="{D5965A3B-7121-4CED-9763-ABA747AAEB47}"/>
    <cellStyle name="Normal 2 4 2 3 2 2 5 4" xfId="10198" xr:uid="{DA731B8F-5F1A-490C-B3C0-8C5C2984D9DE}"/>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6969" xr:uid="{930BA418-C118-4F97-A13F-9DD0A8883D71}"/>
    <cellStyle name="Normal 2 4 2 3 2 2 6 2 3" xfId="12756" xr:uid="{51CD44EB-4E86-4141-AC07-3F08DCF1CBD9}"/>
    <cellStyle name="Normal 2 4 2 3 2 2 6 3" xfId="6329" xr:uid="{00000000-0005-0000-0000-0000BD0E0000}"/>
    <cellStyle name="Normal 2 4 2 3 2 2 6 3 2" xfId="14824" xr:uid="{F41C3B7C-5426-41BD-BDB0-CBDE46D425AA}"/>
    <cellStyle name="Normal 2 4 2 3 2 2 6 4" xfId="10611" xr:uid="{0C5CC76B-BAD5-4CEE-9D88-144649CAEE04}"/>
    <cellStyle name="Normal 2 4 2 3 2 2 7" xfId="2459" xr:uid="{00000000-0005-0000-0000-0000BE0E0000}"/>
    <cellStyle name="Normal 2 4 2 3 2 2 7 2" xfId="6742" xr:uid="{00000000-0005-0000-0000-0000BF0E0000}"/>
    <cellStyle name="Normal 2 4 2 3 2 2 7 2 2" xfId="15237" xr:uid="{A119CDA3-03CF-47E8-9A77-DA7ED63495E6}"/>
    <cellStyle name="Normal 2 4 2 3 2 2 7 3" xfId="11024" xr:uid="{4C012ECE-00CC-48B0-B454-14A71267D9AC}"/>
    <cellStyle name="Normal 2 4 2 3 2 2 8" xfId="4676" xr:uid="{00000000-0005-0000-0000-0000C00E0000}"/>
    <cellStyle name="Normal 2 4 2 3 2 2 8 2" xfId="13172" xr:uid="{8428FD61-7237-4FDC-B21A-298DE0A00C1F}"/>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5732" xr:uid="{EA63B55E-2149-4673-B09F-E1B5482BE9C7}"/>
    <cellStyle name="Normal 2 4 2 3 2 3 2 2 3" xfId="11519" xr:uid="{0833ABC7-730E-4DA6-82C8-EB440475A2FB}"/>
    <cellStyle name="Normal 2 4 2 3 2 3 2 3" xfId="5092" xr:uid="{00000000-0005-0000-0000-0000C50E0000}"/>
    <cellStyle name="Normal 2 4 2 3 2 3 2 3 2" xfId="13587" xr:uid="{21CE5BDF-64C0-4395-ACD8-E1747F58367B}"/>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145" xr:uid="{F1C260D3-89C3-45AF-BDA1-2AC018E55FDF}"/>
    <cellStyle name="Normal 2 4 2 3 2 3 3 2 3" xfId="11932" xr:uid="{C04A7C60-8DA5-49DB-BBDC-5CBBE716FE51}"/>
    <cellStyle name="Normal 2 4 2 3 2 3 3 3" xfId="5505" xr:uid="{00000000-0005-0000-0000-0000C90E0000}"/>
    <cellStyle name="Normal 2 4 2 3 2 3 3 3 2" xfId="14000" xr:uid="{01038C14-0942-49E0-B282-0E6F502708F4}"/>
    <cellStyle name="Normal 2 4 2 3 2 3 3 4" xfId="9787" xr:uid="{D2D6F24E-C87C-4E04-93AC-D9B2EB6D6C11}"/>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6558" xr:uid="{2BB41ADD-71EB-4AE9-9304-3D492494EC10}"/>
    <cellStyle name="Normal 2 4 2 3 2 3 4 2 3" xfId="12345" xr:uid="{D20CB150-DAD2-4E32-AED9-E89F08D6EFAB}"/>
    <cellStyle name="Normal 2 4 2 3 2 3 4 3" xfId="5918" xr:uid="{00000000-0005-0000-0000-0000CD0E0000}"/>
    <cellStyle name="Normal 2 4 2 3 2 3 4 3 2" xfId="14413" xr:uid="{84F1D766-300D-4DD7-B8B5-6F902C510860}"/>
    <cellStyle name="Normal 2 4 2 3 2 3 4 4" xfId="10200" xr:uid="{78722AC8-502F-4BF1-BD8C-144A64AE9434}"/>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6971" xr:uid="{C3BD5B2B-FFCA-4369-945D-5C3D9EA8C038}"/>
    <cellStyle name="Normal 2 4 2 3 2 3 5 2 3" xfId="12758" xr:uid="{7BA47890-C542-4A90-810D-6B434B4D0E99}"/>
    <cellStyle name="Normal 2 4 2 3 2 3 5 3" xfId="6331" xr:uid="{00000000-0005-0000-0000-0000D10E0000}"/>
    <cellStyle name="Normal 2 4 2 3 2 3 5 3 2" xfId="14826" xr:uid="{B5D3A5EC-F2D6-48F7-AC9E-6BE5894BCDF5}"/>
    <cellStyle name="Normal 2 4 2 3 2 3 5 4" xfId="10613" xr:uid="{45463E7A-A877-45C2-A099-B0B6A0476E19}"/>
    <cellStyle name="Normal 2 4 2 3 2 3 6" xfId="2461" xr:uid="{00000000-0005-0000-0000-0000D20E0000}"/>
    <cellStyle name="Normal 2 4 2 3 2 3 6 2" xfId="6744" xr:uid="{00000000-0005-0000-0000-0000D30E0000}"/>
    <cellStyle name="Normal 2 4 2 3 2 3 6 2 2" xfId="15239" xr:uid="{96C31B67-F95C-4E16-BE5F-8E46E3DF81DE}"/>
    <cellStyle name="Normal 2 4 2 3 2 3 6 3" xfId="11026" xr:uid="{ECBA9A06-28DF-4D1A-A580-44130820D68E}"/>
    <cellStyle name="Normal 2 4 2 3 2 3 7" xfId="4678" xr:uid="{00000000-0005-0000-0000-0000D40E0000}"/>
    <cellStyle name="Normal 2 4 2 3 2 3 7 2" xfId="13174" xr:uid="{DA9C7359-D282-4EEC-AC56-047969946BC2}"/>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5729" xr:uid="{CF9540D7-78A4-4C1A-BD35-97A3F9715489}"/>
    <cellStyle name="Normal 2 4 2 3 2 4 2 3" xfId="11516" xr:uid="{6A878C9D-5EB7-480F-B4A8-662E135DCEF5}"/>
    <cellStyle name="Normal 2 4 2 3 2 4 3" xfId="5089" xr:uid="{00000000-0005-0000-0000-0000D80E0000}"/>
    <cellStyle name="Normal 2 4 2 3 2 4 3 2" xfId="13584" xr:uid="{EBF8FF5A-2E29-44FB-A3A6-0C7E3F1CA452}"/>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142" xr:uid="{105E26FA-2667-4E0B-8AB3-D472AD690114}"/>
    <cellStyle name="Normal 2 4 2 3 2 5 2 3" xfId="11929" xr:uid="{856FF98B-021C-4D8E-9A6A-56438BC825BA}"/>
    <cellStyle name="Normal 2 4 2 3 2 5 3" xfId="5502" xr:uid="{00000000-0005-0000-0000-0000DC0E0000}"/>
    <cellStyle name="Normal 2 4 2 3 2 5 3 2" xfId="13997" xr:uid="{08C25330-2598-4A69-9CB6-D409CA470A3E}"/>
    <cellStyle name="Normal 2 4 2 3 2 5 4" xfId="9784" xr:uid="{C95BC8F9-C777-4E97-920B-AA1B7B170D26}"/>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6555" xr:uid="{B925B298-30E8-4BE9-94E5-9F7BE8A75D1C}"/>
    <cellStyle name="Normal 2 4 2 3 2 6 2 3" xfId="12342" xr:uid="{CB7E6148-BF9B-45F2-9DF6-8BB886320516}"/>
    <cellStyle name="Normal 2 4 2 3 2 6 3" xfId="5915" xr:uid="{00000000-0005-0000-0000-0000E00E0000}"/>
    <cellStyle name="Normal 2 4 2 3 2 6 3 2" xfId="14410" xr:uid="{4C468572-8056-4C41-B45F-9FCA20FB565D}"/>
    <cellStyle name="Normal 2 4 2 3 2 6 4" xfId="10197" xr:uid="{1FC1059E-01B3-478D-8AA4-E32B2F4CF233}"/>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6968" xr:uid="{419902F8-DEFB-4A56-B45D-AA32BB76DE97}"/>
    <cellStyle name="Normal 2 4 2 3 2 7 2 3" xfId="12755" xr:uid="{7480EC37-0D5E-48C5-96F3-24DC1741C19E}"/>
    <cellStyle name="Normal 2 4 2 3 2 7 3" xfId="6328" xr:uid="{00000000-0005-0000-0000-0000E40E0000}"/>
    <cellStyle name="Normal 2 4 2 3 2 7 3 2" xfId="14823" xr:uid="{B820B086-5848-4ACF-9C4F-52BC1A1FBD75}"/>
    <cellStyle name="Normal 2 4 2 3 2 7 4" xfId="10610" xr:uid="{7EDF9CF0-FECB-4E37-9BE5-6E23CFF882C7}"/>
    <cellStyle name="Normal 2 4 2 3 2 8" xfId="2458" xr:uid="{00000000-0005-0000-0000-0000E50E0000}"/>
    <cellStyle name="Normal 2 4 2 3 2 8 2" xfId="6741" xr:uid="{00000000-0005-0000-0000-0000E60E0000}"/>
    <cellStyle name="Normal 2 4 2 3 2 8 2 2" xfId="15236" xr:uid="{C87CF0EE-29FB-4A83-B052-2CF009775782}"/>
    <cellStyle name="Normal 2 4 2 3 2 8 3" xfId="11023" xr:uid="{A3F96302-D997-4D6C-ACFA-7AC1332148EF}"/>
    <cellStyle name="Normal 2 4 2 3 2 9" xfId="4675" xr:uid="{00000000-0005-0000-0000-0000E70E0000}"/>
    <cellStyle name="Normal 2 4 2 3 2 9 2" xfId="13171" xr:uid="{81CED7D6-C880-457D-A1F6-A4FA774DCAE1}"/>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5734" xr:uid="{7342642F-833C-4E52-9F83-FCDD72723431}"/>
    <cellStyle name="Normal 2 4 2 3 3 2 2 2 3" xfId="11521" xr:uid="{066CC41C-4C8A-401E-9EBA-5FA1D8535186}"/>
    <cellStyle name="Normal 2 4 2 3 3 2 2 3" xfId="5094" xr:uid="{00000000-0005-0000-0000-0000ED0E0000}"/>
    <cellStyle name="Normal 2 4 2 3 3 2 2 3 2" xfId="13589" xr:uid="{88F280B8-FB79-417E-A673-8D172B80A768}"/>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147" xr:uid="{5D1C3B7E-532A-42B4-8604-CD730FE9CA2F}"/>
    <cellStyle name="Normal 2 4 2 3 3 2 3 2 3" xfId="11934" xr:uid="{E436878D-0E37-47CE-9AA8-AA09447BF849}"/>
    <cellStyle name="Normal 2 4 2 3 3 2 3 3" xfId="5507" xr:uid="{00000000-0005-0000-0000-0000F10E0000}"/>
    <cellStyle name="Normal 2 4 2 3 3 2 3 3 2" xfId="14002" xr:uid="{83B6D3EA-CF17-4384-934E-583C353EDA57}"/>
    <cellStyle name="Normal 2 4 2 3 3 2 3 4" xfId="9789" xr:uid="{6730784B-1EE1-4364-A952-3992ABDB458E}"/>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6560" xr:uid="{1A344526-15E6-48EA-A779-469F4E4160DE}"/>
    <cellStyle name="Normal 2 4 2 3 3 2 4 2 3" xfId="12347" xr:uid="{55F89A9B-A428-4379-97BB-9E82D8F717F8}"/>
    <cellStyle name="Normal 2 4 2 3 3 2 4 3" xfId="5920" xr:uid="{00000000-0005-0000-0000-0000F50E0000}"/>
    <cellStyle name="Normal 2 4 2 3 3 2 4 3 2" xfId="14415" xr:uid="{0255F9B9-0C75-4DDE-B5CF-E685CF0A3813}"/>
    <cellStyle name="Normal 2 4 2 3 3 2 4 4" xfId="10202" xr:uid="{897EA19C-D362-48FF-9F77-3634757759BA}"/>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6973" xr:uid="{D3BA2638-89C8-4694-9FB4-880D18DFFAAB}"/>
    <cellStyle name="Normal 2 4 2 3 3 2 5 2 3" xfId="12760" xr:uid="{353DBE67-43D4-425B-9B5F-C8D9BE876F7D}"/>
    <cellStyle name="Normal 2 4 2 3 3 2 5 3" xfId="6333" xr:uid="{00000000-0005-0000-0000-0000F90E0000}"/>
    <cellStyle name="Normal 2 4 2 3 3 2 5 3 2" xfId="14828" xr:uid="{EE3C5E75-7DBE-4AC5-B89A-9F447490C8F7}"/>
    <cellStyle name="Normal 2 4 2 3 3 2 5 4" xfId="10615" xr:uid="{EB06F8D4-FF92-4739-92F3-9F47B3F13F49}"/>
    <cellStyle name="Normal 2 4 2 3 3 2 6" xfId="2463" xr:uid="{00000000-0005-0000-0000-0000FA0E0000}"/>
    <cellStyle name="Normal 2 4 2 3 3 2 6 2" xfId="6746" xr:uid="{00000000-0005-0000-0000-0000FB0E0000}"/>
    <cellStyle name="Normal 2 4 2 3 3 2 6 2 2" xfId="15241" xr:uid="{28AF5CB4-4B1F-4538-A03A-2E1896D192A9}"/>
    <cellStyle name="Normal 2 4 2 3 3 2 6 3" xfId="11028" xr:uid="{CBBB8D00-BC96-43E2-96EA-5A4633D16B58}"/>
    <cellStyle name="Normal 2 4 2 3 3 2 7" xfId="4680" xr:uid="{00000000-0005-0000-0000-0000FC0E0000}"/>
    <cellStyle name="Normal 2 4 2 3 3 2 7 2" xfId="13176" xr:uid="{7D3FC765-470C-4190-A87A-414F5FCB9353}"/>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5733" xr:uid="{3F05C5E7-0FD4-4816-B111-5CA4CF1E0D85}"/>
    <cellStyle name="Normal 2 4 2 3 3 3 2 3" xfId="11520" xr:uid="{3DAFB8A2-104D-48B3-A37A-0349285F533C}"/>
    <cellStyle name="Normal 2 4 2 3 3 3 3" xfId="5093" xr:uid="{00000000-0005-0000-0000-0000000F0000}"/>
    <cellStyle name="Normal 2 4 2 3 3 3 3 2" xfId="13588" xr:uid="{B41B3841-D233-454C-A3BC-4F1ED0F8077C}"/>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146" xr:uid="{F3DF903C-0A40-4FC0-9BFA-330883549D24}"/>
    <cellStyle name="Normal 2 4 2 3 3 4 2 3" xfId="11933" xr:uid="{10CF63E8-8C29-4556-A0B7-F473F36956BF}"/>
    <cellStyle name="Normal 2 4 2 3 3 4 3" xfId="5506" xr:uid="{00000000-0005-0000-0000-0000040F0000}"/>
    <cellStyle name="Normal 2 4 2 3 3 4 3 2" xfId="14001" xr:uid="{95909AAE-5769-4FD5-8B7F-085CF7BDD2EF}"/>
    <cellStyle name="Normal 2 4 2 3 3 4 4" xfId="9788" xr:uid="{E4F6D3FF-5273-4DA9-9293-72496F0F11C9}"/>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6559" xr:uid="{B65DE5CE-20C7-405F-9952-076C092D1D94}"/>
    <cellStyle name="Normal 2 4 2 3 3 5 2 3" xfId="12346" xr:uid="{D5988D9E-F39B-4DF6-A6A2-545681827838}"/>
    <cellStyle name="Normal 2 4 2 3 3 5 3" xfId="5919" xr:uid="{00000000-0005-0000-0000-0000080F0000}"/>
    <cellStyle name="Normal 2 4 2 3 3 5 3 2" xfId="14414" xr:uid="{E2CD5E02-7377-4703-B86B-1B9FC00B1BCA}"/>
    <cellStyle name="Normal 2 4 2 3 3 5 4" xfId="10201" xr:uid="{C2ED1F08-34B3-4A37-AE12-74E9C3720E96}"/>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6972" xr:uid="{D9DB729B-248B-45A9-BBC8-707639C172E3}"/>
    <cellStyle name="Normal 2 4 2 3 3 6 2 3" xfId="12759" xr:uid="{F81AA117-24E9-47D8-A773-3C9AC8B51A59}"/>
    <cellStyle name="Normal 2 4 2 3 3 6 3" xfId="6332" xr:uid="{00000000-0005-0000-0000-00000C0F0000}"/>
    <cellStyle name="Normal 2 4 2 3 3 6 3 2" xfId="14827" xr:uid="{5EF7711E-37F9-4178-A548-38429B14D6A5}"/>
    <cellStyle name="Normal 2 4 2 3 3 6 4" xfId="10614" xr:uid="{0162A9E8-0B08-43CB-9278-9CC56D058B4D}"/>
    <cellStyle name="Normal 2 4 2 3 3 7" xfId="2462" xr:uid="{00000000-0005-0000-0000-00000D0F0000}"/>
    <cellStyle name="Normal 2 4 2 3 3 7 2" xfId="6745" xr:uid="{00000000-0005-0000-0000-00000E0F0000}"/>
    <cellStyle name="Normal 2 4 2 3 3 7 2 2" xfId="15240" xr:uid="{471C4E0D-4AF3-488A-A326-75B76335534D}"/>
    <cellStyle name="Normal 2 4 2 3 3 7 3" xfId="11027" xr:uid="{4F977EBB-C41F-43C1-AE5E-BAA48AFCF6FF}"/>
    <cellStyle name="Normal 2 4 2 3 3 8" xfId="4679" xr:uid="{00000000-0005-0000-0000-00000F0F0000}"/>
    <cellStyle name="Normal 2 4 2 3 3 8 2" xfId="13175" xr:uid="{1C41403C-6AD6-46CC-96DA-4503EE409F82}"/>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5735" xr:uid="{DA4CA744-A146-4FAD-8910-040611C9E071}"/>
    <cellStyle name="Normal 2 4 2 3 4 2 2 3" xfId="11522" xr:uid="{69C1B1CA-3F21-47F6-99C6-CA302BB8C609}"/>
    <cellStyle name="Normal 2 4 2 3 4 2 3" xfId="5095" xr:uid="{00000000-0005-0000-0000-0000140F0000}"/>
    <cellStyle name="Normal 2 4 2 3 4 2 3 2" xfId="13590" xr:uid="{FF50808C-D949-4BF0-BC34-3E574036D3AF}"/>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148" xr:uid="{530ED118-5CFA-4331-8B49-05291EC4384F}"/>
    <cellStyle name="Normal 2 4 2 3 4 3 2 3" xfId="11935" xr:uid="{2B21F6DD-954C-4E9A-BB88-E4028BBF4DC7}"/>
    <cellStyle name="Normal 2 4 2 3 4 3 3" xfId="5508" xr:uid="{00000000-0005-0000-0000-0000180F0000}"/>
    <cellStyle name="Normal 2 4 2 3 4 3 3 2" xfId="14003" xr:uid="{B4025F66-F531-4FBC-92A0-AA7C625A5145}"/>
    <cellStyle name="Normal 2 4 2 3 4 3 4" xfId="9790" xr:uid="{43D2E0DD-C273-4506-B71F-B8B7F87A6FB3}"/>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6561" xr:uid="{A163ED53-A19B-487C-AFC4-ABC58CA666DC}"/>
    <cellStyle name="Normal 2 4 2 3 4 4 2 3" xfId="12348" xr:uid="{712B35CA-2288-40C1-BA23-019A5F5394AF}"/>
    <cellStyle name="Normal 2 4 2 3 4 4 3" xfId="5921" xr:uid="{00000000-0005-0000-0000-00001C0F0000}"/>
    <cellStyle name="Normal 2 4 2 3 4 4 3 2" xfId="14416" xr:uid="{72768629-2B60-41F8-9B44-BDA73260E940}"/>
    <cellStyle name="Normal 2 4 2 3 4 4 4" xfId="10203" xr:uid="{CDBDE8B6-6933-4389-BE1F-D8002F0C0B48}"/>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6974" xr:uid="{5ACFD857-3494-461B-B7CC-40198DE79764}"/>
    <cellStyle name="Normal 2 4 2 3 4 5 2 3" xfId="12761" xr:uid="{3709F077-5B19-4357-8DFE-A7C8A20CE722}"/>
    <cellStyle name="Normal 2 4 2 3 4 5 3" xfId="6334" xr:uid="{00000000-0005-0000-0000-0000200F0000}"/>
    <cellStyle name="Normal 2 4 2 3 4 5 3 2" xfId="14829" xr:uid="{B83F03C8-05B4-4254-940B-2C87B5F9A877}"/>
    <cellStyle name="Normal 2 4 2 3 4 5 4" xfId="10616" xr:uid="{2D2572BC-6430-4E74-A884-FCA60F082197}"/>
    <cellStyle name="Normal 2 4 2 3 4 6" xfId="2464" xr:uid="{00000000-0005-0000-0000-0000210F0000}"/>
    <cellStyle name="Normal 2 4 2 3 4 6 2" xfId="6747" xr:uid="{00000000-0005-0000-0000-0000220F0000}"/>
    <cellStyle name="Normal 2 4 2 3 4 6 2 2" xfId="15242" xr:uid="{B47BEB55-AED2-45D6-A465-2568A663F1FE}"/>
    <cellStyle name="Normal 2 4 2 3 4 6 3" xfId="11029" xr:uid="{09A7CDBE-BE13-4BD9-9F8F-80897AAB7E1E}"/>
    <cellStyle name="Normal 2 4 2 3 4 7" xfId="4681" xr:uid="{00000000-0005-0000-0000-0000230F0000}"/>
    <cellStyle name="Normal 2 4 2 3 4 7 2" xfId="13177" xr:uid="{A91EC580-6EE9-41A4-9FBE-7C40D17A4B67}"/>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5728" xr:uid="{55BD8950-66AF-4EAE-9B7D-5D66B04579FF}"/>
    <cellStyle name="Normal 2 4 2 3 5 2 3" xfId="11515" xr:uid="{D9A97F1C-D9AB-4D80-8C5F-5F5C145FE8EA}"/>
    <cellStyle name="Normal 2 4 2 3 5 3" xfId="5088" xr:uid="{00000000-0005-0000-0000-0000270F0000}"/>
    <cellStyle name="Normal 2 4 2 3 5 3 2" xfId="13583" xr:uid="{4C593BF7-5871-464D-BA58-7375B4A1D75A}"/>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141" xr:uid="{6348B6C2-7974-44F0-B74F-2E43D08238D2}"/>
    <cellStyle name="Normal 2 4 2 3 6 2 3" xfId="11928" xr:uid="{5548EE5C-3F61-4B63-85BF-F995ADEBA7E3}"/>
    <cellStyle name="Normal 2 4 2 3 6 3" xfId="5501" xr:uid="{00000000-0005-0000-0000-00002B0F0000}"/>
    <cellStyle name="Normal 2 4 2 3 6 3 2" xfId="13996" xr:uid="{0B3ABCBE-89A9-4205-A4D1-6BB4BD87E73D}"/>
    <cellStyle name="Normal 2 4 2 3 6 4" xfId="9783" xr:uid="{A166EF40-809E-4648-B54F-47C019E028E1}"/>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6554" xr:uid="{5068FD50-09BB-4452-BC49-0202C1BF97FF}"/>
    <cellStyle name="Normal 2 4 2 3 7 2 3" xfId="12341" xr:uid="{83C9F57D-2393-4393-9A2D-0CE90FFAE810}"/>
    <cellStyle name="Normal 2 4 2 3 7 3" xfId="5914" xr:uid="{00000000-0005-0000-0000-00002F0F0000}"/>
    <cellStyle name="Normal 2 4 2 3 7 3 2" xfId="14409" xr:uid="{32853CCF-BD4A-4A8B-B348-1FB51AC2CA47}"/>
    <cellStyle name="Normal 2 4 2 3 7 4" xfId="10196" xr:uid="{0A9A3492-A28D-430D-A39A-C2F9DD693A2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6967" xr:uid="{ED973C76-56ED-4018-B966-55D61C1C19DF}"/>
    <cellStyle name="Normal 2 4 2 3 8 2 3" xfId="12754" xr:uid="{FDC5A079-5495-4ED5-917B-A8C8611447F2}"/>
    <cellStyle name="Normal 2 4 2 3 8 3" xfId="6327" xr:uid="{00000000-0005-0000-0000-0000330F0000}"/>
    <cellStyle name="Normal 2 4 2 3 8 3 2" xfId="14822" xr:uid="{0D04F83A-1F49-40EF-AAF1-B38A446BD28A}"/>
    <cellStyle name="Normal 2 4 2 3 8 4" xfId="10609" xr:uid="{93F4CF84-18E5-4865-9532-9C9E7004636D}"/>
    <cellStyle name="Normal 2 4 2 3 9" xfId="2457" xr:uid="{00000000-0005-0000-0000-0000340F0000}"/>
    <cellStyle name="Normal 2 4 2 3 9 2" xfId="6740" xr:uid="{00000000-0005-0000-0000-0000350F0000}"/>
    <cellStyle name="Normal 2 4 2 3 9 2 2" xfId="15235" xr:uid="{2699234F-2E2C-4F5A-AD17-AC34273B4218}"/>
    <cellStyle name="Normal 2 4 2 3 9 3" xfId="11022" xr:uid="{08C5B9A1-6FC7-4C51-9625-020229614C75}"/>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5738" xr:uid="{A0F3E418-C2A5-414E-9DFA-6291545D6125}"/>
    <cellStyle name="Normal 2 4 2 4 2 2 2 2 3" xfId="11525" xr:uid="{B4A7EA5C-EF2A-44E5-954C-F5999ADA7F9A}"/>
    <cellStyle name="Normal 2 4 2 4 2 2 2 3" xfId="5098" xr:uid="{00000000-0005-0000-0000-00003C0F0000}"/>
    <cellStyle name="Normal 2 4 2 4 2 2 2 3 2" xfId="13593" xr:uid="{12CA8975-1ED5-4639-8717-F9CC00C63136}"/>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151" xr:uid="{C3D62893-A595-459E-A2DB-8C71CC774B63}"/>
    <cellStyle name="Normal 2 4 2 4 2 2 3 2 3" xfId="11938" xr:uid="{523029D1-F93B-43E6-83B9-B78C9B24D52D}"/>
    <cellStyle name="Normal 2 4 2 4 2 2 3 3" xfId="5511" xr:uid="{00000000-0005-0000-0000-0000400F0000}"/>
    <cellStyle name="Normal 2 4 2 4 2 2 3 3 2" xfId="14006" xr:uid="{CEC2827D-8333-405E-99BD-42D8A836AAD2}"/>
    <cellStyle name="Normal 2 4 2 4 2 2 3 4" xfId="9793" xr:uid="{A4AEA10F-076C-4C0D-83C0-9AA09889D96F}"/>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6564" xr:uid="{856BCCEE-B707-4CAF-9D26-609767937188}"/>
    <cellStyle name="Normal 2 4 2 4 2 2 4 2 3" xfId="12351" xr:uid="{2337A7F5-987D-4859-BAA2-B797DB2F8103}"/>
    <cellStyle name="Normal 2 4 2 4 2 2 4 3" xfId="5924" xr:uid="{00000000-0005-0000-0000-0000440F0000}"/>
    <cellStyle name="Normal 2 4 2 4 2 2 4 3 2" xfId="14419" xr:uid="{B9294BFA-9922-4560-A33F-EB3BB49D3AAD}"/>
    <cellStyle name="Normal 2 4 2 4 2 2 4 4" xfId="10206" xr:uid="{E0E9E7EE-FD63-4F24-B25B-EB60CF60F5A7}"/>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6977" xr:uid="{C25EA3F3-362A-4E37-8894-0500F2BFBD24}"/>
    <cellStyle name="Normal 2 4 2 4 2 2 5 2 3" xfId="12764" xr:uid="{2E612A11-3B1D-45E3-BB92-15728D0453B6}"/>
    <cellStyle name="Normal 2 4 2 4 2 2 5 3" xfId="6337" xr:uid="{00000000-0005-0000-0000-0000480F0000}"/>
    <cellStyle name="Normal 2 4 2 4 2 2 5 3 2" xfId="14832" xr:uid="{3F509D24-1C73-4638-9EB7-C806EAE5FF56}"/>
    <cellStyle name="Normal 2 4 2 4 2 2 5 4" xfId="10619" xr:uid="{2D7CAC3F-24E9-4CA3-A9F9-C07393B152AC}"/>
    <cellStyle name="Normal 2 4 2 4 2 2 6" xfId="2467" xr:uid="{00000000-0005-0000-0000-0000490F0000}"/>
    <cellStyle name="Normal 2 4 2 4 2 2 6 2" xfId="6750" xr:uid="{00000000-0005-0000-0000-00004A0F0000}"/>
    <cellStyle name="Normal 2 4 2 4 2 2 6 2 2" xfId="15245" xr:uid="{54FEEDDC-62E5-4D01-87C7-0E1B9B46C407}"/>
    <cellStyle name="Normal 2 4 2 4 2 2 6 3" xfId="11032" xr:uid="{91FDE18D-FDF5-4070-AEAB-A4E5DDA609E5}"/>
    <cellStyle name="Normal 2 4 2 4 2 2 7" xfId="4684" xr:uid="{00000000-0005-0000-0000-00004B0F0000}"/>
    <cellStyle name="Normal 2 4 2 4 2 2 7 2" xfId="13180" xr:uid="{6306288B-7F76-48DF-94CD-2B161B79DB85}"/>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5737" xr:uid="{BE451B8E-44A7-44D0-AFB2-C8A80D92B2AB}"/>
    <cellStyle name="Normal 2 4 2 4 2 3 2 3" xfId="11524" xr:uid="{1CAF9A65-B4EF-4BD9-BC9A-84BA2D78ED4C}"/>
    <cellStyle name="Normal 2 4 2 4 2 3 3" xfId="5097" xr:uid="{00000000-0005-0000-0000-00004F0F0000}"/>
    <cellStyle name="Normal 2 4 2 4 2 3 3 2" xfId="13592" xr:uid="{0D2CD2B4-0F7A-474A-9A07-3BA7026020FD}"/>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150" xr:uid="{74E43AD0-2B62-4D64-BD57-44776221F9A7}"/>
    <cellStyle name="Normal 2 4 2 4 2 4 2 3" xfId="11937" xr:uid="{F46D1229-DE03-43E5-802D-8094F1648C39}"/>
    <cellStyle name="Normal 2 4 2 4 2 4 3" xfId="5510" xr:uid="{00000000-0005-0000-0000-0000530F0000}"/>
    <cellStyle name="Normal 2 4 2 4 2 4 3 2" xfId="14005" xr:uid="{8F8A17D7-F899-42BE-A30E-74C8CAEC1781}"/>
    <cellStyle name="Normal 2 4 2 4 2 4 4" xfId="9792" xr:uid="{AE36EF99-F571-469C-AACF-24B9D30BBA1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6563" xr:uid="{B76C3E72-FB55-4FF0-8B8D-71FA83F93D97}"/>
    <cellStyle name="Normal 2 4 2 4 2 5 2 3" xfId="12350" xr:uid="{C318E430-025B-418B-91F9-A7A99F29DB1C}"/>
    <cellStyle name="Normal 2 4 2 4 2 5 3" xfId="5923" xr:uid="{00000000-0005-0000-0000-0000570F0000}"/>
    <cellStyle name="Normal 2 4 2 4 2 5 3 2" xfId="14418" xr:uid="{BAFC73EC-8F8B-4194-8359-AD394FB5FCF6}"/>
    <cellStyle name="Normal 2 4 2 4 2 5 4" xfId="10205" xr:uid="{06B82198-E7EB-4B2E-A0A6-3BAA95F7A541}"/>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6976" xr:uid="{0F42BCDF-D39B-46FD-B6E3-FD8793413DEE}"/>
    <cellStyle name="Normal 2 4 2 4 2 6 2 3" xfId="12763" xr:uid="{0B80F74A-34A0-4624-A340-6C31361AA76C}"/>
    <cellStyle name="Normal 2 4 2 4 2 6 3" xfId="6336" xr:uid="{00000000-0005-0000-0000-00005B0F0000}"/>
    <cellStyle name="Normal 2 4 2 4 2 6 3 2" xfId="14831" xr:uid="{87946538-0938-4FEA-9A5F-544C148072AE}"/>
    <cellStyle name="Normal 2 4 2 4 2 6 4" xfId="10618" xr:uid="{C8FB5DAF-099B-432F-9080-DCC5A414B1AD}"/>
    <cellStyle name="Normal 2 4 2 4 2 7" xfId="2466" xr:uid="{00000000-0005-0000-0000-00005C0F0000}"/>
    <cellStyle name="Normal 2 4 2 4 2 7 2" xfId="6749" xr:uid="{00000000-0005-0000-0000-00005D0F0000}"/>
    <cellStyle name="Normal 2 4 2 4 2 7 2 2" xfId="15244" xr:uid="{489AEE28-CFF3-4578-830D-FF9E1DD9CD7D}"/>
    <cellStyle name="Normal 2 4 2 4 2 7 3" xfId="11031" xr:uid="{7A3EEB43-7EF0-4959-8917-57F05CA2E711}"/>
    <cellStyle name="Normal 2 4 2 4 2 8" xfId="4683" xr:uid="{00000000-0005-0000-0000-00005E0F0000}"/>
    <cellStyle name="Normal 2 4 2 4 2 8 2" xfId="13179" xr:uid="{6320C875-9A37-4D24-9D7F-21E037EC9D2C}"/>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5739" xr:uid="{8E46F8A8-68C3-477B-9A85-E35055516214}"/>
    <cellStyle name="Normal 2 4 2 4 3 2 2 3" xfId="11526" xr:uid="{68F6B5D7-DDAD-4F18-B85B-3CCAFAEEF7C0}"/>
    <cellStyle name="Normal 2 4 2 4 3 2 3" xfId="5099" xr:uid="{00000000-0005-0000-0000-0000630F0000}"/>
    <cellStyle name="Normal 2 4 2 4 3 2 3 2" xfId="13594" xr:uid="{9B964C41-1EBD-4CA3-853A-B8520E18F32D}"/>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152" xr:uid="{2DA49453-829F-49EB-B18A-94A90D2F933B}"/>
    <cellStyle name="Normal 2 4 2 4 3 3 2 3" xfId="11939" xr:uid="{462E986D-1320-4577-9A2E-819897E03CD2}"/>
    <cellStyle name="Normal 2 4 2 4 3 3 3" xfId="5512" xr:uid="{00000000-0005-0000-0000-0000670F0000}"/>
    <cellStyle name="Normal 2 4 2 4 3 3 3 2" xfId="14007" xr:uid="{1E8305EE-6A9E-4407-9DC4-D468AD04560F}"/>
    <cellStyle name="Normal 2 4 2 4 3 3 4" xfId="9794" xr:uid="{62431E34-3CA5-42FA-BF44-95C71FE1439A}"/>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6565" xr:uid="{2376DB6D-16D2-488B-AB0D-BAEC11378070}"/>
    <cellStyle name="Normal 2 4 2 4 3 4 2 3" xfId="12352" xr:uid="{93834A95-4BC1-4902-A9A7-0079363968FA}"/>
    <cellStyle name="Normal 2 4 2 4 3 4 3" xfId="5925" xr:uid="{00000000-0005-0000-0000-00006B0F0000}"/>
    <cellStyle name="Normal 2 4 2 4 3 4 3 2" xfId="14420" xr:uid="{88155321-58AB-4C16-91E5-320AABB5C435}"/>
    <cellStyle name="Normal 2 4 2 4 3 4 4" xfId="10207" xr:uid="{224821B2-456A-4A8E-AF36-79499BFC2052}"/>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6978" xr:uid="{FA0C226D-B994-4367-8899-7A52118B6C33}"/>
    <cellStyle name="Normal 2 4 2 4 3 5 2 3" xfId="12765" xr:uid="{B0C68DA6-C1A0-4AD8-B000-F757B792BAE1}"/>
    <cellStyle name="Normal 2 4 2 4 3 5 3" xfId="6338" xr:uid="{00000000-0005-0000-0000-00006F0F0000}"/>
    <cellStyle name="Normal 2 4 2 4 3 5 3 2" xfId="14833" xr:uid="{96CD9B4F-76AE-430F-AA9E-DFE900A648A9}"/>
    <cellStyle name="Normal 2 4 2 4 3 5 4" xfId="10620" xr:uid="{95618E72-3B76-4DE3-8236-67FBC1ABD88F}"/>
    <cellStyle name="Normal 2 4 2 4 3 6" xfId="2468" xr:uid="{00000000-0005-0000-0000-0000700F0000}"/>
    <cellStyle name="Normal 2 4 2 4 3 6 2" xfId="6751" xr:uid="{00000000-0005-0000-0000-0000710F0000}"/>
    <cellStyle name="Normal 2 4 2 4 3 6 2 2" xfId="15246" xr:uid="{99EEBE14-D8CF-4E5D-87DD-2786CD22AE43}"/>
    <cellStyle name="Normal 2 4 2 4 3 6 3" xfId="11033" xr:uid="{B4156292-E810-4BA1-A9D0-081E849EE57B}"/>
    <cellStyle name="Normal 2 4 2 4 3 7" xfId="4685" xr:uid="{00000000-0005-0000-0000-0000720F0000}"/>
    <cellStyle name="Normal 2 4 2 4 3 7 2" xfId="13181" xr:uid="{D571537D-1830-43DC-B53E-D450F1C374A9}"/>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5736" xr:uid="{DE7209E6-5435-45BE-9CCF-D84C4E5C5A61}"/>
    <cellStyle name="Normal 2 4 2 4 4 2 3" xfId="11523" xr:uid="{6FFAB782-84AC-4282-9E7C-A4641A1AEBEE}"/>
    <cellStyle name="Normal 2 4 2 4 4 3" xfId="5096" xr:uid="{00000000-0005-0000-0000-0000760F0000}"/>
    <cellStyle name="Normal 2 4 2 4 4 3 2" xfId="13591" xr:uid="{8596E2AF-BA5D-4A31-818F-27DDB3492125}"/>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149" xr:uid="{C980DA43-73B6-471E-BEC0-99A7B37797BF}"/>
    <cellStyle name="Normal 2 4 2 4 5 2 3" xfId="11936" xr:uid="{19CFE3D9-5B2A-4005-AA52-3DDB16C36A74}"/>
    <cellStyle name="Normal 2 4 2 4 5 3" xfId="5509" xr:uid="{00000000-0005-0000-0000-00007A0F0000}"/>
    <cellStyle name="Normal 2 4 2 4 5 3 2" xfId="14004" xr:uid="{06C969D9-499C-4B74-8DD7-24FB013A3E5E}"/>
    <cellStyle name="Normal 2 4 2 4 5 4" xfId="9791" xr:uid="{976FBDA2-598F-4A30-A099-B1E8D65E8410}"/>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6562" xr:uid="{5B7CC55C-8569-4ABE-8C9F-086C1C763E64}"/>
    <cellStyle name="Normal 2 4 2 4 6 2 3" xfId="12349" xr:uid="{B1F19D0C-ECCC-4943-BA2A-73ECAF8BE3BD}"/>
    <cellStyle name="Normal 2 4 2 4 6 3" xfId="5922" xr:uid="{00000000-0005-0000-0000-00007E0F0000}"/>
    <cellStyle name="Normal 2 4 2 4 6 3 2" xfId="14417" xr:uid="{62FB7B99-4AEC-4F2C-989F-BF13BCF6CD95}"/>
    <cellStyle name="Normal 2 4 2 4 6 4" xfId="10204" xr:uid="{B182CA0F-3769-49C1-A603-227EE5E2733A}"/>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6975" xr:uid="{137997EF-9475-4A9C-B3AE-B06FF279F5CC}"/>
    <cellStyle name="Normal 2 4 2 4 7 2 3" xfId="12762" xr:uid="{5F0FAB33-668F-4D08-A456-ED6D9886AAF8}"/>
    <cellStyle name="Normal 2 4 2 4 7 3" xfId="6335" xr:uid="{00000000-0005-0000-0000-0000820F0000}"/>
    <cellStyle name="Normal 2 4 2 4 7 3 2" xfId="14830" xr:uid="{C2151C60-9899-42F6-B3CB-6FBBA19759FE}"/>
    <cellStyle name="Normal 2 4 2 4 7 4" xfId="10617" xr:uid="{9FAF0769-3A52-4523-830F-34C68BEEC9D2}"/>
    <cellStyle name="Normal 2 4 2 4 8" xfId="2465" xr:uid="{00000000-0005-0000-0000-0000830F0000}"/>
    <cellStyle name="Normal 2 4 2 4 8 2" xfId="6748" xr:uid="{00000000-0005-0000-0000-0000840F0000}"/>
    <cellStyle name="Normal 2 4 2 4 8 2 2" xfId="15243" xr:uid="{FF723015-CC44-4195-A521-73AE3CD49936}"/>
    <cellStyle name="Normal 2 4 2 4 8 3" xfId="11030" xr:uid="{E797534A-AF42-4C28-83C7-69C0BAFABFAC}"/>
    <cellStyle name="Normal 2 4 2 4 9" xfId="4682" xr:uid="{00000000-0005-0000-0000-0000850F0000}"/>
    <cellStyle name="Normal 2 4 2 4 9 2" xfId="13178" xr:uid="{87067315-8CB6-4CD6-897D-C49E634A5FED}"/>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5741" xr:uid="{A98F5375-2BD7-4AA5-B6C0-33B7E0A30AE5}"/>
    <cellStyle name="Normal 2 4 2 5 2 2 2 3" xfId="11528" xr:uid="{E10EC706-A3C6-4189-81D6-2086788675C5}"/>
    <cellStyle name="Normal 2 4 2 5 2 2 3" xfId="5101" xr:uid="{00000000-0005-0000-0000-00008B0F0000}"/>
    <cellStyle name="Normal 2 4 2 5 2 2 3 2" xfId="13596" xr:uid="{43DE82DA-9720-471E-BA2A-B96EF55F1DFA}"/>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154" xr:uid="{3273FD16-44FA-47C0-87B0-5B4628AE61E3}"/>
    <cellStyle name="Normal 2 4 2 5 2 3 2 3" xfId="11941" xr:uid="{B2DC19AF-672E-4574-B310-D6FA2AD2BB95}"/>
    <cellStyle name="Normal 2 4 2 5 2 3 3" xfId="5514" xr:uid="{00000000-0005-0000-0000-00008F0F0000}"/>
    <cellStyle name="Normal 2 4 2 5 2 3 3 2" xfId="14009" xr:uid="{0659A36C-6026-4CD5-B5E7-C099F6BD40E1}"/>
    <cellStyle name="Normal 2 4 2 5 2 3 4" xfId="9796" xr:uid="{DCA0F7F7-7AA7-489A-B1EB-0849601D9783}"/>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6567" xr:uid="{9967C781-B22A-423A-9CAB-3EF799B40ABA}"/>
    <cellStyle name="Normal 2 4 2 5 2 4 2 3" xfId="12354" xr:uid="{14721023-0447-497E-8B16-E90B30F2AD88}"/>
    <cellStyle name="Normal 2 4 2 5 2 4 3" xfId="5927" xr:uid="{00000000-0005-0000-0000-0000930F0000}"/>
    <cellStyle name="Normal 2 4 2 5 2 4 3 2" xfId="14422" xr:uid="{A8F393C7-D043-4104-9BF2-5BF1B98501F4}"/>
    <cellStyle name="Normal 2 4 2 5 2 4 4" xfId="10209" xr:uid="{1168414B-CC3F-4A3E-9AC3-08413D7910AB}"/>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6980" xr:uid="{62463725-B744-4A86-9BF0-21CB05220C5E}"/>
    <cellStyle name="Normal 2 4 2 5 2 5 2 3" xfId="12767" xr:uid="{3F72484B-4E34-4EA5-9370-3B7BA8750E9D}"/>
    <cellStyle name="Normal 2 4 2 5 2 5 3" xfId="6340" xr:uid="{00000000-0005-0000-0000-0000970F0000}"/>
    <cellStyle name="Normal 2 4 2 5 2 5 3 2" xfId="14835" xr:uid="{D3FEF11C-B225-4B8D-82A5-4B6A75D454A3}"/>
    <cellStyle name="Normal 2 4 2 5 2 5 4" xfId="10622" xr:uid="{5538DAF5-6153-4502-A1DD-A30E552F4F57}"/>
    <cellStyle name="Normal 2 4 2 5 2 6" xfId="2470" xr:uid="{00000000-0005-0000-0000-0000980F0000}"/>
    <cellStyle name="Normal 2 4 2 5 2 6 2" xfId="6753" xr:uid="{00000000-0005-0000-0000-0000990F0000}"/>
    <cellStyle name="Normal 2 4 2 5 2 6 2 2" xfId="15248" xr:uid="{ACA88EBF-1F34-408D-B30E-AB87E896CFFB}"/>
    <cellStyle name="Normal 2 4 2 5 2 6 3" xfId="11035" xr:uid="{75F0D32F-CFC7-4133-9B09-044FFC13B038}"/>
    <cellStyle name="Normal 2 4 2 5 2 7" xfId="4687" xr:uid="{00000000-0005-0000-0000-00009A0F0000}"/>
    <cellStyle name="Normal 2 4 2 5 2 7 2" xfId="13183" xr:uid="{E9A9E608-6E98-4634-991A-74AA77720F01}"/>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5740" xr:uid="{92577A8A-6BFF-46E2-8CD1-9FF6F3D44B8C}"/>
    <cellStyle name="Normal 2 4 2 5 3 2 3" xfId="11527" xr:uid="{DAD2182F-CC78-471C-A623-3D9B6959DA97}"/>
    <cellStyle name="Normal 2 4 2 5 3 3" xfId="5100" xr:uid="{00000000-0005-0000-0000-00009E0F0000}"/>
    <cellStyle name="Normal 2 4 2 5 3 3 2" xfId="13595" xr:uid="{5A055010-3356-414A-BA5D-583AEE32A76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153" xr:uid="{D78D13D8-A8E2-432A-82F0-95BE9F268F71}"/>
    <cellStyle name="Normal 2 4 2 5 4 2 3" xfId="11940" xr:uid="{D3DAF3F2-F167-486F-BB08-509FB233A19D}"/>
    <cellStyle name="Normal 2 4 2 5 4 3" xfId="5513" xr:uid="{00000000-0005-0000-0000-0000A20F0000}"/>
    <cellStyle name="Normal 2 4 2 5 4 3 2" xfId="14008" xr:uid="{84D71B11-01ED-40CA-A50F-795C92CA8B24}"/>
    <cellStyle name="Normal 2 4 2 5 4 4" xfId="9795" xr:uid="{C150A5BC-0753-48AA-BD49-B282D92261BE}"/>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6566" xr:uid="{F6FE7A15-B52C-4979-A867-3C4C8092C5DC}"/>
    <cellStyle name="Normal 2 4 2 5 5 2 3" xfId="12353" xr:uid="{35CA78FC-554D-413C-9C9C-D67287A5A226}"/>
    <cellStyle name="Normal 2 4 2 5 5 3" xfId="5926" xr:uid="{00000000-0005-0000-0000-0000A60F0000}"/>
    <cellStyle name="Normal 2 4 2 5 5 3 2" xfId="14421" xr:uid="{B4C7D514-2116-4664-934E-47606A61C714}"/>
    <cellStyle name="Normal 2 4 2 5 5 4" xfId="10208" xr:uid="{54AD6BD3-FA01-4651-9FA3-410972089F11}"/>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6979" xr:uid="{4A082395-A687-430C-A677-DCB274948B33}"/>
    <cellStyle name="Normal 2 4 2 5 6 2 3" xfId="12766" xr:uid="{41B055E3-65CA-4B61-BEEA-3A24EFF9BAE2}"/>
    <cellStyle name="Normal 2 4 2 5 6 3" xfId="6339" xr:uid="{00000000-0005-0000-0000-0000AA0F0000}"/>
    <cellStyle name="Normal 2 4 2 5 6 3 2" xfId="14834" xr:uid="{99495E09-0A73-46CB-8B42-1E55DE92F7CB}"/>
    <cellStyle name="Normal 2 4 2 5 6 4" xfId="10621" xr:uid="{53FF6740-811B-46BF-89A2-401FE2337A97}"/>
    <cellStyle name="Normal 2 4 2 5 7" xfId="2469" xr:uid="{00000000-0005-0000-0000-0000AB0F0000}"/>
    <cellStyle name="Normal 2 4 2 5 7 2" xfId="6752" xr:uid="{00000000-0005-0000-0000-0000AC0F0000}"/>
    <cellStyle name="Normal 2 4 2 5 7 2 2" xfId="15247" xr:uid="{89C5454A-9949-425A-B172-2A9EB4DA4E5B}"/>
    <cellStyle name="Normal 2 4 2 5 7 3" xfId="11034" xr:uid="{99DB8BC8-E312-4C87-9388-A07B55A49C67}"/>
    <cellStyle name="Normal 2 4 2 5 8" xfId="4686" xr:uid="{00000000-0005-0000-0000-0000AD0F0000}"/>
    <cellStyle name="Normal 2 4 2 5 8 2" xfId="13182" xr:uid="{E2008E3E-38C8-42B9-B781-69E8ABF1EBBA}"/>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5742" xr:uid="{FA2ED1F7-2072-4610-982C-157BA7DD99D7}"/>
    <cellStyle name="Normal 2 4 2 6 2 2 3" xfId="11529" xr:uid="{E8CB3EB6-E83B-49CC-A60E-8BD4D6A73F05}"/>
    <cellStyle name="Normal 2 4 2 6 2 3" xfId="5102" xr:uid="{00000000-0005-0000-0000-0000B20F0000}"/>
    <cellStyle name="Normal 2 4 2 6 2 3 2" xfId="13597" xr:uid="{CE3CAFEA-560E-477A-BF3D-E64255798F2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155" xr:uid="{4B914797-6B87-480D-8697-9723C1022062}"/>
    <cellStyle name="Normal 2 4 2 6 3 2 3" xfId="11942" xr:uid="{F137FC25-CA15-4323-884E-33BC50C0F67E}"/>
    <cellStyle name="Normal 2 4 2 6 3 3" xfId="5515" xr:uid="{00000000-0005-0000-0000-0000B60F0000}"/>
    <cellStyle name="Normal 2 4 2 6 3 3 2" xfId="14010" xr:uid="{073831C2-5E1F-4FA2-842E-DEE6448F43A5}"/>
    <cellStyle name="Normal 2 4 2 6 3 4" xfId="9797" xr:uid="{1DA1331F-AEED-4429-9FAB-D149DC9323EF}"/>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6568" xr:uid="{68555380-1916-4682-81A7-B7D6ADB16A6F}"/>
    <cellStyle name="Normal 2 4 2 6 4 2 3" xfId="12355" xr:uid="{20A59A5F-F81B-4FF3-90B8-BCB9C7295C7E}"/>
    <cellStyle name="Normal 2 4 2 6 4 3" xfId="5928" xr:uid="{00000000-0005-0000-0000-0000BA0F0000}"/>
    <cellStyle name="Normal 2 4 2 6 4 3 2" xfId="14423" xr:uid="{E3E4B950-A5A1-46E0-8A20-E12A0842271D}"/>
    <cellStyle name="Normal 2 4 2 6 4 4" xfId="10210" xr:uid="{59539231-FEC1-4D4F-8BF5-FDF9DD609EA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6981" xr:uid="{1A63B3DE-D0C6-4586-84F0-FCFB97F705FA}"/>
    <cellStyle name="Normal 2 4 2 6 5 2 3" xfId="12768" xr:uid="{F175ECE5-3C56-4DC1-87A4-3ED819891B57}"/>
    <cellStyle name="Normal 2 4 2 6 5 3" xfId="6341" xr:uid="{00000000-0005-0000-0000-0000BE0F0000}"/>
    <cellStyle name="Normal 2 4 2 6 5 3 2" xfId="14836" xr:uid="{C9979FFE-F408-4EC6-8C1F-7A8BC600A444}"/>
    <cellStyle name="Normal 2 4 2 6 5 4" xfId="10623" xr:uid="{66D32A37-F898-4B05-9D56-1E9AC533E7BE}"/>
    <cellStyle name="Normal 2 4 2 6 6" xfId="2471" xr:uid="{00000000-0005-0000-0000-0000BF0F0000}"/>
    <cellStyle name="Normal 2 4 2 6 6 2" xfId="6754" xr:uid="{00000000-0005-0000-0000-0000C00F0000}"/>
    <cellStyle name="Normal 2 4 2 6 6 2 2" xfId="15249" xr:uid="{1C422A51-DAEA-4BE8-9544-3A5093824CBF}"/>
    <cellStyle name="Normal 2 4 2 6 6 3" xfId="11036" xr:uid="{6514286A-6ECA-454B-876F-06F80CBCB07A}"/>
    <cellStyle name="Normal 2 4 2 6 7" xfId="4688" xr:uid="{00000000-0005-0000-0000-0000C10F0000}"/>
    <cellStyle name="Normal 2 4 2 6 7 2" xfId="13184" xr:uid="{97056373-71C3-4E64-BBA2-5BFD84FCB368}"/>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2 2 2" xfId="15727" xr:uid="{A19E7E4D-54C1-437C-8C97-AB2144440A3B}"/>
    <cellStyle name="Normal 2 4 2 7 2 3" xfId="11514" xr:uid="{08E0206F-6643-4149-933E-3C98C6CD33BE}"/>
    <cellStyle name="Normal 2 4 2 7 3" xfId="5087" xr:uid="{00000000-0005-0000-0000-0000C50F0000}"/>
    <cellStyle name="Normal 2 4 2 7 3 2" xfId="13582" xr:uid="{4B35EF49-50C5-45FA-9BC1-0388E27734E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2 2 2" xfId="16140" xr:uid="{FC719A6C-48E3-4B5B-8600-76DFC9D45C98}"/>
    <cellStyle name="Normal 2 4 2 8 2 3" xfId="11927" xr:uid="{0BA927B7-EA43-4554-96BB-D5951CCF0E8B}"/>
    <cellStyle name="Normal 2 4 2 8 3" xfId="5500" xr:uid="{00000000-0005-0000-0000-0000C90F0000}"/>
    <cellStyle name="Normal 2 4 2 8 3 2" xfId="13995" xr:uid="{93CD5616-F7FD-43B2-B8B2-72FA125FC841}"/>
    <cellStyle name="Normal 2 4 2 8 4" xfId="9782" xr:uid="{A723B670-3182-4649-A148-FC2F3C2538AD}"/>
    <cellStyle name="Normal 2 4 2 9" xfId="1606" xr:uid="{00000000-0005-0000-0000-0000CA0F0000}"/>
    <cellStyle name="Normal 2 4 2 9 2" xfId="3836" xr:uid="{00000000-0005-0000-0000-0000CB0F0000}"/>
    <cellStyle name="Normal 2 4 2 9 2 2" xfId="8058" xr:uid="{00000000-0005-0000-0000-0000CC0F0000}"/>
    <cellStyle name="Normal 2 4 2 9 2 2 2" xfId="16553" xr:uid="{C72E90AB-8FE4-4EC5-8C12-CB95E1978818}"/>
    <cellStyle name="Normal 2 4 2 9 2 3" xfId="12340" xr:uid="{FBCA0EAB-9B30-470F-8DE8-BD6B31D46BA9}"/>
    <cellStyle name="Normal 2 4 2 9 3" xfId="5913" xr:uid="{00000000-0005-0000-0000-0000CD0F0000}"/>
    <cellStyle name="Normal 2 4 2 9 3 2" xfId="14408" xr:uid="{4408C655-6723-4FE8-BCE1-FC804BE2C435}"/>
    <cellStyle name="Normal 2 4 2 9 4" xfId="10195" xr:uid="{4701CAE9-9CAD-4C69-B035-26724BDDCC7B}"/>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5746" xr:uid="{52EB166D-AF3A-468B-9CC0-A3E75700AE5A}"/>
    <cellStyle name="Normal 2 4 3 3 2 2 2 2 3" xfId="11533" xr:uid="{ABA0BE0B-8C37-422D-873F-F9D8418E7EA1}"/>
    <cellStyle name="Normal 2 4 3 3 2 2 2 3" xfId="5106" xr:uid="{00000000-0005-0000-0000-0000D60F0000}"/>
    <cellStyle name="Normal 2 4 3 3 2 2 2 3 2" xfId="13601" xr:uid="{E5DA13BD-3094-4421-B5AA-33A99F974DAA}"/>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159" xr:uid="{F5F117A3-BC10-412F-A179-6F4DB4A35E6C}"/>
    <cellStyle name="Normal 2 4 3 3 2 2 3 2 3" xfId="11946" xr:uid="{CEF6BDDE-8EF5-45A7-B182-DED5788B27CA}"/>
    <cellStyle name="Normal 2 4 3 3 2 2 3 3" xfId="5519" xr:uid="{00000000-0005-0000-0000-0000DA0F0000}"/>
    <cellStyle name="Normal 2 4 3 3 2 2 3 3 2" xfId="14014" xr:uid="{F7A42CD5-5590-4440-B545-9B7DC4521ACC}"/>
    <cellStyle name="Normal 2 4 3 3 2 2 3 4" xfId="9801" xr:uid="{00EF1138-6D94-44AF-A913-3F6963480748}"/>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6572" xr:uid="{90FB8B64-0E21-4EA2-9C11-D6FC4E79F5F6}"/>
    <cellStyle name="Normal 2 4 3 3 2 2 4 2 3" xfId="12359" xr:uid="{00DB0E24-566A-4162-A7CB-983E9ADCF329}"/>
    <cellStyle name="Normal 2 4 3 3 2 2 4 3" xfId="5932" xr:uid="{00000000-0005-0000-0000-0000DE0F0000}"/>
    <cellStyle name="Normal 2 4 3 3 2 2 4 3 2" xfId="14427" xr:uid="{14605A10-E41F-4510-9787-CC08D34FF57A}"/>
    <cellStyle name="Normal 2 4 3 3 2 2 4 4" xfId="10214" xr:uid="{3EEA4C96-321C-4451-A05B-DB8B4144F9A8}"/>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6985" xr:uid="{088875E2-AAD9-4176-9E97-5F59A2C91005}"/>
    <cellStyle name="Normal 2 4 3 3 2 2 5 2 3" xfId="12772" xr:uid="{30D1F4E8-2C59-4484-9330-DA62221BFCF6}"/>
    <cellStyle name="Normal 2 4 3 3 2 2 5 3" xfId="6345" xr:uid="{00000000-0005-0000-0000-0000E20F0000}"/>
    <cellStyle name="Normal 2 4 3 3 2 2 5 3 2" xfId="14840" xr:uid="{4681D3C7-C1B3-42BE-92E2-A22800D4007F}"/>
    <cellStyle name="Normal 2 4 3 3 2 2 5 4" xfId="10627" xr:uid="{023C3D17-1958-49C5-8C79-F78B0F1DB2EB}"/>
    <cellStyle name="Normal 2 4 3 3 2 2 6" xfId="2475" xr:uid="{00000000-0005-0000-0000-0000E30F0000}"/>
    <cellStyle name="Normal 2 4 3 3 2 2 6 2" xfId="6758" xr:uid="{00000000-0005-0000-0000-0000E40F0000}"/>
    <cellStyle name="Normal 2 4 3 3 2 2 6 2 2" xfId="15253" xr:uid="{6C212F42-E8F6-4225-98CF-0E946FA21896}"/>
    <cellStyle name="Normal 2 4 3 3 2 2 6 3" xfId="11040" xr:uid="{B6B6052D-67F2-40D6-AAA8-1966FBB694B3}"/>
    <cellStyle name="Normal 2 4 3 3 2 2 7" xfId="4692" xr:uid="{00000000-0005-0000-0000-0000E50F0000}"/>
    <cellStyle name="Normal 2 4 3 3 2 2 7 2" xfId="13188" xr:uid="{09BDC6A7-F9A1-4D5F-999A-77777DF03393}"/>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5745" xr:uid="{D9FD669E-2E77-4B63-82E5-A2B5A6171A14}"/>
    <cellStyle name="Normal 2 4 3 3 2 3 2 3" xfId="11532" xr:uid="{A721C55E-7537-405C-A967-FAC57CE0EB9B}"/>
    <cellStyle name="Normal 2 4 3 3 2 3 3" xfId="5105" xr:uid="{00000000-0005-0000-0000-0000E90F0000}"/>
    <cellStyle name="Normal 2 4 3 3 2 3 3 2" xfId="13600" xr:uid="{AA02B5F7-1E9B-4B57-9EEC-44849412A4B3}"/>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158" xr:uid="{B4A02AB9-1C92-4CC4-8D52-8D83C0FB3565}"/>
    <cellStyle name="Normal 2 4 3 3 2 4 2 3" xfId="11945" xr:uid="{9BFB41C3-D23A-4EC8-880A-4B636ECFDE08}"/>
    <cellStyle name="Normal 2 4 3 3 2 4 3" xfId="5518" xr:uid="{00000000-0005-0000-0000-0000ED0F0000}"/>
    <cellStyle name="Normal 2 4 3 3 2 4 3 2" xfId="14013" xr:uid="{4977C13E-1E40-450F-A682-8A57D08DC603}"/>
    <cellStyle name="Normal 2 4 3 3 2 4 4" xfId="9800" xr:uid="{C57B04B6-E64D-4861-9DD5-18C8C2239F02}"/>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6571" xr:uid="{637E9965-2421-4873-AD5F-942E4876E809}"/>
    <cellStyle name="Normal 2 4 3 3 2 5 2 3" xfId="12358" xr:uid="{F602DF32-DCAF-4289-A09E-101C3CA9D5E0}"/>
    <cellStyle name="Normal 2 4 3 3 2 5 3" xfId="5931" xr:uid="{00000000-0005-0000-0000-0000F10F0000}"/>
    <cellStyle name="Normal 2 4 3 3 2 5 3 2" xfId="14426" xr:uid="{BA967759-0C55-4EA8-8F52-00F555E0EA37}"/>
    <cellStyle name="Normal 2 4 3 3 2 5 4" xfId="10213" xr:uid="{B00023F7-FC96-404C-AB51-5B71B94B811E}"/>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6984" xr:uid="{044B6D15-64CF-4BC6-AE39-A55865EF631C}"/>
    <cellStyle name="Normal 2 4 3 3 2 6 2 3" xfId="12771" xr:uid="{E407425B-C8DE-44AF-AE3A-F3261BA0CE7E}"/>
    <cellStyle name="Normal 2 4 3 3 2 6 3" xfId="6344" xr:uid="{00000000-0005-0000-0000-0000F50F0000}"/>
    <cellStyle name="Normal 2 4 3 3 2 6 3 2" xfId="14839" xr:uid="{F4775D2D-C08E-48E5-A1CC-46B89A4153A1}"/>
    <cellStyle name="Normal 2 4 3 3 2 6 4" xfId="10626" xr:uid="{F4A7A294-665C-4A39-A8B8-DEC6EE477989}"/>
    <cellStyle name="Normal 2 4 3 3 2 7" xfId="2474" xr:uid="{00000000-0005-0000-0000-0000F60F0000}"/>
    <cellStyle name="Normal 2 4 3 3 2 7 2" xfId="6757" xr:uid="{00000000-0005-0000-0000-0000F70F0000}"/>
    <cellStyle name="Normal 2 4 3 3 2 7 2 2" xfId="15252" xr:uid="{666784C4-33A2-44F1-A8A3-3DAB564AF469}"/>
    <cellStyle name="Normal 2 4 3 3 2 7 3" xfId="11039" xr:uid="{0E712F71-AE29-436C-812E-6F39BFA7C519}"/>
    <cellStyle name="Normal 2 4 3 3 2 8" xfId="4691" xr:uid="{00000000-0005-0000-0000-0000F80F0000}"/>
    <cellStyle name="Normal 2 4 3 3 2 8 2" xfId="13187" xr:uid="{B307D7B2-8E6A-4D86-AF74-F745B2305931}"/>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5747" xr:uid="{C3AB037A-6DE9-4450-B434-7F0DD2FF6405}"/>
    <cellStyle name="Normal 2 4 3 3 3 2 2 3" xfId="11534" xr:uid="{CC1EE32F-7FB1-491A-A75D-6B66485E92D0}"/>
    <cellStyle name="Normal 2 4 3 3 3 2 3" xfId="5107" xr:uid="{00000000-0005-0000-0000-0000FD0F0000}"/>
    <cellStyle name="Normal 2 4 3 3 3 2 3 2" xfId="13602" xr:uid="{5A859B1C-C4BB-415D-AEAE-5C29EDD434A3}"/>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160" xr:uid="{C85C5643-6188-4137-96A9-649CDBA30B6D}"/>
    <cellStyle name="Normal 2 4 3 3 3 3 2 3" xfId="11947" xr:uid="{77043AE5-7B63-4977-BA3F-5CD81730494C}"/>
    <cellStyle name="Normal 2 4 3 3 3 3 3" xfId="5520" xr:uid="{00000000-0005-0000-0000-000001100000}"/>
    <cellStyle name="Normal 2 4 3 3 3 3 3 2" xfId="14015" xr:uid="{BB29107E-E165-4A35-B9D6-CB50E1006449}"/>
    <cellStyle name="Normal 2 4 3 3 3 3 4" xfId="9802" xr:uid="{90E0AA33-9242-4CC6-8967-9A95CED62E3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6573" xr:uid="{A254F85D-0162-45E8-B403-0C5680404191}"/>
    <cellStyle name="Normal 2 4 3 3 3 4 2 3" xfId="12360" xr:uid="{CED457F9-B18C-4FD7-A081-7E718C966097}"/>
    <cellStyle name="Normal 2 4 3 3 3 4 3" xfId="5933" xr:uid="{00000000-0005-0000-0000-000005100000}"/>
    <cellStyle name="Normal 2 4 3 3 3 4 3 2" xfId="14428" xr:uid="{1C1D6E8C-58EF-4745-88DC-72F5714A30D9}"/>
    <cellStyle name="Normal 2 4 3 3 3 4 4" xfId="10215" xr:uid="{DB93A942-3014-41EC-B0B1-89F01739BDAA}"/>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6986" xr:uid="{EA65145D-FB1D-482E-A4C6-A5DABC66BDB6}"/>
    <cellStyle name="Normal 2 4 3 3 3 5 2 3" xfId="12773" xr:uid="{C834F881-D647-484E-A1B6-7C2FA07CE645}"/>
    <cellStyle name="Normal 2 4 3 3 3 5 3" xfId="6346" xr:uid="{00000000-0005-0000-0000-000009100000}"/>
    <cellStyle name="Normal 2 4 3 3 3 5 3 2" xfId="14841" xr:uid="{E72F1258-CDF0-4EC6-A1BC-E8C130A4C0BA}"/>
    <cellStyle name="Normal 2 4 3 3 3 5 4" xfId="10628" xr:uid="{50A98CC1-2F60-4D53-8B8A-44741B4DC0AE}"/>
    <cellStyle name="Normal 2 4 3 3 3 6" xfId="2476" xr:uid="{00000000-0005-0000-0000-00000A100000}"/>
    <cellStyle name="Normal 2 4 3 3 3 6 2" xfId="6759" xr:uid="{00000000-0005-0000-0000-00000B100000}"/>
    <cellStyle name="Normal 2 4 3 3 3 6 2 2" xfId="15254" xr:uid="{C7EEEAFB-E220-4EF4-8FC8-4C4240D4F448}"/>
    <cellStyle name="Normal 2 4 3 3 3 6 3" xfId="11041" xr:uid="{0A685348-640A-4094-A51A-7FDAE42B3FE9}"/>
    <cellStyle name="Normal 2 4 3 3 3 7" xfId="4693" xr:uid="{00000000-0005-0000-0000-00000C100000}"/>
    <cellStyle name="Normal 2 4 3 3 3 7 2" xfId="13189" xr:uid="{CACBA55B-3CE9-4A39-8228-87C3FF011219}"/>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5744" xr:uid="{923E40DA-B08C-4C89-8703-F767CC57565D}"/>
    <cellStyle name="Normal 2 4 3 3 4 2 3" xfId="11531" xr:uid="{9BC6FA65-CCC6-4C50-B112-2982DE585199}"/>
    <cellStyle name="Normal 2 4 3 3 4 3" xfId="5104" xr:uid="{00000000-0005-0000-0000-000010100000}"/>
    <cellStyle name="Normal 2 4 3 3 4 3 2" xfId="13599" xr:uid="{F474ED79-4E18-4941-A1EA-AA31FBB185B1}"/>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157" xr:uid="{81E6D9E4-1D3A-4D17-BF5B-2B82313D4315}"/>
    <cellStyle name="Normal 2 4 3 3 5 2 3" xfId="11944" xr:uid="{365FDCDC-2148-4530-8711-3E775FF3D7D5}"/>
    <cellStyle name="Normal 2 4 3 3 5 3" xfId="5517" xr:uid="{00000000-0005-0000-0000-000014100000}"/>
    <cellStyle name="Normal 2 4 3 3 5 3 2" xfId="14012" xr:uid="{26A8AE26-4868-462A-A52B-9BCE2F11D126}"/>
    <cellStyle name="Normal 2 4 3 3 5 4" xfId="9799" xr:uid="{C0C3E838-206A-4D42-B72E-4001E72CC47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6570" xr:uid="{4150982E-C788-4D92-AB95-978F23A7543D}"/>
    <cellStyle name="Normal 2 4 3 3 6 2 3" xfId="12357" xr:uid="{D7E97D49-DD0E-4717-9BB9-AFC6BF19A836}"/>
    <cellStyle name="Normal 2 4 3 3 6 3" xfId="5930" xr:uid="{00000000-0005-0000-0000-000018100000}"/>
    <cellStyle name="Normal 2 4 3 3 6 3 2" xfId="14425" xr:uid="{B0BD1D91-8431-46FF-86B9-A1E4CFE65ADD}"/>
    <cellStyle name="Normal 2 4 3 3 6 4" xfId="10212" xr:uid="{0A214AF5-C22A-41AD-AD9E-5168E1AE0909}"/>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6983" xr:uid="{E2E04CBA-8243-4459-B28F-AE797AF2A55D}"/>
    <cellStyle name="Normal 2 4 3 3 7 2 3" xfId="12770" xr:uid="{87B3BFC6-524C-49F7-908B-4CA24D572C0F}"/>
    <cellStyle name="Normal 2 4 3 3 7 3" xfId="6343" xr:uid="{00000000-0005-0000-0000-00001C100000}"/>
    <cellStyle name="Normal 2 4 3 3 7 3 2" xfId="14838" xr:uid="{93731A6C-24FB-4F95-AA64-5A28050FC052}"/>
    <cellStyle name="Normal 2 4 3 3 7 4" xfId="10625" xr:uid="{36E0855E-5FFB-40D5-8771-065F962DA1C1}"/>
    <cellStyle name="Normal 2 4 3 3 8" xfId="2473" xr:uid="{00000000-0005-0000-0000-00001D100000}"/>
    <cellStyle name="Normal 2 4 3 3 8 2" xfId="6756" xr:uid="{00000000-0005-0000-0000-00001E100000}"/>
    <cellStyle name="Normal 2 4 3 3 8 2 2" xfId="15251" xr:uid="{077C489D-09B0-4A91-AA3C-473188D96EE7}"/>
    <cellStyle name="Normal 2 4 3 3 8 3" xfId="11038" xr:uid="{4AFD32A2-6ECE-474B-9E78-6F65933FE4F7}"/>
    <cellStyle name="Normal 2 4 3 3 9" xfId="4690" xr:uid="{00000000-0005-0000-0000-00001F100000}"/>
    <cellStyle name="Normal 2 4 3 3 9 2" xfId="13186" xr:uid="{59586E65-B196-4F54-9AEF-DC9D7E842E2B}"/>
    <cellStyle name="Normal 2 4 3 4" xfId="787" xr:uid="{00000000-0005-0000-0000-000020100000}"/>
    <cellStyle name="Normal 2 4 3 4 2" xfId="3026" xr:uid="{00000000-0005-0000-0000-000021100000}"/>
    <cellStyle name="Normal 2 4 3 4 2 2" xfId="7248" xr:uid="{00000000-0005-0000-0000-000022100000}"/>
    <cellStyle name="Normal 2 4 3 4 2 2 2" xfId="15743" xr:uid="{8F8CDA87-2FFE-4478-95B5-0C8266FC77D4}"/>
    <cellStyle name="Normal 2 4 3 4 2 3" xfId="11530" xr:uid="{A8E4D18B-18B6-44A4-B237-C1831FA446EE}"/>
    <cellStyle name="Normal 2 4 3 4 3" xfId="5103" xr:uid="{00000000-0005-0000-0000-000023100000}"/>
    <cellStyle name="Normal 2 4 3 4 3 2" xfId="13598" xr:uid="{84E97CD7-2597-4002-9E29-207E6D6586CF}"/>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2 2 2" xfId="16156" xr:uid="{FDD9E36C-C9C0-46C4-825F-1056CE96D9E2}"/>
    <cellStyle name="Normal 2 4 3 5 2 3" xfId="11943" xr:uid="{DB47CAA5-283F-41B6-BF76-6A3606B0E7B5}"/>
    <cellStyle name="Normal 2 4 3 5 3" xfId="5516" xr:uid="{00000000-0005-0000-0000-000027100000}"/>
    <cellStyle name="Normal 2 4 3 5 3 2" xfId="14011" xr:uid="{ADADBA47-6F02-4F8F-88D4-A67FE6054640}"/>
    <cellStyle name="Normal 2 4 3 5 4" xfId="9798" xr:uid="{2C2A3790-EDFD-470E-8926-53DCC49FD274}"/>
    <cellStyle name="Normal 2 4 3 6" xfId="1622" xr:uid="{00000000-0005-0000-0000-000028100000}"/>
    <cellStyle name="Normal 2 4 3 6 2" xfId="3852" xr:uid="{00000000-0005-0000-0000-000029100000}"/>
    <cellStyle name="Normal 2 4 3 6 2 2" xfId="8074" xr:uid="{00000000-0005-0000-0000-00002A100000}"/>
    <cellStyle name="Normal 2 4 3 6 2 2 2" xfId="16569" xr:uid="{DF3B0443-CA77-4073-8E5C-2C5FD2732F12}"/>
    <cellStyle name="Normal 2 4 3 6 2 3" xfId="12356" xr:uid="{D539C67E-7610-4FB0-820E-FE9C024A84C9}"/>
    <cellStyle name="Normal 2 4 3 6 3" xfId="5929" xr:uid="{00000000-0005-0000-0000-00002B100000}"/>
    <cellStyle name="Normal 2 4 3 6 3 2" xfId="14424" xr:uid="{A7C5C443-674F-4248-9CCC-B50C91D30D9C}"/>
    <cellStyle name="Normal 2 4 3 6 4" xfId="10211" xr:uid="{0604E3A2-6C6E-48A3-BCAC-0C6D94B989A8}"/>
    <cellStyle name="Normal 2 4 3 7" xfId="2036" xr:uid="{00000000-0005-0000-0000-00002C100000}"/>
    <cellStyle name="Normal 2 4 3 7 2" xfId="4265" xr:uid="{00000000-0005-0000-0000-00002D100000}"/>
    <cellStyle name="Normal 2 4 3 7 2 2" xfId="8487" xr:uid="{00000000-0005-0000-0000-00002E100000}"/>
    <cellStyle name="Normal 2 4 3 7 2 2 2" xfId="16982" xr:uid="{F52B54BA-FBEF-4EC7-9BDB-ACB15DF2DD80}"/>
    <cellStyle name="Normal 2 4 3 7 2 3" xfId="12769" xr:uid="{16D1F4FE-7014-4B50-A4C0-96AE615BB411}"/>
    <cellStyle name="Normal 2 4 3 7 3" xfId="6342" xr:uid="{00000000-0005-0000-0000-00002F100000}"/>
    <cellStyle name="Normal 2 4 3 7 3 2" xfId="14837" xr:uid="{251EE81A-A5AC-483D-A031-0AC94C7481EF}"/>
    <cellStyle name="Normal 2 4 3 7 4" xfId="10624" xr:uid="{084D1269-9B25-4BFE-908D-3323EEFCD5B6}"/>
    <cellStyle name="Normal 2 4 3 8" xfId="2472" xr:uid="{00000000-0005-0000-0000-000030100000}"/>
    <cellStyle name="Normal 2 4 3 8 2" xfId="6755" xr:uid="{00000000-0005-0000-0000-000031100000}"/>
    <cellStyle name="Normal 2 4 3 8 2 2" xfId="15250" xr:uid="{D55D3251-95C2-4418-86AC-8554C900852E}"/>
    <cellStyle name="Normal 2 4 3 8 3" xfId="11037" xr:uid="{7EF5AEFD-EA48-4EBB-BC33-998CA80AFC1E}"/>
    <cellStyle name="Normal 2 4 3 9" xfId="4689" xr:uid="{00000000-0005-0000-0000-000032100000}"/>
    <cellStyle name="Normal 2 4 3 9 2" xfId="13185" xr:uid="{DB31DB2D-E9B4-4D9E-8C14-7ACA18EDD70C}"/>
    <cellStyle name="Normal 2 4 4" xfId="302" xr:uid="{00000000-0005-0000-0000-000033100000}"/>
    <cellStyle name="Normal 2 4 5" xfId="303" xr:uid="{00000000-0005-0000-0000-000034100000}"/>
    <cellStyle name="Normal 2 4 5 10" xfId="4694" xr:uid="{00000000-0005-0000-0000-000035100000}"/>
    <cellStyle name="Normal 2 4 5 10 2" xfId="13190" xr:uid="{F7FF279B-F98D-47BF-B8C7-1E9898AE7ED3}"/>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5751" xr:uid="{4F5BF48F-A13E-4D75-BD69-B2693DBC4D63}"/>
    <cellStyle name="Normal 2 4 5 2 2 2 2 2 3" xfId="11538" xr:uid="{E71DA888-E795-4DF5-8ECE-F07445BB0175}"/>
    <cellStyle name="Normal 2 4 5 2 2 2 2 3" xfId="5111" xr:uid="{00000000-0005-0000-0000-00003C100000}"/>
    <cellStyle name="Normal 2 4 5 2 2 2 2 3 2" xfId="13606" xr:uid="{E59EAB35-BD52-4022-9E1C-0E7C721DB2CC}"/>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164" xr:uid="{4BFC099B-2D14-49FD-BC31-791F7CE20A69}"/>
    <cellStyle name="Normal 2 4 5 2 2 2 3 2 3" xfId="11951" xr:uid="{42377D26-8C43-4353-B2B2-1C4507217784}"/>
    <cellStyle name="Normal 2 4 5 2 2 2 3 3" xfId="5524" xr:uid="{00000000-0005-0000-0000-000040100000}"/>
    <cellStyle name="Normal 2 4 5 2 2 2 3 3 2" xfId="14019" xr:uid="{E0153BED-9CFE-42B8-9AAE-DCB2CA0A2B7F}"/>
    <cellStyle name="Normal 2 4 5 2 2 2 3 4" xfId="9806" xr:uid="{A1BEEBA3-639D-4F2B-A19F-2901FFA121C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6577" xr:uid="{C714FCFF-4232-43B8-8764-E774E8D87E86}"/>
    <cellStyle name="Normal 2 4 5 2 2 2 4 2 3" xfId="12364" xr:uid="{36B07C5B-C737-469B-A15C-D3CF88CD296A}"/>
    <cellStyle name="Normal 2 4 5 2 2 2 4 3" xfId="5937" xr:uid="{00000000-0005-0000-0000-000044100000}"/>
    <cellStyle name="Normal 2 4 5 2 2 2 4 3 2" xfId="14432" xr:uid="{1C47448C-A920-46D6-85D5-55442FD0F4DC}"/>
    <cellStyle name="Normal 2 4 5 2 2 2 4 4" xfId="10219" xr:uid="{C5AF2147-A337-4530-A654-2CE5DEC622D3}"/>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6990" xr:uid="{624FEBD3-E334-4C81-B76D-967237F2CE2F}"/>
    <cellStyle name="Normal 2 4 5 2 2 2 5 2 3" xfId="12777" xr:uid="{894507DE-5831-4C58-9C5A-91DD9E0ACB77}"/>
    <cellStyle name="Normal 2 4 5 2 2 2 5 3" xfId="6350" xr:uid="{00000000-0005-0000-0000-000048100000}"/>
    <cellStyle name="Normal 2 4 5 2 2 2 5 3 2" xfId="14845" xr:uid="{2E33C27D-041B-47F2-9438-3A65F2497CEC}"/>
    <cellStyle name="Normal 2 4 5 2 2 2 5 4" xfId="10632" xr:uid="{CA363096-BC88-4E74-BC26-77F39459532F}"/>
    <cellStyle name="Normal 2 4 5 2 2 2 6" xfId="2480" xr:uid="{00000000-0005-0000-0000-000049100000}"/>
    <cellStyle name="Normal 2 4 5 2 2 2 6 2" xfId="6763" xr:uid="{00000000-0005-0000-0000-00004A100000}"/>
    <cellStyle name="Normal 2 4 5 2 2 2 6 2 2" xfId="15258" xr:uid="{B6B842E4-CD20-4D70-AC20-FEAD20364590}"/>
    <cellStyle name="Normal 2 4 5 2 2 2 6 3" xfId="11045" xr:uid="{B98988BD-4485-4D3D-BE8F-9A6C89545097}"/>
    <cellStyle name="Normal 2 4 5 2 2 2 7" xfId="4697" xr:uid="{00000000-0005-0000-0000-00004B100000}"/>
    <cellStyle name="Normal 2 4 5 2 2 2 7 2" xfId="13193" xr:uid="{6866AB0C-5C17-4266-815E-B67D760E66C5}"/>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5750" xr:uid="{58134C27-31DA-4125-BE64-1F5760B0063C}"/>
    <cellStyle name="Normal 2 4 5 2 2 3 2 3" xfId="11537" xr:uid="{651BDF14-F769-4495-8E13-345E0BC1D2CE}"/>
    <cellStyle name="Normal 2 4 5 2 2 3 3" xfId="5110" xr:uid="{00000000-0005-0000-0000-00004F100000}"/>
    <cellStyle name="Normal 2 4 5 2 2 3 3 2" xfId="13605" xr:uid="{FFFB7009-1B2C-4566-BDC5-6C377952C469}"/>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163" xr:uid="{D6C5FB4C-CEE9-4D64-B151-CBBA123A0090}"/>
    <cellStyle name="Normal 2 4 5 2 2 4 2 3" xfId="11950" xr:uid="{6B66BB5B-F205-4CD6-90B3-8FA6A252D81D}"/>
    <cellStyle name="Normal 2 4 5 2 2 4 3" xfId="5523" xr:uid="{00000000-0005-0000-0000-000053100000}"/>
    <cellStyle name="Normal 2 4 5 2 2 4 3 2" xfId="14018" xr:uid="{E9BC7672-84A2-4A0F-9522-85BD8BAE6D5A}"/>
    <cellStyle name="Normal 2 4 5 2 2 4 4" xfId="9805" xr:uid="{BF50767D-8BD8-4C64-A623-6D41F6C816D7}"/>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6576" xr:uid="{393F69CA-AEE4-406B-80BC-DAC8C9C05E04}"/>
    <cellStyle name="Normal 2 4 5 2 2 5 2 3" xfId="12363" xr:uid="{9E9FFA07-49D9-430B-AF6B-214883F43459}"/>
    <cellStyle name="Normal 2 4 5 2 2 5 3" xfId="5936" xr:uid="{00000000-0005-0000-0000-000057100000}"/>
    <cellStyle name="Normal 2 4 5 2 2 5 3 2" xfId="14431" xr:uid="{6925681B-3731-4A63-9A02-BD9FB165A7AF}"/>
    <cellStyle name="Normal 2 4 5 2 2 5 4" xfId="10218" xr:uid="{72D718A1-46C6-4883-AC85-D2EBDB2B39F3}"/>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6989" xr:uid="{093106FA-EFE5-465E-8D2E-021433D3C42D}"/>
    <cellStyle name="Normal 2 4 5 2 2 6 2 3" xfId="12776" xr:uid="{7249C3A1-AE7B-4B80-AA4A-FC16CE7E4948}"/>
    <cellStyle name="Normal 2 4 5 2 2 6 3" xfId="6349" xr:uid="{00000000-0005-0000-0000-00005B100000}"/>
    <cellStyle name="Normal 2 4 5 2 2 6 3 2" xfId="14844" xr:uid="{4A5E1265-795F-4FEB-8FC5-40860D881A65}"/>
    <cellStyle name="Normal 2 4 5 2 2 6 4" xfId="10631" xr:uid="{109671EB-368D-442F-ACCC-476486E2EB8C}"/>
    <cellStyle name="Normal 2 4 5 2 2 7" xfId="2479" xr:uid="{00000000-0005-0000-0000-00005C100000}"/>
    <cellStyle name="Normal 2 4 5 2 2 7 2" xfId="6762" xr:uid="{00000000-0005-0000-0000-00005D100000}"/>
    <cellStyle name="Normal 2 4 5 2 2 7 2 2" xfId="15257" xr:uid="{228FC68F-A1DE-4B7E-A473-F75BD4D00FBD}"/>
    <cellStyle name="Normal 2 4 5 2 2 7 3" xfId="11044" xr:uid="{A1A59E6C-16AD-4F15-B25B-E19495B9B817}"/>
    <cellStyle name="Normal 2 4 5 2 2 8" xfId="4696" xr:uid="{00000000-0005-0000-0000-00005E100000}"/>
    <cellStyle name="Normal 2 4 5 2 2 8 2" xfId="13192" xr:uid="{DA13ACFE-BFEE-49B9-94BC-D8A9B1289D2D}"/>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5752" xr:uid="{7A004CFB-8779-44C5-BABE-23A1F0003199}"/>
    <cellStyle name="Normal 2 4 5 2 3 2 2 3" xfId="11539" xr:uid="{16F71E6C-DBE3-4604-9D15-BD33F039E5A4}"/>
    <cellStyle name="Normal 2 4 5 2 3 2 3" xfId="5112" xr:uid="{00000000-0005-0000-0000-000063100000}"/>
    <cellStyle name="Normal 2 4 5 2 3 2 3 2" xfId="13607" xr:uid="{BD41A76E-8097-4CF8-87E2-2C66B2EDB9EC}"/>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165" xr:uid="{1A7EE3A6-627B-458C-A8DD-0902C54AABEC}"/>
    <cellStyle name="Normal 2 4 5 2 3 3 2 3" xfId="11952" xr:uid="{65E9F883-D75C-48AF-BF54-E14E4AC6B271}"/>
    <cellStyle name="Normal 2 4 5 2 3 3 3" xfId="5525" xr:uid="{00000000-0005-0000-0000-000067100000}"/>
    <cellStyle name="Normal 2 4 5 2 3 3 3 2" xfId="14020" xr:uid="{220A494B-F4EA-4953-93D5-F15A19AD6734}"/>
    <cellStyle name="Normal 2 4 5 2 3 3 4" xfId="9807" xr:uid="{9631DF71-ABAF-4823-8C9B-23C33B19FFF9}"/>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6578" xr:uid="{7A6F1A78-8A90-4584-BD97-0A08D269BDD7}"/>
    <cellStyle name="Normal 2 4 5 2 3 4 2 3" xfId="12365" xr:uid="{BBEAB584-77FD-4E2A-8D08-A976BB8E05BA}"/>
    <cellStyle name="Normal 2 4 5 2 3 4 3" xfId="5938" xr:uid="{00000000-0005-0000-0000-00006B100000}"/>
    <cellStyle name="Normal 2 4 5 2 3 4 3 2" xfId="14433" xr:uid="{6C27EBAA-5C1A-4800-AD06-54971705FE98}"/>
    <cellStyle name="Normal 2 4 5 2 3 4 4" xfId="10220" xr:uid="{F163FC44-0DE6-4BAC-99A1-EB76667416BC}"/>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6991" xr:uid="{E147D6A3-B9CA-4AE7-AFE0-AE5A4526333B}"/>
    <cellStyle name="Normal 2 4 5 2 3 5 2 3" xfId="12778" xr:uid="{1FA1561C-5D4A-4209-A79E-8896DB5886AA}"/>
    <cellStyle name="Normal 2 4 5 2 3 5 3" xfId="6351" xr:uid="{00000000-0005-0000-0000-00006F100000}"/>
    <cellStyle name="Normal 2 4 5 2 3 5 3 2" xfId="14846" xr:uid="{AF25F45B-3352-449F-BF04-B3794765DC11}"/>
    <cellStyle name="Normal 2 4 5 2 3 5 4" xfId="10633" xr:uid="{0A7266D2-617C-4621-93C0-E19F037C86E4}"/>
    <cellStyle name="Normal 2 4 5 2 3 6" xfId="2481" xr:uid="{00000000-0005-0000-0000-000070100000}"/>
    <cellStyle name="Normal 2 4 5 2 3 6 2" xfId="6764" xr:uid="{00000000-0005-0000-0000-000071100000}"/>
    <cellStyle name="Normal 2 4 5 2 3 6 2 2" xfId="15259" xr:uid="{3A0AED57-80F5-4F66-8CD2-49904687B8C9}"/>
    <cellStyle name="Normal 2 4 5 2 3 6 3" xfId="11046" xr:uid="{74D33A22-5461-42FB-8F09-CDBCC08D2E53}"/>
    <cellStyle name="Normal 2 4 5 2 3 7" xfId="4698" xr:uid="{00000000-0005-0000-0000-000072100000}"/>
    <cellStyle name="Normal 2 4 5 2 3 7 2" xfId="13194" xr:uid="{B09C00E1-539A-43DD-B193-9C3716075C13}"/>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5749" xr:uid="{A1D34614-05BB-47EB-9392-7CD7CD832CB9}"/>
    <cellStyle name="Normal 2 4 5 2 4 2 3" xfId="11536" xr:uid="{511F999C-CCDE-49B5-BA8B-2DFC9F740F61}"/>
    <cellStyle name="Normal 2 4 5 2 4 3" xfId="5109" xr:uid="{00000000-0005-0000-0000-000076100000}"/>
    <cellStyle name="Normal 2 4 5 2 4 3 2" xfId="13604" xr:uid="{C0DFFA53-8BA4-4305-BD50-FE8B46B86B02}"/>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162" xr:uid="{BE18BDD0-D9F7-4D02-B5B4-DD93C51DD275}"/>
    <cellStyle name="Normal 2 4 5 2 5 2 3" xfId="11949" xr:uid="{D462F43B-D88B-457B-8080-7E08D1A612A2}"/>
    <cellStyle name="Normal 2 4 5 2 5 3" xfId="5522" xr:uid="{00000000-0005-0000-0000-00007A100000}"/>
    <cellStyle name="Normal 2 4 5 2 5 3 2" xfId="14017" xr:uid="{9A6C41BE-B3D0-47ED-8237-EFD3D728A05A}"/>
    <cellStyle name="Normal 2 4 5 2 5 4" xfId="9804" xr:uid="{108F9033-8AA2-4B16-877B-C69E776EA089}"/>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6575" xr:uid="{033F24F0-D55D-4C7D-A318-0FCC40D7C3A7}"/>
    <cellStyle name="Normal 2 4 5 2 6 2 3" xfId="12362" xr:uid="{22E395DB-E6BB-4E43-8DC8-D3F1AA7DF9BA}"/>
    <cellStyle name="Normal 2 4 5 2 6 3" xfId="5935" xr:uid="{00000000-0005-0000-0000-00007E100000}"/>
    <cellStyle name="Normal 2 4 5 2 6 3 2" xfId="14430" xr:uid="{CB40BA45-D625-45E7-B5C7-9E6666948F16}"/>
    <cellStyle name="Normal 2 4 5 2 6 4" xfId="10217" xr:uid="{CF0F5EEC-B246-41F3-BD08-15EEE41CD83D}"/>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6988" xr:uid="{0908B234-D79D-433C-B969-11A61987EBD8}"/>
    <cellStyle name="Normal 2 4 5 2 7 2 3" xfId="12775" xr:uid="{C99D34D7-4F30-4716-B09B-1A8001D0388F}"/>
    <cellStyle name="Normal 2 4 5 2 7 3" xfId="6348" xr:uid="{00000000-0005-0000-0000-000082100000}"/>
    <cellStyle name="Normal 2 4 5 2 7 3 2" xfId="14843" xr:uid="{9D9085C1-4E3B-42C8-80AE-34B31E0D941D}"/>
    <cellStyle name="Normal 2 4 5 2 7 4" xfId="10630" xr:uid="{FD8DDE49-DB97-4094-AFA5-E64C695311C5}"/>
    <cellStyle name="Normal 2 4 5 2 8" xfId="2478" xr:uid="{00000000-0005-0000-0000-000083100000}"/>
    <cellStyle name="Normal 2 4 5 2 8 2" xfId="6761" xr:uid="{00000000-0005-0000-0000-000084100000}"/>
    <cellStyle name="Normal 2 4 5 2 8 2 2" xfId="15256" xr:uid="{07E500E7-37EE-491E-AA6D-AC5D4AFB71AD}"/>
    <cellStyle name="Normal 2 4 5 2 8 3" xfId="11043" xr:uid="{A576C41D-0C08-4FF8-AF33-084FEC52ED86}"/>
    <cellStyle name="Normal 2 4 5 2 9" xfId="4695" xr:uid="{00000000-0005-0000-0000-000085100000}"/>
    <cellStyle name="Normal 2 4 5 2 9 2" xfId="13191" xr:uid="{DF7F81AA-E472-4C2C-BD32-80B74A1B50E9}"/>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5754" xr:uid="{3CB9880B-8264-4A79-8EB4-EC553B94CB81}"/>
    <cellStyle name="Normal 2 4 5 3 2 2 2 3" xfId="11541" xr:uid="{7B69DE33-60AE-49BF-8705-3A8CD0DA314C}"/>
    <cellStyle name="Normal 2 4 5 3 2 2 3" xfId="5114" xr:uid="{00000000-0005-0000-0000-00008B100000}"/>
    <cellStyle name="Normal 2 4 5 3 2 2 3 2" xfId="13609" xr:uid="{6596E56D-C66B-4DCB-86BA-6CAF978B9AB8}"/>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167" xr:uid="{C30905C3-48CF-41B4-A3FB-70D7F94C4F9F}"/>
    <cellStyle name="Normal 2 4 5 3 2 3 2 3" xfId="11954" xr:uid="{7E2D7E00-07CD-4AE7-A6E4-2AFDFB378972}"/>
    <cellStyle name="Normal 2 4 5 3 2 3 3" xfId="5527" xr:uid="{00000000-0005-0000-0000-00008F100000}"/>
    <cellStyle name="Normal 2 4 5 3 2 3 3 2" xfId="14022" xr:uid="{F9BEC63C-B581-495A-B99C-5C68771EDB3D}"/>
    <cellStyle name="Normal 2 4 5 3 2 3 4" xfId="9809" xr:uid="{2090908F-7F75-4F10-957C-47E9722E53F7}"/>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6580" xr:uid="{222868DA-E74C-47BE-B074-0A8B3E1AF525}"/>
    <cellStyle name="Normal 2 4 5 3 2 4 2 3" xfId="12367" xr:uid="{844CF63A-56AA-4ECE-A3B0-7E260B77574E}"/>
    <cellStyle name="Normal 2 4 5 3 2 4 3" xfId="5940" xr:uid="{00000000-0005-0000-0000-000093100000}"/>
    <cellStyle name="Normal 2 4 5 3 2 4 3 2" xfId="14435" xr:uid="{4BCA7A5C-5522-485B-BAD1-6CD57CB4DECC}"/>
    <cellStyle name="Normal 2 4 5 3 2 4 4" xfId="10222" xr:uid="{E98519E0-4949-4166-AB79-17CA74CA9396}"/>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6993" xr:uid="{C02E464E-C589-4BE4-892B-9BD67CF7C414}"/>
    <cellStyle name="Normal 2 4 5 3 2 5 2 3" xfId="12780" xr:uid="{BF3F27ED-A521-415E-BA3D-BECBAAEB99BE}"/>
    <cellStyle name="Normal 2 4 5 3 2 5 3" xfId="6353" xr:uid="{00000000-0005-0000-0000-000097100000}"/>
    <cellStyle name="Normal 2 4 5 3 2 5 3 2" xfId="14848" xr:uid="{6C68E988-4A9B-4DCF-8AC7-49E33239AB4E}"/>
    <cellStyle name="Normal 2 4 5 3 2 5 4" xfId="10635" xr:uid="{CBC36036-4DDA-4A85-B3FF-EFF207AE6919}"/>
    <cellStyle name="Normal 2 4 5 3 2 6" xfId="2483" xr:uid="{00000000-0005-0000-0000-000098100000}"/>
    <cellStyle name="Normal 2 4 5 3 2 6 2" xfId="6766" xr:uid="{00000000-0005-0000-0000-000099100000}"/>
    <cellStyle name="Normal 2 4 5 3 2 6 2 2" xfId="15261" xr:uid="{5253A7B1-96CC-4299-BDEF-3AAA46E83CB7}"/>
    <cellStyle name="Normal 2 4 5 3 2 6 3" xfId="11048" xr:uid="{27650F25-6F19-4198-8CE4-3A69408A0A7A}"/>
    <cellStyle name="Normal 2 4 5 3 2 7" xfId="4700" xr:uid="{00000000-0005-0000-0000-00009A100000}"/>
    <cellStyle name="Normal 2 4 5 3 2 7 2" xfId="13196" xr:uid="{CDAF9256-6C3D-4DBF-BC0D-898603F30492}"/>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5753" xr:uid="{0AAD869D-32F3-4C5D-B2DB-2B536B6F7E0C}"/>
    <cellStyle name="Normal 2 4 5 3 3 2 3" xfId="11540" xr:uid="{52C76432-45BF-47DA-8A50-EC09396AFED9}"/>
    <cellStyle name="Normal 2 4 5 3 3 3" xfId="5113" xr:uid="{00000000-0005-0000-0000-00009E100000}"/>
    <cellStyle name="Normal 2 4 5 3 3 3 2" xfId="13608" xr:uid="{7A1F60B3-0E85-435E-9530-FE0A8F8FA4C8}"/>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166" xr:uid="{B380E5DA-BA92-4F83-B15D-7AB5E68A2B0F}"/>
    <cellStyle name="Normal 2 4 5 3 4 2 3" xfId="11953" xr:uid="{4CBC99B1-2CBB-4AAF-BE8F-171A9B350F89}"/>
    <cellStyle name="Normal 2 4 5 3 4 3" xfId="5526" xr:uid="{00000000-0005-0000-0000-0000A2100000}"/>
    <cellStyle name="Normal 2 4 5 3 4 3 2" xfId="14021" xr:uid="{FEE80D6A-0C58-4BC2-8F73-3DF987582982}"/>
    <cellStyle name="Normal 2 4 5 3 4 4" xfId="9808" xr:uid="{D2386A64-763F-4613-81C8-66C381CA8414}"/>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6579" xr:uid="{CE47BCBE-8173-47C1-9446-C00C7B379B92}"/>
    <cellStyle name="Normal 2 4 5 3 5 2 3" xfId="12366" xr:uid="{3DB0D6AF-B5EA-45E2-8166-3DD6D5C7F13B}"/>
    <cellStyle name="Normal 2 4 5 3 5 3" xfId="5939" xr:uid="{00000000-0005-0000-0000-0000A6100000}"/>
    <cellStyle name="Normal 2 4 5 3 5 3 2" xfId="14434" xr:uid="{8EA55549-6C5B-4E5F-9DCF-B3CAD83290F3}"/>
    <cellStyle name="Normal 2 4 5 3 5 4" xfId="10221" xr:uid="{1A4D8CE5-C46C-4884-A4B2-22B650D221E2}"/>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6992" xr:uid="{06817C0F-19D6-465B-B393-B7026903D58F}"/>
    <cellStyle name="Normal 2 4 5 3 6 2 3" xfId="12779" xr:uid="{BBD98821-6847-417A-A3A9-D4B541CB9D8E}"/>
    <cellStyle name="Normal 2 4 5 3 6 3" xfId="6352" xr:uid="{00000000-0005-0000-0000-0000AA100000}"/>
    <cellStyle name="Normal 2 4 5 3 6 3 2" xfId="14847" xr:uid="{B372BC3E-A4BD-45D5-A2F2-099501438050}"/>
    <cellStyle name="Normal 2 4 5 3 6 4" xfId="10634" xr:uid="{A321AD79-1D62-415A-8E70-82BB0DBE9225}"/>
    <cellStyle name="Normal 2 4 5 3 7" xfId="2482" xr:uid="{00000000-0005-0000-0000-0000AB100000}"/>
    <cellStyle name="Normal 2 4 5 3 7 2" xfId="6765" xr:uid="{00000000-0005-0000-0000-0000AC100000}"/>
    <cellStyle name="Normal 2 4 5 3 7 2 2" xfId="15260" xr:uid="{FF67BB51-1CEF-42DF-8465-1F30743F26F8}"/>
    <cellStyle name="Normal 2 4 5 3 7 3" xfId="11047" xr:uid="{C63C84A3-E609-44E8-9EAD-7160991C214F}"/>
    <cellStyle name="Normal 2 4 5 3 8" xfId="4699" xr:uid="{00000000-0005-0000-0000-0000AD100000}"/>
    <cellStyle name="Normal 2 4 5 3 8 2" xfId="13195" xr:uid="{BA74727D-EFA7-48B2-9FD7-833B910E23E6}"/>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5755" xr:uid="{45DEE61E-E70C-4D39-9935-785ED1EEAA62}"/>
    <cellStyle name="Normal 2 4 5 4 2 2 3" xfId="11542" xr:uid="{40ADAA79-0487-4A5F-A63A-8109503C5E03}"/>
    <cellStyle name="Normal 2 4 5 4 2 3" xfId="5115" xr:uid="{00000000-0005-0000-0000-0000B2100000}"/>
    <cellStyle name="Normal 2 4 5 4 2 3 2" xfId="13610" xr:uid="{91455BE3-9E69-4DE2-A762-69A010CDA416}"/>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168" xr:uid="{F2DE27A1-01EF-45F0-9205-85AFF78952B8}"/>
    <cellStyle name="Normal 2 4 5 4 3 2 3" xfId="11955" xr:uid="{7A97B960-9726-453D-B991-446E6F3A3734}"/>
    <cellStyle name="Normal 2 4 5 4 3 3" xfId="5528" xr:uid="{00000000-0005-0000-0000-0000B6100000}"/>
    <cellStyle name="Normal 2 4 5 4 3 3 2" xfId="14023" xr:uid="{0B9D3EAB-07D7-4946-8BC3-5185737E7F38}"/>
    <cellStyle name="Normal 2 4 5 4 3 4" xfId="9810" xr:uid="{9EE99D30-5BDE-4E53-9BD2-606946F85502}"/>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6581" xr:uid="{327E718C-246E-4E45-9555-DB6EA2DB3E08}"/>
    <cellStyle name="Normal 2 4 5 4 4 2 3" xfId="12368" xr:uid="{F9774037-4E0D-441D-B548-976218D0A72E}"/>
    <cellStyle name="Normal 2 4 5 4 4 3" xfId="5941" xr:uid="{00000000-0005-0000-0000-0000BA100000}"/>
    <cellStyle name="Normal 2 4 5 4 4 3 2" xfId="14436" xr:uid="{3DD4E79B-890F-4B32-838E-C6737697423D}"/>
    <cellStyle name="Normal 2 4 5 4 4 4" xfId="10223" xr:uid="{7A5F4E88-BA33-482B-A2D9-87AB6C0E47EF}"/>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6994" xr:uid="{900DFC95-19F1-4586-96E4-59E677B240F7}"/>
    <cellStyle name="Normal 2 4 5 4 5 2 3" xfId="12781" xr:uid="{033D6FFE-7499-46BC-BA38-1B0951B07A14}"/>
    <cellStyle name="Normal 2 4 5 4 5 3" xfId="6354" xr:uid="{00000000-0005-0000-0000-0000BE100000}"/>
    <cellStyle name="Normal 2 4 5 4 5 3 2" xfId="14849" xr:uid="{522134A1-9F63-4178-9459-F7D4C0043207}"/>
    <cellStyle name="Normal 2 4 5 4 5 4" xfId="10636" xr:uid="{7D77EB6A-5E38-4C68-9C30-1EC28AC9C9D6}"/>
    <cellStyle name="Normal 2 4 5 4 6" xfId="2484" xr:uid="{00000000-0005-0000-0000-0000BF100000}"/>
    <cellStyle name="Normal 2 4 5 4 6 2" xfId="6767" xr:uid="{00000000-0005-0000-0000-0000C0100000}"/>
    <cellStyle name="Normal 2 4 5 4 6 2 2" xfId="15262" xr:uid="{7FB0D0E8-4D03-4DD9-8B65-25FC0534680F}"/>
    <cellStyle name="Normal 2 4 5 4 6 3" xfId="11049" xr:uid="{DF81B0E1-96D9-4DF7-84F2-EA25E4019F2B}"/>
    <cellStyle name="Normal 2 4 5 4 7" xfId="4701" xr:uid="{00000000-0005-0000-0000-0000C1100000}"/>
    <cellStyle name="Normal 2 4 5 4 7 2" xfId="13197" xr:uid="{19D443BE-F726-45D8-A911-6CD1B083C2B4}"/>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2 2 2" xfId="15748" xr:uid="{F2022A2F-3066-4311-8E40-296319071179}"/>
    <cellStyle name="Normal 2 4 5 5 2 3" xfId="11535" xr:uid="{847E501F-CE22-49ED-B28A-136A494E8256}"/>
    <cellStyle name="Normal 2 4 5 5 3" xfId="5108" xr:uid="{00000000-0005-0000-0000-0000C5100000}"/>
    <cellStyle name="Normal 2 4 5 5 3 2" xfId="13603" xr:uid="{6D7B089F-CCA3-422C-83CB-6DD40447730B}"/>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2 2 2" xfId="16161" xr:uid="{3F5AE1AC-F11E-4ABD-BA9E-2C56956D5C2D}"/>
    <cellStyle name="Normal 2 4 5 6 2 3" xfId="11948" xr:uid="{3F694722-6F2E-411D-B49A-B6EBC587AE0E}"/>
    <cellStyle name="Normal 2 4 5 6 3" xfId="5521" xr:uid="{00000000-0005-0000-0000-0000C9100000}"/>
    <cellStyle name="Normal 2 4 5 6 3 2" xfId="14016" xr:uid="{3702B3D3-9562-4742-9456-65EBC38F73D0}"/>
    <cellStyle name="Normal 2 4 5 6 4" xfId="9803" xr:uid="{A597AD3C-E2EB-408D-9789-359825068A0B}"/>
    <cellStyle name="Normal 2 4 5 7" xfId="1627" xr:uid="{00000000-0005-0000-0000-0000CA100000}"/>
    <cellStyle name="Normal 2 4 5 7 2" xfId="3857" xr:uid="{00000000-0005-0000-0000-0000CB100000}"/>
    <cellStyle name="Normal 2 4 5 7 2 2" xfId="8079" xr:uid="{00000000-0005-0000-0000-0000CC100000}"/>
    <cellStyle name="Normal 2 4 5 7 2 2 2" xfId="16574" xr:uid="{83758DFA-1F4C-445D-B36C-2A2D16642503}"/>
    <cellStyle name="Normal 2 4 5 7 2 3" xfId="12361" xr:uid="{F502C82C-136C-45E0-98E1-B9F8B05F9908}"/>
    <cellStyle name="Normal 2 4 5 7 3" xfId="5934" xr:uid="{00000000-0005-0000-0000-0000CD100000}"/>
    <cellStyle name="Normal 2 4 5 7 3 2" xfId="14429" xr:uid="{514680A0-E847-41CB-A5A7-CA2CBA635AC9}"/>
    <cellStyle name="Normal 2 4 5 7 4" xfId="10216" xr:uid="{076481FC-31B8-4F8E-BA59-D7B1DE1AC21B}"/>
    <cellStyle name="Normal 2 4 5 8" xfId="2041" xr:uid="{00000000-0005-0000-0000-0000CE100000}"/>
    <cellStyle name="Normal 2 4 5 8 2" xfId="4270" xr:uid="{00000000-0005-0000-0000-0000CF100000}"/>
    <cellStyle name="Normal 2 4 5 8 2 2" xfId="8492" xr:uid="{00000000-0005-0000-0000-0000D0100000}"/>
    <cellStyle name="Normal 2 4 5 8 2 2 2" xfId="16987" xr:uid="{845A5690-8F6F-4DE7-9D09-3FE8314127A5}"/>
    <cellStyle name="Normal 2 4 5 8 2 3" xfId="12774" xr:uid="{BA54E884-E243-473B-A819-C68DCC4803AC}"/>
    <cellStyle name="Normal 2 4 5 8 3" xfId="6347" xr:uid="{00000000-0005-0000-0000-0000D1100000}"/>
    <cellStyle name="Normal 2 4 5 8 3 2" xfId="14842" xr:uid="{F106321E-1C0F-467E-9E2A-1FC5AFCC28C7}"/>
    <cellStyle name="Normal 2 4 5 8 4" xfId="10629" xr:uid="{31993137-654C-4D82-9251-A57F6AB79884}"/>
    <cellStyle name="Normal 2 4 5 9" xfId="2477" xr:uid="{00000000-0005-0000-0000-0000D2100000}"/>
    <cellStyle name="Normal 2 4 5 9 2" xfId="6760" xr:uid="{00000000-0005-0000-0000-0000D3100000}"/>
    <cellStyle name="Normal 2 4 5 9 2 2" xfId="15255" xr:uid="{8CB4F095-B168-40DE-9E41-7891B5096D3B}"/>
    <cellStyle name="Normal 2 4 5 9 3" xfId="11042" xr:uid="{4749FAC7-78FE-44C9-9452-91A16793687E}"/>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5757" xr:uid="{6BD7A8EF-6D4C-446F-A076-CF24068606E6}"/>
    <cellStyle name="Normal 2 4 7 2 2 2 3" xfId="11544" xr:uid="{2D9555DB-0D2F-40E0-9FCF-C0A17813C3B4}"/>
    <cellStyle name="Normal 2 4 7 2 2 3" xfId="5117" xr:uid="{00000000-0005-0000-0000-0000DA100000}"/>
    <cellStyle name="Normal 2 4 7 2 2 3 2" xfId="13612" xr:uid="{786E4A1C-7461-474B-976C-AE239D658B04}"/>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6170" xr:uid="{DA96735B-3F92-417A-813A-8F9C6D85A8FD}"/>
    <cellStyle name="Normal 2 4 7 2 3 2 3" xfId="11957" xr:uid="{5309B26A-50E5-4848-81E1-D9DA1A425F01}"/>
    <cellStyle name="Normal 2 4 7 2 3 3" xfId="5530" xr:uid="{00000000-0005-0000-0000-0000DE100000}"/>
    <cellStyle name="Normal 2 4 7 2 3 3 2" xfId="14025" xr:uid="{8CAFE6BF-F9A2-4ECC-A62B-C91A670759E5}"/>
    <cellStyle name="Normal 2 4 7 2 3 4" xfId="9812" xr:uid="{6A040F00-473C-4F84-95A1-D650E088607B}"/>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6583" xr:uid="{533DBC6D-072F-42D6-9918-D0EF1056CDE5}"/>
    <cellStyle name="Normal 2 4 7 2 4 2 3" xfId="12370" xr:uid="{55A17B6B-720D-40D4-99E6-58DA6CFC3266}"/>
    <cellStyle name="Normal 2 4 7 2 4 3" xfId="5943" xr:uid="{00000000-0005-0000-0000-0000E2100000}"/>
    <cellStyle name="Normal 2 4 7 2 4 3 2" xfId="14438" xr:uid="{996B0C19-E628-4AA9-A38A-627F8287B047}"/>
    <cellStyle name="Normal 2 4 7 2 4 4" xfId="10225" xr:uid="{FDE4AAB3-F68A-411E-ABF2-8C4FF5E2D1C5}"/>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6996" xr:uid="{E5DEAB54-7AE9-48E8-9A32-9F6443EE3477}"/>
    <cellStyle name="Normal 2 4 7 2 5 2 3" xfId="12783" xr:uid="{F6DDEBF2-B2BD-4AE2-B1AE-79B963059945}"/>
    <cellStyle name="Normal 2 4 7 2 5 3" xfId="6356" xr:uid="{00000000-0005-0000-0000-0000E6100000}"/>
    <cellStyle name="Normal 2 4 7 2 5 3 2" xfId="14851" xr:uid="{44B09273-DF4D-4440-9AB2-E6C024619EA2}"/>
    <cellStyle name="Normal 2 4 7 2 5 4" xfId="10638" xr:uid="{71BAFFE2-7D54-4FDF-BB9E-36DC7145C942}"/>
    <cellStyle name="Normal 2 4 7 2 6" xfId="2486" xr:uid="{00000000-0005-0000-0000-0000E7100000}"/>
    <cellStyle name="Normal 2 4 7 2 6 2" xfId="6769" xr:uid="{00000000-0005-0000-0000-0000E8100000}"/>
    <cellStyle name="Normal 2 4 7 2 6 2 2" xfId="15264" xr:uid="{4E790E58-AB3A-4617-9011-AD3B3FC69C35}"/>
    <cellStyle name="Normal 2 4 7 2 6 3" xfId="11051" xr:uid="{C28BC219-395A-439A-B7DF-B28BF045DF11}"/>
    <cellStyle name="Normal 2 4 7 2 7" xfId="4703" xr:uid="{00000000-0005-0000-0000-0000E9100000}"/>
    <cellStyle name="Normal 2 4 7 2 7 2" xfId="13199" xr:uid="{A848010C-B00A-4421-870E-F3544D228916}"/>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2 2 2" xfId="15756" xr:uid="{B590FD94-ECAF-4032-B8A6-E2E6B647F7F1}"/>
    <cellStyle name="Normal 2 4 7 3 2 3" xfId="11543" xr:uid="{F3F86CE9-ABD1-4871-91D7-76FD4E2BE9A4}"/>
    <cellStyle name="Normal 2 4 7 3 3" xfId="5116" xr:uid="{00000000-0005-0000-0000-0000ED100000}"/>
    <cellStyle name="Normal 2 4 7 3 3 2" xfId="13611" xr:uid="{8A569275-13CF-4E21-B0F6-F53B26FA1D34}"/>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2 2 2" xfId="16169" xr:uid="{4DD074CC-4EDF-4AE0-8C0B-213A56410E4F}"/>
    <cellStyle name="Normal 2 4 7 4 2 3" xfId="11956" xr:uid="{1C7C2379-3400-462D-B6E2-873DFBAC3AFA}"/>
    <cellStyle name="Normal 2 4 7 4 3" xfId="5529" xr:uid="{00000000-0005-0000-0000-0000F1100000}"/>
    <cellStyle name="Normal 2 4 7 4 3 2" xfId="14024" xr:uid="{1921860B-079F-4CD7-AFE6-9812278DD101}"/>
    <cellStyle name="Normal 2 4 7 4 4" xfId="9811" xr:uid="{0D46BF39-1ED1-4CA1-8C2E-ACC17B865AD5}"/>
    <cellStyle name="Normal 2 4 7 5" xfId="1635" xr:uid="{00000000-0005-0000-0000-0000F2100000}"/>
    <cellStyle name="Normal 2 4 7 5 2" xfId="3865" xr:uid="{00000000-0005-0000-0000-0000F3100000}"/>
    <cellStyle name="Normal 2 4 7 5 2 2" xfId="8087" xr:uid="{00000000-0005-0000-0000-0000F4100000}"/>
    <cellStyle name="Normal 2 4 7 5 2 2 2" xfId="16582" xr:uid="{ECBFF054-93CB-49F0-A229-80577829A88A}"/>
    <cellStyle name="Normal 2 4 7 5 2 3" xfId="12369" xr:uid="{F3EE396A-CD30-4089-93CD-CDF8E7DCFE57}"/>
    <cellStyle name="Normal 2 4 7 5 3" xfId="5942" xr:uid="{00000000-0005-0000-0000-0000F5100000}"/>
    <cellStyle name="Normal 2 4 7 5 3 2" xfId="14437" xr:uid="{5263EEE8-C6C1-445F-A8A3-26E3902988EF}"/>
    <cellStyle name="Normal 2 4 7 5 4" xfId="10224" xr:uid="{2070D9D6-B027-457A-8167-C5BE52DD9D87}"/>
    <cellStyle name="Normal 2 4 7 6" xfId="2049" xr:uid="{00000000-0005-0000-0000-0000F6100000}"/>
    <cellStyle name="Normal 2 4 7 6 2" xfId="4278" xr:uid="{00000000-0005-0000-0000-0000F7100000}"/>
    <cellStyle name="Normal 2 4 7 6 2 2" xfId="8500" xr:uid="{00000000-0005-0000-0000-0000F8100000}"/>
    <cellStyle name="Normal 2 4 7 6 2 2 2" xfId="16995" xr:uid="{0F0097B0-403D-414F-949F-8A0FE68B5A54}"/>
    <cellStyle name="Normal 2 4 7 6 2 3" xfId="12782" xr:uid="{15EC01DE-1B99-47F0-AB58-3A5D19C4978D}"/>
    <cellStyle name="Normal 2 4 7 6 3" xfId="6355" xr:uid="{00000000-0005-0000-0000-0000F9100000}"/>
    <cellStyle name="Normal 2 4 7 6 3 2" xfId="14850" xr:uid="{B67E7D07-D2AF-47D2-AC7C-B4523476EAEC}"/>
    <cellStyle name="Normal 2 4 7 6 4" xfId="10637" xr:uid="{F61D6910-7A91-4375-A7D7-75F8CD4A4D4D}"/>
    <cellStyle name="Normal 2 4 7 7" xfId="2485" xr:uid="{00000000-0005-0000-0000-0000FA100000}"/>
    <cellStyle name="Normal 2 4 7 7 2" xfId="6768" xr:uid="{00000000-0005-0000-0000-0000FB100000}"/>
    <cellStyle name="Normal 2 4 7 7 2 2" xfId="15263" xr:uid="{69DBE672-EF49-4AF0-A6B3-1A08200AB595}"/>
    <cellStyle name="Normal 2 4 7 7 3" xfId="11050" xr:uid="{6D479B5E-7D03-4DDE-BECF-BADE4EAA4EE7}"/>
    <cellStyle name="Normal 2 4 7 8" xfId="4702" xr:uid="{00000000-0005-0000-0000-0000FC100000}"/>
    <cellStyle name="Normal 2 4 7 8 2" xfId="13198" xr:uid="{E2F8E0D9-678F-4CCF-8A39-CC09636E5226}"/>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5758" xr:uid="{969CB090-099F-4F6D-A31C-F17380814BA1}"/>
    <cellStyle name="Normal 2 4 8 2 2 3" xfId="11545" xr:uid="{8DCFCDC1-FEB5-4038-A5DA-C42168BD4C2F}"/>
    <cellStyle name="Normal 2 4 8 2 3" xfId="5118" xr:uid="{00000000-0005-0000-0000-000001110000}"/>
    <cellStyle name="Normal 2 4 8 2 3 2" xfId="13613" xr:uid="{A72E7E77-CCE1-4AD0-8EB8-2CF28FF35ED9}"/>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2 2 2" xfId="16171" xr:uid="{DF6C89E5-6A28-4A56-9F93-659CC9EE7FF0}"/>
    <cellStyle name="Normal 2 4 8 3 2 3" xfId="11958" xr:uid="{5953ACF8-DDC2-4CC2-9D64-61FED79EE045}"/>
    <cellStyle name="Normal 2 4 8 3 3" xfId="5531" xr:uid="{00000000-0005-0000-0000-000005110000}"/>
    <cellStyle name="Normal 2 4 8 3 3 2" xfId="14026" xr:uid="{71A61F7B-92FC-4093-B825-7989A142FC01}"/>
    <cellStyle name="Normal 2 4 8 3 4" xfId="9813" xr:uid="{AD567271-B2FF-434E-8A67-04AECC147348}"/>
    <cellStyle name="Normal 2 4 8 4" xfId="1637" xr:uid="{00000000-0005-0000-0000-000006110000}"/>
    <cellStyle name="Normal 2 4 8 4 2" xfId="3867" xr:uid="{00000000-0005-0000-0000-000007110000}"/>
    <cellStyle name="Normal 2 4 8 4 2 2" xfId="8089" xr:uid="{00000000-0005-0000-0000-000008110000}"/>
    <cellStyle name="Normal 2 4 8 4 2 2 2" xfId="16584" xr:uid="{4073CB3F-85D9-4B26-BBDE-B006C7B1B679}"/>
    <cellStyle name="Normal 2 4 8 4 2 3" xfId="12371" xr:uid="{8BCAB3CB-BA9A-441A-A48D-F2A4EC2C98D0}"/>
    <cellStyle name="Normal 2 4 8 4 3" xfId="5944" xr:uid="{00000000-0005-0000-0000-000009110000}"/>
    <cellStyle name="Normal 2 4 8 4 3 2" xfId="14439" xr:uid="{CBE1E807-3D87-4A91-982D-CF7206911900}"/>
    <cellStyle name="Normal 2 4 8 4 4" xfId="10226" xr:uid="{6585E011-723E-4170-8EB9-6551A51ED920}"/>
    <cellStyle name="Normal 2 4 8 5" xfId="2051" xr:uid="{00000000-0005-0000-0000-00000A110000}"/>
    <cellStyle name="Normal 2 4 8 5 2" xfId="4280" xr:uid="{00000000-0005-0000-0000-00000B110000}"/>
    <cellStyle name="Normal 2 4 8 5 2 2" xfId="8502" xr:uid="{00000000-0005-0000-0000-00000C110000}"/>
    <cellStyle name="Normal 2 4 8 5 2 2 2" xfId="16997" xr:uid="{C7E5CDF6-A6C4-408F-90D3-BB0479874126}"/>
    <cellStyle name="Normal 2 4 8 5 2 3" xfId="12784" xr:uid="{BCAB7D8D-1727-4B9B-B0E5-5DF53D7DEB0A}"/>
    <cellStyle name="Normal 2 4 8 5 3" xfId="6357" xr:uid="{00000000-0005-0000-0000-00000D110000}"/>
    <cellStyle name="Normal 2 4 8 5 3 2" xfId="14852" xr:uid="{CF56E09D-D4E1-4B05-BB3D-68632337758B}"/>
    <cellStyle name="Normal 2 4 8 5 4" xfId="10639" xr:uid="{37107FFD-B770-46EB-8E55-CD94BD374F93}"/>
    <cellStyle name="Normal 2 4 8 6" xfId="2487" xr:uid="{00000000-0005-0000-0000-00000E110000}"/>
    <cellStyle name="Normal 2 4 8 6 2" xfId="6770" xr:uid="{00000000-0005-0000-0000-00000F110000}"/>
    <cellStyle name="Normal 2 4 8 6 2 2" xfId="15265" xr:uid="{06B9FF81-DCE1-4185-9086-583F06D74B8A}"/>
    <cellStyle name="Normal 2 4 8 6 3" xfId="11052" xr:uid="{E06BF728-2992-401F-9165-DFD278009CFC}"/>
    <cellStyle name="Normal 2 4 8 7" xfId="4704" xr:uid="{00000000-0005-0000-0000-000010110000}"/>
    <cellStyle name="Normal 2 4 8 7 2" xfId="13200" xr:uid="{E1FC7438-B50D-4303-B470-3B1E5328649E}"/>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10 2" xfId="13201" xr:uid="{7968EC9D-BE35-49A9-987D-3F2F644599A5}"/>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5762" xr:uid="{92D8ACFA-4380-4A1A-85BD-99D6865E8949}"/>
    <cellStyle name="Normal 2 5 4 2 2 2 2 3" xfId="11549" xr:uid="{55AEF20B-04E5-45C2-AD2F-7DB6B5320FEA}"/>
    <cellStyle name="Normal 2 5 4 2 2 2 3" xfId="5122" xr:uid="{00000000-0005-0000-0000-00001B110000}"/>
    <cellStyle name="Normal 2 5 4 2 2 2 3 2" xfId="13617" xr:uid="{9E3BA5E2-5203-48D8-AF30-AB2C9AA23A95}"/>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6175" xr:uid="{AF944F60-32A3-4CDF-9874-0C4DE0B8A4ED}"/>
    <cellStyle name="Normal 2 5 4 2 2 3 2 3" xfId="11962" xr:uid="{137D8007-861E-462E-ADFE-ED7D85580073}"/>
    <cellStyle name="Normal 2 5 4 2 2 3 3" xfId="5535" xr:uid="{00000000-0005-0000-0000-00001F110000}"/>
    <cellStyle name="Normal 2 5 4 2 2 3 3 2" xfId="14030" xr:uid="{732444CE-0446-47F3-A99A-1D660AE23D7B}"/>
    <cellStyle name="Normal 2 5 4 2 2 3 4" xfId="9817" xr:uid="{9A185EE6-1B64-47EB-88A3-1A383C65EB3D}"/>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6588" xr:uid="{AA817F83-924C-4A58-AB48-9C38FE4BBEB3}"/>
    <cellStyle name="Normal 2 5 4 2 2 4 2 3" xfId="12375" xr:uid="{1D2079A7-EDEB-4B9D-A848-14AE6FA5F7BB}"/>
    <cellStyle name="Normal 2 5 4 2 2 4 3" xfId="5948" xr:uid="{00000000-0005-0000-0000-000023110000}"/>
    <cellStyle name="Normal 2 5 4 2 2 4 3 2" xfId="14443" xr:uid="{7D3146BC-ED99-4801-BDA1-FC7D4D0A77F6}"/>
    <cellStyle name="Normal 2 5 4 2 2 4 4" xfId="10230" xr:uid="{F2E81DA6-BE72-4FEC-832B-B1FED9420C87}"/>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001" xr:uid="{D18591A0-06FD-4836-8F4D-DFC17227BA57}"/>
    <cellStyle name="Normal 2 5 4 2 2 5 2 3" xfId="12788" xr:uid="{D481E143-45AA-4CAA-9B89-81ED3182C8D7}"/>
    <cellStyle name="Normal 2 5 4 2 2 5 3" xfId="6361" xr:uid="{00000000-0005-0000-0000-000027110000}"/>
    <cellStyle name="Normal 2 5 4 2 2 5 3 2" xfId="14856" xr:uid="{C7990CDA-1D05-4AED-B2DC-F63462BC1F8F}"/>
    <cellStyle name="Normal 2 5 4 2 2 5 4" xfId="10643" xr:uid="{3592C25E-CF00-4E2A-B5C3-1E22559218F3}"/>
    <cellStyle name="Normal 2 5 4 2 2 6" xfId="2491" xr:uid="{00000000-0005-0000-0000-000028110000}"/>
    <cellStyle name="Normal 2 5 4 2 2 6 2" xfId="6774" xr:uid="{00000000-0005-0000-0000-000029110000}"/>
    <cellStyle name="Normal 2 5 4 2 2 6 2 2" xfId="15269" xr:uid="{2E48DC03-B298-4AD4-8489-34260932D8D7}"/>
    <cellStyle name="Normal 2 5 4 2 2 6 3" xfId="11056" xr:uid="{F34B54E4-7DB9-46E4-9DA5-5E9B8B933EF3}"/>
    <cellStyle name="Normal 2 5 4 2 2 7" xfId="4708" xr:uid="{00000000-0005-0000-0000-00002A110000}"/>
    <cellStyle name="Normal 2 5 4 2 2 7 2" xfId="13204" xr:uid="{24B14898-66E0-4463-8176-4686200C327F}"/>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5761" xr:uid="{0B0511B5-DF45-4CE3-883E-ED4714C84257}"/>
    <cellStyle name="Normal 2 5 4 2 3 2 3" xfId="11548" xr:uid="{6BEA5A15-9EE4-4C20-8479-CC98F0E79B4F}"/>
    <cellStyle name="Normal 2 5 4 2 3 3" xfId="5121" xr:uid="{00000000-0005-0000-0000-00002E110000}"/>
    <cellStyle name="Normal 2 5 4 2 3 3 2" xfId="13616" xr:uid="{7EC00B91-0F7D-436E-8799-C37C83DE7F71}"/>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6174" xr:uid="{FE382D52-18D3-46BB-9FC8-F781BDD1EC09}"/>
    <cellStyle name="Normal 2 5 4 2 4 2 3" xfId="11961" xr:uid="{AF176A76-CE70-40E4-BE60-6FF2DAAF8F43}"/>
    <cellStyle name="Normal 2 5 4 2 4 3" xfId="5534" xr:uid="{00000000-0005-0000-0000-000032110000}"/>
    <cellStyle name="Normal 2 5 4 2 4 3 2" xfId="14029" xr:uid="{6B2FEBD0-DD1D-475A-93FE-933F85500390}"/>
    <cellStyle name="Normal 2 5 4 2 4 4" xfId="9816" xr:uid="{C22C8A9B-81A9-4D5E-96DF-608C4BFEB5D0}"/>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6587" xr:uid="{E477E197-E9B7-455B-9501-E1147E64FC2F}"/>
    <cellStyle name="Normal 2 5 4 2 5 2 3" xfId="12374" xr:uid="{8CFD7D57-5AFD-4794-8F25-21C785C53A3B}"/>
    <cellStyle name="Normal 2 5 4 2 5 3" xfId="5947" xr:uid="{00000000-0005-0000-0000-000036110000}"/>
    <cellStyle name="Normal 2 5 4 2 5 3 2" xfId="14442" xr:uid="{A9451863-B415-40D0-AE66-47092B89255A}"/>
    <cellStyle name="Normal 2 5 4 2 5 4" xfId="10229" xr:uid="{8E9E762B-DB5E-4DD2-91A5-E3D94EEE8C1A}"/>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000" xr:uid="{0E14F76E-6BF4-4A68-9664-A6C39FFA62CA}"/>
    <cellStyle name="Normal 2 5 4 2 6 2 3" xfId="12787" xr:uid="{98D47D0E-868C-4DED-8BB9-5D3A9D73C25E}"/>
    <cellStyle name="Normal 2 5 4 2 6 3" xfId="6360" xr:uid="{00000000-0005-0000-0000-00003A110000}"/>
    <cellStyle name="Normal 2 5 4 2 6 3 2" xfId="14855" xr:uid="{A1398C75-3BEF-46DD-AC9F-B9016FB2DA14}"/>
    <cellStyle name="Normal 2 5 4 2 6 4" xfId="10642" xr:uid="{8A05BAAA-DCEC-40AA-907E-CB3A7EE29609}"/>
    <cellStyle name="Normal 2 5 4 2 7" xfId="2490" xr:uid="{00000000-0005-0000-0000-00003B110000}"/>
    <cellStyle name="Normal 2 5 4 2 7 2" xfId="6773" xr:uid="{00000000-0005-0000-0000-00003C110000}"/>
    <cellStyle name="Normal 2 5 4 2 7 2 2" xfId="15268" xr:uid="{3E81774A-4320-4B26-AF88-6F6C0D395981}"/>
    <cellStyle name="Normal 2 5 4 2 7 3" xfId="11055" xr:uid="{6A3F9149-E151-4D4A-A581-BF7571880235}"/>
    <cellStyle name="Normal 2 5 4 2 8" xfId="4707" xr:uid="{00000000-0005-0000-0000-00003D110000}"/>
    <cellStyle name="Normal 2 5 4 2 8 2" xfId="13203" xr:uid="{0B31771E-1CD1-4857-A566-A984B893F425}"/>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5763" xr:uid="{E70ACF0F-A514-4315-B7F8-6081B1EEEC90}"/>
    <cellStyle name="Normal 2 5 4 3 2 2 3" xfId="11550" xr:uid="{2BD928CD-A391-4DF3-8DFA-56AAA938B646}"/>
    <cellStyle name="Normal 2 5 4 3 2 3" xfId="5123" xr:uid="{00000000-0005-0000-0000-000042110000}"/>
    <cellStyle name="Normal 2 5 4 3 2 3 2" xfId="13618" xr:uid="{2EE4D485-26E0-4DB1-82C5-317B7ADFE597}"/>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6176" xr:uid="{F5CDD74D-13B1-48CC-9543-D9A828DB4DDB}"/>
    <cellStyle name="Normal 2 5 4 3 3 2 3" xfId="11963" xr:uid="{3D7823DA-01EA-4FDD-8978-8973658F3D85}"/>
    <cellStyle name="Normal 2 5 4 3 3 3" xfId="5536" xr:uid="{00000000-0005-0000-0000-000046110000}"/>
    <cellStyle name="Normal 2 5 4 3 3 3 2" xfId="14031" xr:uid="{77A55EE5-A524-430C-B34D-AF2C75F8F89A}"/>
    <cellStyle name="Normal 2 5 4 3 3 4" xfId="9818" xr:uid="{651EC97A-53D1-4261-9557-3E8BBBDACCB1}"/>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6589" xr:uid="{CCCDD93B-DA90-4E6C-9B4D-631F7999071C}"/>
    <cellStyle name="Normal 2 5 4 3 4 2 3" xfId="12376" xr:uid="{39D4183F-5040-4221-BA92-0EBA7DC1DAC3}"/>
    <cellStyle name="Normal 2 5 4 3 4 3" xfId="5949" xr:uid="{00000000-0005-0000-0000-00004A110000}"/>
    <cellStyle name="Normal 2 5 4 3 4 3 2" xfId="14444" xr:uid="{814DB81E-721F-4835-8A74-A51BB4CB9C36}"/>
    <cellStyle name="Normal 2 5 4 3 4 4" xfId="10231" xr:uid="{DAFA5259-D06F-4677-893B-2409B893D26D}"/>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002" xr:uid="{D305ECB1-5589-43C1-8E5E-04B0AF91A53B}"/>
    <cellStyle name="Normal 2 5 4 3 5 2 3" xfId="12789" xr:uid="{7FB9EEE6-8239-4D6A-853A-FCD72E6DFCF7}"/>
    <cellStyle name="Normal 2 5 4 3 5 3" xfId="6362" xr:uid="{00000000-0005-0000-0000-00004E110000}"/>
    <cellStyle name="Normal 2 5 4 3 5 3 2" xfId="14857" xr:uid="{8D98F10D-894C-4183-9357-6708C45E8D7C}"/>
    <cellStyle name="Normal 2 5 4 3 5 4" xfId="10644" xr:uid="{6C0E2994-C2D0-4E2D-9C62-D9F4BA2E5C43}"/>
    <cellStyle name="Normal 2 5 4 3 6" xfId="2492" xr:uid="{00000000-0005-0000-0000-00004F110000}"/>
    <cellStyle name="Normal 2 5 4 3 6 2" xfId="6775" xr:uid="{00000000-0005-0000-0000-000050110000}"/>
    <cellStyle name="Normal 2 5 4 3 6 2 2" xfId="15270" xr:uid="{D720C564-0863-48B9-A226-5667A483482D}"/>
    <cellStyle name="Normal 2 5 4 3 6 3" xfId="11057" xr:uid="{C3D531AD-4AF3-4215-980A-0497E1E4E620}"/>
    <cellStyle name="Normal 2 5 4 3 7" xfId="4709" xr:uid="{00000000-0005-0000-0000-000051110000}"/>
    <cellStyle name="Normal 2 5 4 3 7 2" xfId="13205" xr:uid="{F04D47B7-BDDE-441F-8D1D-086BA4B3A736}"/>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2 2 2" xfId="15760" xr:uid="{FC581E51-3136-4FB7-92B6-BBAFBBA2FFCE}"/>
    <cellStyle name="Normal 2 5 4 4 2 3" xfId="11547" xr:uid="{BD9A89CC-BD6B-4E82-9B5D-0E85DAFC73DB}"/>
    <cellStyle name="Normal 2 5 4 4 3" xfId="5120" xr:uid="{00000000-0005-0000-0000-000055110000}"/>
    <cellStyle name="Normal 2 5 4 4 3 2" xfId="13615" xr:uid="{35D61B56-A847-4D4E-988B-5DDD9CC2844A}"/>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2 2 2" xfId="16173" xr:uid="{D06F3525-E1ED-43A3-8750-54A353C318D5}"/>
    <cellStyle name="Normal 2 5 4 5 2 3" xfId="11960" xr:uid="{9227BBC9-903C-4822-9307-37BF440EF6E8}"/>
    <cellStyle name="Normal 2 5 4 5 3" xfId="5533" xr:uid="{00000000-0005-0000-0000-000059110000}"/>
    <cellStyle name="Normal 2 5 4 5 3 2" xfId="14028" xr:uid="{47EAE269-1494-42D6-9927-7AF4A20713D8}"/>
    <cellStyle name="Normal 2 5 4 5 4" xfId="9815" xr:uid="{81F77391-CF85-432A-8F2F-061945785806}"/>
    <cellStyle name="Normal 2 5 4 6" xfId="1639" xr:uid="{00000000-0005-0000-0000-00005A110000}"/>
    <cellStyle name="Normal 2 5 4 6 2" xfId="3869" xr:uid="{00000000-0005-0000-0000-00005B110000}"/>
    <cellStyle name="Normal 2 5 4 6 2 2" xfId="8091" xr:uid="{00000000-0005-0000-0000-00005C110000}"/>
    <cellStyle name="Normal 2 5 4 6 2 2 2" xfId="16586" xr:uid="{6F67C35C-6515-445A-9520-F6675D975742}"/>
    <cellStyle name="Normal 2 5 4 6 2 3" xfId="12373" xr:uid="{B93BD1CA-2F78-4139-B4C4-645F49479FD7}"/>
    <cellStyle name="Normal 2 5 4 6 3" xfId="5946" xr:uid="{00000000-0005-0000-0000-00005D110000}"/>
    <cellStyle name="Normal 2 5 4 6 3 2" xfId="14441" xr:uid="{0B0B2D5F-0A78-4A00-95D7-2986D826E17D}"/>
    <cellStyle name="Normal 2 5 4 6 4" xfId="10228" xr:uid="{7F0A3EB0-E56F-4080-96B7-ACFDC848A367}"/>
    <cellStyle name="Normal 2 5 4 7" xfId="2053" xr:uid="{00000000-0005-0000-0000-00005E110000}"/>
    <cellStyle name="Normal 2 5 4 7 2" xfId="4282" xr:uid="{00000000-0005-0000-0000-00005F110000}"/>
    <cellStyle name="Normal 2 5 4 7 2 2" xfId="8504" xr:uid="{00000000-0005-0000-0000-000060110000}"/>
    <cellStyle name="Normal 2 5 4 7 2 2 2" xfId="16999" xr:uid="{5CCE3E4B-3147-4B2C-A857-6A3C9E5532E6}"/>
    <cellStyle name="Normal 2 5 4 7 2 3" xfId="12786" xr:uid="{1C81A2BA-2E87-4DC2-A6ED-FCDA880B28C6}"/>
    <cellStyle name="Normal 2 5 4 7 3" xfId="6359" xr:uid="{00000000-0005-0000-0000-000061110000}"/>
    <cellStyle name="Normal 2 5 4 7 3 2" xfId="14854" xr:uid="{DBC50A8F-520C-424F-B948-61E966FABA0A}"/>
    <cellStyle name="Normal 2 5 4 7 4" xfId="10641" xr:uid="{1FB697AA-FA55-4810-BEEB-402BF812BF42}"/>
    <cellStyle name="Normal 2 5 4 8" xfId="2489" xr:uid="{00000000-0005-0000-0000-000062110000}"/>
    <cellStyle name="Normal 2 5 4 8 2" xfId="6772" xr:uid="{00000000-0005-0000-0000-000063110000}"/>
    <cellStyle name="Normal 2 5 4 8 2 2" xfId="15267" xr:uid="{BBBC28C3-ACE8-4924-902F-839051FD1ADB}"/>
    <cellStyle name="Normal 2 5 4 8 3" xfId="11054" xr:uid="{FF216146-D728-4FCC-B1DB-1037CAF8FDAB}"/>
    <cellStyle name="Normal 2 5 4 9" xfId="4706" xr:uid="{00000000-0005-0000-0000-000064110000}"/>
    <cellStyle name="Normal 2 5 4 9 2" xfId="13202" xr:uid="{B8CEB290-3906-4F70-B5F4-76FC317BD404}"/>
    <cellStyle name="Normal 2 5 5" xfId="803" xr:uid="{00000000-0005-0000-0000-000065110000}"/>
    <cellStyle name="Normal 2 5 5 2" xfId="3042" xr:uid="{00000000-0005-0000-0000-000066110000}"/>
    <cellStyle name="Normal 2 5 5 2 2" xfId="7264" xr:uid="{00000000-0005-0000-0000-000067110000}"/>
    <cellStyle name="Normal 2 5 5 2 2 2" xfId="15759" xr:uid="{A8E1EF58-4FEE-4C53-9B47-7470FD730626}"/>
    <cellStyle name="Normal 2 5 5 2 3" xfId="11546" xr:uid="{ED3E3556-5B04-4CED-873F-F26703B5FC01}"/>
    <cellStyle name="Normal 2 5 5 3" xfId="5119" xr:uid="{00000000-0005-0000-0000-000068110000}"/>
    <cellStyle name="Normal 2 5 5 3 2" xfId="13614" xr:uid="{2E32499E-21A8-46BA-9E03-2AA3BF523BE7}"/>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2 2 2" xfId="16172" xr:uid="{4D08D265-6156-4C52-962C-CA44D41ACC40}"/>
    <cellStyle name="Normal 2 5 6 2 3" xfId="11959" xr:uid="{2E3E16FC-4271-446B-BB20-ACBB3383F5E3}"/>
    <cellStyle name="Normal 2 5 6 3" xfId="5532" xr:uid="{00000000-0005-0000-0000-00006C110000}"/>
    <cellStyle name="Normal 2 5 6 3 2" xfId="14027" xr:uid="{2A24E724-847B-4207-9C01-D8A0097CE205}"/>
    <cellStyle name="Normal 2 5 6 4" xfId="9814" xr:uid="{F7F14987-F8C3-47E3-9E78-B9986B48501A}"/>
    <cellStyle name="Normal 2 5 7" xfId="1638" xr:uid="{00000000-0005-0000-0000-00006D110000}"/>
    <cellStyle name="Normal 2 5 7 2" xfId="3868" xr:uid="{00000000-0005-0000-0000-00006E110000}"/>
    <cellStyle name="Normal 2 5 7 2 2" xfId="8090" xr:uid="{00000000-0005-0000-0000-00006F110000}"/>
    <cellStyle name="Normal 2 5 7 2 2 2" xfId="16585" xr:uid="{37600A0E-58B4-4647-9F71-DB9E2FABD1CE}"/>
    <cellStyle name="Normal 2 5 7 2 3" xfId="12372" xr:uid="{86CA705F-0457-4AF6-89E7-D18AB82C0773}"/>
    <cellStyle name="Normal 2 5 7 3" xfId="5945" xr:uid="{00000000-0005-0000-0000-000070110000}"/>
    <cellStyle name="Normal 2 5 7 3 2" xfId="14440" xr:uid="{8FA9BC51-BA98-4B64-B6BD-600868DF00D9}"/>
    <cellStyle name="Normal 2 5 7 4" xfId="10227" xr:uid="{5349AC36-F04B-49F4-833A-3D7257EBD17D}"/>
    <cellStyle name="Normal 2 5 8" xfId="2052" xr:uid="{00000000-0005-0000-0000-000071110000}"/>
    <cellStyle name="Normal 2 5 8 2" xfId="4281" xr:uid="{00000000-0005-0000-0000-000072110000}"/>
    <cellStyle name="Normal 2 5 8 2 2" xfId="8503" xr:uid="{00000000-0005-0000-0000-000073110000}"/>
    <cellStyle name="Normal 2 5 8 2 2 2" xfId="16998" xr:uid="{21E909B9-65A4-4B01-A388-FD1AB12BD858}"/>
    <cellStyle name="Normal 2 5 8 2 3" xfId="12785" xr:uid="{603441C0-1FE9-44BB-A507-C50FE0F73375}"/>
    <cellStyle name="Normal 2 5 8 3" xfId="6358" xr:uid="{00000000-0005-0000-0000-000074110000}"/>
    <cellStyle name="Normal 2 5 8 3 2" xfId="14853" xr:uid="{48EB766B-DDD2-415C-8F11-4A5D818358F0}"/>
    <cellStyle name="Normal 2 5 8 4" xfId="10640" xr:uid="{9BFDF92F-BCE0-45EB-BCC9-5BA9FE967876}"/>
    <cellStyle name="Normal 2 5 9" xfId="2488" xr:uid="{00000000-0005-0000-0000-000075110000}"/>
    <cellStyle name="Normal 2 5 9 2" xfId="6771" xr:uid="{00000000-0005-0000-0000-000076110000}"/>
    <cellStyle name="Normal 2 5 9 2 2" xfId="15266" xr:uid="{0EA0B79A-1B23-495F-AEC0-0FCB5A175666}"/>
    <cellStyle name="Normal 2 5 9 3" xfId="11053" xr:uid="{DDC21E4A-17C8-48A2-8D4B-C2759070813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5767" xr:uid="{B1FBD7EE-48DB-41D0-800B-D4523B9A0FF3}"/>
    <cellStyle name="Normal 3 2 3 2 2 2 2 3" xfId="11554" xr:uid="{C7CB4F90-9258-4912-8E07-F791DB0C051F}"/>
    <cellStyle name="Normal 3 2 3 2 2 2 3" xfId="5127" xr:uid="{00000000-0005-0000-0000-000084110000}"/>
    <cellStyle name="Normal 3 2 3 2 2 2 3 2" xfId="13622" xr:uid="{F96DCD0B-4062-4A4A-8A2A-CFA8D946606F}"/>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6180" xr:uid="{49D9B801-42D3-44ED-9F4E-0F3C7D97D914}"/>
    <cellStyle name="Normal 3 2 3 2 2 3 2 3" xfId="11967" xr:uid="{CB9D2AF4-80C8-45F5-BB5A-F9922B3384DC}"/>
    <cellStyle name="Normal 3 2 3 2 2 3 3" xfId="5540" xr:uid="{00000000-0005-0000-0000-000088110000}"/>
    <cellStyle name="Normal 3 2 3 2 2 3 3 2" xfId="14035" xr:uid="{C3BF59BF-9BBA-41A1-AE99-ED90CE3C6E58}"/>
    <cellStyle name="Normal 3 2 3 2 2 3 4" xfId="9822" xr:uid="{4F71B034-9DA7-41FC-BD66-E4D7A1D01463}"/>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6593" xr:uid="{A67E387A-9F4D-42CB-89DC-4E662E9543B2}"/>
    <cellStyle name="Normal 3 2 3 2 2 4 2 3" xfId="12380" xr:uid="{B5E9A9F4-591E-4BE0-9195-DA9DFCEBA3A1}"/>
    <cellStyle name="Normal 3 2 3 2 2 4 3" xfId="5953" xr:uid="{00000000-0005-0000-0000-00008C110000}"/>
    <cellStyle name="Normal 3 2 3 2 2 4 3 2" xfId="14448" xr:uid="{F719386D-3F92-4AA8-8945-EDED60D5D1E5}"/>
    <cellStyle name="Normal 3 2 3 2 2 4 4" xfId="10235" xr:uid="{EF87917F-C335-41CD-A1B9-8D2E330C1037}"/>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006" xr:uid="{CCEDA09E-8C62-4789-8329-AB753C53A9B1}"/>
    <cellStyle name="Normal 3 2 3 2 2 5 2 3" xfId="12793" xr:uid="{175D06C8-4947-46B8-8EFE-B9033DA8B37F}"/>
    <cellStyle name="Normal 3 2 3 2 2 5 3" xfId="6366" xr:uid="{00000000-0005-0000-0000-000090110000}"/>
    <cellStyle name="Normal 3 2 3 2 2 5 3 2" xfId="14861" xr:uid="{C871CD58-5341-4074-8AC8-1B343C1E0E17}"/>
    <cellStyle name="Normal 3 2 3 2 2 5 4" xfId="10648" xr:uid="{A14C52C4-CCFE-450B-9561-49713ED993BA}"/>
    <cellStyle name="Normal 3 2 3 2 2 6" xfId="2496" xr:uid="{00000000-0005-0000-0000-000091110000}"/>
    <cellStyle name="Normal 3 2 3 2 2 6 2" xfId="6779" xr:uid="{00000000-0005-0000-0000-000092110000}"/>
    <cellStyle name="Normal 3 2 3 2 2 6 2 2" xfId="15274" xr:uid="{D0B8A16D-2825-451F-8DAC-7AC6FFC17612}"/>
    <cellStyle name="Normal 3 2 3 2 2 6 3" xfId="11061" xr:uid="{C2C0F0B2-CACD-4043-BD93-22042DCDA4B8}"/>
    <cellStyle name="Normal 3 2 3 2 2 7" xfId="4713" xr:uid="{00000000-0005-0000-0000-000093110000}"/>
    <cellStyle name="Normal 3 2 3 2 2 7 2" xfId="13209" xr:uid="{852EF49F-5558-457A-8E7B-20490C450B62}"/>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5766" xr:uid="{A2DF7E5C-9B80-45F3-8F8F-592831F2E713}"/>
    <cellStyle name="Normal 3 2 3 2 3 2 3" xfId="11553" xr:uid="{52B74937-E702-4E98-B6E7-46C012B2C5A7}"/>
    <cellStyle name="Normal 3 2 3 2 3 3" xfId="5126" xr:uid="{00000000-0005-0000-0000-000097110000}"/>
    <cellStyle name="Normal 3 2 3 2 3 3 2" xfId="13621" xr:uid="{D8432EF0-2E8C-414F-A805-C4BAE1A328DD}"/>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6179" xr:uid="{B536CFAB-DDB5-4C5B-B422-CDF116941C2A}"/>
    <cellStyle name="Normal 3 2 3 2 4 2 3" xfId="11966" xr:uid="{96D77A82-052E-4C77-A690-310FE9572D7F}"/>
    <cellStyle name="Normal 3 2 3 2 4 3" xfId="5539" xr:uid="{00000000-0005-0000-0000-00009B110000}"/>
    <cellStyle name="Normal 3 2 3 2 4 3 2" xfId="14034" xr:uid="{231C8F29-338E-4158-B5AD-5C1D3119EE53}"/>
    <cellStyle name="Normal 3 2 3 2 4 4" xfId="9821" xr:uid="{B8E83E79-ED94-4208-9F2A-E67F49A57EC0}"/>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6592" xr:uid="{42CF0D88-8857-410A-BC13-478ADA111106}"/>
    <cellStyle name="Normal 3 2 3 2 5 2 3" xfId="12379" xr:uid="{F6ED9AE8-8933-4E08-8AEE-30773B0D6B69}"/>
    <cellStyle name="Normal 3 2 3 2 5 3" xfId="5952" xr:uid="{00000000-0005-0000-0000-00009F110000}"/>
    <cellStyle name="Normal 3 2 3 2 5 3 2" xfId="14447" xr:uid="{997593BC-A1C9-47A7-8C26-C846FDFE3B03}"/>
    <cellStyle name="Normal 3 2 3 2 5 4" xfId="10234" xr:uid="{0B741877-C62E-44D7-8C0B-072447503523}"/>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005" xr:uid="{F1440318-54ED-41A0-886C-1A295C102D79}"/>
    <cellStyle name="Normal 3 2 3 2 6 2 3" xfId="12792" xr:uid="{D1518BCF-7B24-443F-AB1A-AED6C1896C7F}"/>
    <cellStyle name="Normal 3 2 3 2 6 3" xfId="6365" xr:uid="{00000000-0005-0000-0000-0000A3110000}"/>
    <cellStyle name="Normal 3 2 3 2 6 3 2" xfId="14860" xr:uid="{0302FB25-1238-41F9-A287-92E8028E7B8E}"/>
    <cellStyle name="Normal 3 2 3 2 6 4" xfId="10647" xr:uid="{CC5FDA71-6FF6-4B93-8CA5-0AB609FE07BC}"/>
    <cellStyle name="Normal 3 2 3 2 7" xfId="2495" xr:uid="{00000000-0005-0000-0000-0000A4110000}"/>
    <cellStyle name="Normal 3 2 3 2 7 2" xfId="6778" xr:uid="{00000000-0005-0000-0000-0000A5110000}"/>
    <cellStyle name="Normal 3 2 3 2 7 2 2" xfId="15273" xr:uid="{E394AD0E-1294-46A5-A625-8FC5CF363855}"/>
    <cellStyle name="Normal 3 2 3 2 7 3" xfId="11060" xr:uid="{9F4F32D7-CE21-412F-9135-E8BA64644BE0}"/>
    <cellStyle name="Normal 3 2 3 2 8" xfId="4712" xr:uid="{00000000-0005-0000-0000-0000A6110000}"/>
    <cellStyle name="Normal 3 2 3 2 8 2" xfId="13208" xr:uid="{1D34C48D-A01F-4F61-B59B-2DE9C2269F59}"/>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5768" xr:uid="{F1CE4241-DC61-4AE2-957E-3C70E8621C63}"/>
    <cellStyle name="Normal 3 2 3 3 2 2 3" xfId="11555" xr:uid="{710441EC-923F-402E-BC67-DD5443E67467}"/>
    <cellStyle name="Normal 3 2 3 3 2 3" xfId="5128" xr:uid="{00000000-0005-0000-0000-0000AB110000}"/>
    <cellStyle name="Normal 3 2 3 3 2 3 2" xfId="13623" xr:uid="{7BF29CE3-F54E-4093-848D-C27355B10564}"/>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6181" xr:uid="{64FD4E01-289B-4193-917C-AE46C778BD00}"/>
    <cellStyle name="Normal 3 2 3 3 3 2 3" xfId="11968" xr:uid="{78A42A48-4848-4C69-9683-2B376DF4A2B1}"/>
    <cellStyle name="Normal 3 2 3 3 3 3" xfId="5541" xr:uid="{00000000-0005-0000-0000-0000AF110000}"/>
    <cellStyle name="Normal 3 2 3 3 3 3 2" xfId="14036" xr:uid="{408CD5DB-D3D8-4E54-A909-86BDB6517EB9}"/>
    <cellStyle name="Normal 3 2 3 3 3 4" xfId="9823" xr:uid="{9EDF2CBA-95CD-4ACF-B0B1-C49115A73B9D}"/>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6594" xr:uid="{CF75BF33-F2F6-458E-90CA-077F0C03E501}"/>
    <cellStyle name="Normal 3 2 3 3 4 2 3" xfId="12381" xr:uid="{186E3617-5444-47E6-8813-B08BD1223ABA}"/>
    <cellStyle name="Normal 3 2 3 3 4 3" xfId="5954" xr:uid="{00000000-0005-0000-0000-0000B3110000}"/>
    <cellStyle name="Normal 3 2 3 3 4 3 2" xfId="14449" xr:uid="{71A4E1AC-5BFC-4DA0-82A6-771B39F0D6B3}"/>
    <cellStyle name="Normal 3 2 3 3 4 4" xfId="10236" xr:uid="{2F1C1393-DB4E-4793-BBE5-0D3CE155FA11}"/>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007" xr:uid="{BF4C4922-701A-4FC0-B92A-54CECD7D8B6D}"/>
    <cellStyle name="Normal 3 2 3 3 5 2 3" xfId="12794" xr:uid="{6A799D66-AEE2-4CD0-9B41-4DCE5288AD5C}"/>
    <cellStyle name="Normal 3 2 3 3 5 3" xfId="6367" xr:uid="{00000000-0005-0000-0000-0000B7110000}"/>
    <cellStyle name="Normal 3 2 3 3 5 3 2" xfId="14862" xr:uid="{C88B2982-3687-4BFD-84D9-A5B031919D4A}"/>
    <cellStyle name="Normal 3 2 3 3 5 4" xfId="10649" xr:uid="{4C6EBB2A-5010-40FF-A284-9D70B2F8FDFE}"/>
    <cellStyle name="Normal 3 2 3 3 6" xfId="2497" xr:uid="{00000000-0005-0000-0000-0000B8110000}"/>
    <cellStyle name="Normal 3 2 3 3 6 2" xfId="6780" xr:uid="{00000000-0005-0000-0000-0000B9110000}"/>
    <cellStyle name="Normal 3 2 3 3 6 2 2" xfId="15275" xr:uid="{3464580C-2975-4883-AD9E-AF5AE40F388A}"/>
    <cellStyle name="Normal 3 2 3 3 6 3" xfId="11062" xr:uid="{C590C1A7-16CF-4C4A-8D77-3B33940CA1A5}"/>
    <cellStyle name="Normal 3 2 3 3 7" xfId="4714" xr:uid="{00000000-0005-0000-0000-0000BA110000}"/>
    <cellStyle name="Normal 3 2 3 3 7 2" xfId="13210" xr:uid="{647003A0-5EB7-48DE-9673-E6132251DAFC}"/>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2 2 2" xfId="15765" xr:uid="{16887EE4-5EEB-457A-9564-1EE93073E539}"/>
    <cellStyle name="Normal 3 2 3 4 2 3" xfId="11552" xr:uid="{2E36C8CA-495D-43D0-9EC0-40F5C9531A0F}"/>
    <cellStyle name="Normal 3 2 3 4 3" xfId="5125" xr:uid="{00000000-0005-0000-0000-0000BE110000}"/>
    <cellStyle name="Normal 3 2 3 4 3 2" xfId="13620" xr:uid="{B2994892-C8FF-4927-BE9E-7742B72C616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2 2 2" xfId="16178" xr:uid="{792E6766-82EC-42F6-8F16-2D8B4F6E637F}"/>
    <cellStyle name="Normal 3 2 3 5 2 3" xfId="11965" xr:uid="{DCB0815A-4D84-448B-813A-AB3731654BB2}"/>
    <cellStyle name="Normal 3 2 3 5 3" xfId="5538" xr:uid="{00000000-0005-0000-0000-0000C2110000}"/>
    <cellStyle name="Normal 3 2 3 5 3 2" xfId="14033" xr:uid="{5511C3C7-E481-492C-B0A8-645CC3AD60D4}"/>
    <cellStyle name="Normal 3 2 3 5 4" xfId="9820" xr:uid="{5E9F719B-66AF-4C94-87C8-94DBFBCF752E}"/>
    <cellStyle name="Normal 3 2 3 6" xfId="1644" xr:uid="{00000000-0005-0000-0000-0000C3110000}"/>
    <cellStyle name="Normal 3 2 3 6 2" xfId="3874" xr:uid="{00000000-0005-0000-0000-0000C4110000}"/>
    <cellStyle name="Normal 3 2 3 6 2 2" xfId="8096" xr:uid="{00000000-0005-0000-0000-0000C5110000}"/>
    <cellStyle name="Normal 3 2 3 6 2 2 2" xfId="16591" xr:uid="{29BB3D89-A090-4F85-B235-80942CEC3FA1}"/>
    <cellStyle name="Normal 3 2 3 6 2 3" xfId="12378" xr:uid="{60731A30-70E0-4613-A79C-0D894683AD5B}"/>
    <cellStyle name="Normal 3 2 3 6 3" xfId="5951" xr:uid="{00000000-0005-0000-0000-0000C6110000}"/>
    <cellStyle name="Normal 3 2 3 6 3 2" xfId="14446" xr:uid="{7517FA70-4AF7-4F40-8B5E-2B8FE67222CF}"/>
    <cellStyle name="Normal 3 2 3 6 4" xfId="10233" xr:uid="{FC72CB0E-EA4E-4A0C-91EE-2E767211ED3B}"/>
    <cellStyle name="Normal 3 2 3 7" xfId="2058" xr:uid="{00000000-0005-0000-0000-0000C7110000}"/>
    <cellStyle name="Normal 3 2 3 7 2" xfId="4287" xr:uid="{00000000-0005-0000-0000-0000C8110000}"/>
    <cellStyle name="Normal 3 2 3 7 2 2" xfId="8509" xr:uid="{00000000-0005-0000-0000-0000C9110000}"/>
    <cellStyle name="Normal 3 2 3 7 2 2 2" xfId="17004" xr:uid="{FA792A65-62E5-4409-83CF-D4F9E134B22E}"/>
    <cellStyle name="Normal 3 2 3 7 2 3" xfId="12791" xr:uid="{6DBE4A39-8D6C-42B4-B9A0-D6BA9BCA8F2E}"/>
    <cellStyle name="Normal 3 2 3 7 3" xfId="6364" xr:uid="{00000000-0005-0000-0000-0000CA110000}"/>
    <cellStyle name="Normal 3 2 3 7 3 2" xfId="14859" xr:uid="{3517E379-BE72-4E2D-BD23-997F2FE06A2E}"/>
    <cellStyle name="Normal 3 2 3 7 4" xfId="10646" xr:uid="{AE311046-CC11-497D-8336-DB023F9F1DC2}"/>
    <cellStyle name="Normal 3 2 3 8" xfId="2494" xr:uid="{00000000-0005-0000-0000-0000CB110000}"/>
    <cellStyle name="Normal 3 2 3 8 2" xfId="6777" xr:uid="{00000000-0005-0000-0000-0000CC110000}"/>
    <cellStyle name="Normal 3 2 3 8 2 2" xfId="15272" xr:uid="{C11D1894-47D4-4D72-9A6B-FB7B79FE58E2}"/>
    <cellStyle name="Normal 3 2 3 8 3" xfId="11059" xr:uid="{F2C3A27E-66A4-40E4-A2C5-6F14EFAE0D4C}"/>
    <cellStyle name="Normal 3 2 3 9" xfId="4711" xr:uid="{00000000-0005-0000-0000-0000CD110000}"/>
    <cellStyle name="Normal 3 2 3 9 2" xfId="13207" xr:uid="{062817BD-D451-454F-AF0E-57B1B7D2305E}"/>
    <cellStyle name="Normal 3 2 4" xfId="809" xr:uid="{00000000-0005-0000-0000-0000CE110000}"/>
    <cellStyle name="Normal 3 2 4 2" xfId="3047" xr:uid="{00000000-0005-0000-0000-0000CF110000}"/>
    <cellStyle name="Normal 3 2 4 2 2" xfId="7269" xr:uid="{00000000-0005-0000-0000-0000D0110000}"/>
    <cellStyle name="Normal 3 2 4 2 2 2" xfId="15764" xr:uid="{456A1894-0B70-4C32-B46B-FEB7E997B964}"/>
    <cellStyle name="Normal 3 2 4 2 3" xfId="11551" xr:uid="{B1F05554-1228-40BF-A839-FAB8334E7E32}"/>
    <cellStyle name="Normal 3 2 4 3" xfId="5124" xr:uid="{00000000-0005-0000-0000-0000D1110000}"/>
    <cellStyle name="Normal 3 2 4 3 2" xfId="13619" xr:uid="{B7E0AA80-5A74-4245-82F5-A9B91C707344}"/>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2 2 2" xfId="16177" xr:uid="{2088138B-5496-449E-BE76-A815FDA5A4EF}"/>
    <cellStyle name="Normal 3 2 5 2 3" xfId="11964" xr:uid="{36898C43-E25B-48B2-A9DF-BA0D28533FE9}"/>
    <cellStyle name="Normal 3 2 5 3" xfId="5537" xr:uid="{00000000-0005-0000-0000-0000D5110000}"/>
    <cellStyle name="Normal 3 2 5 3 2" xfId="14032" xr:uid="{061C5451-81F9-44E0-8A33-C3D9558D0B02}"/>
    <cellStyle name="Normal 3 2 5 4" xfId="9819" xr:uid="{67CBE882-A254-464E-AE0A-07C4B794983E}"/>
    <cellStyle name="Normal 3 2 6" xfId="1643" xr:uid="{00000000-0005-0000-0000-0000D6110000}"/>
    <cellStyle name="Normal 3 2 6 2" xfId="3873" xr:uid="{00000000-0005-0000-0000-0000D7110000}"/>
    <cellStyle name="Normal 3 2 6 2 2" xfId="8095" xr:uid="{00000000-0005-0000-0000-0000D8110000}"/>
    <cellStyle name="Normal 3 2 6 2 2 2" xfId="16590" xr:uid="{6A5701D8-F447-475C-8372-9CC26B52CEA9}"/>
    <cellStyle name="Normal 3 2 6 2 3" xfId="12377" xr:uid="{B495AD7C-7B90-4A4C-9D49-2C64A2FD92A9}"/>
    <cellStyle name="Normal 3 2 6 3" xfId="5950" xr:uid="{00000000-0005-0000-0000-0000D9110000}"/>
    <cellStyle name="Normal 3 2 6 3 2" xfId="14445" xr:uid="{E57ED246-B60A-48C7-81FF-F2D284F530E6}"/>
    <cellStyle name="Normal 3 2 6 4" xfId="10232" xr:uid="{2A94BD1C-F687-4F87-B278-DCD5035485A5}"/>
    <cellStyle name="Normal 3 2 7" xfId="2057" xr:uid="{00000000-0005-0000-0000-0000DA110000}"/>
    <cellStyle name="Normal 3 2 7 2" xfId="4286" xr:uid="{00000000-0005-0000-0000-0000DB110000}"/>
    <cellStyle name="Normal 3 2 7 2 2" xfId="8508" xr:uid="{00000000-0005-0000-0000-0000DC110000}"/>
    <cellStyle name="Normal 3 2 7 2 2 2" xfId="17003" xr:uid="{79500440-3277-4F84-8A31-38480C21D042}"/>
    <cellStyle name="Normal 3 2 7 2 3" xfId="12790" xr:uid="{09AE7A0B-C0AD-43E4-9437-996DC9E69DEB}"/>
    <cellStyle name="Normal 3 2 7 3" xfId="6363" xr:uid="{00000000-0005-0000-0000-0000DD110000}"/>
    <cellStyle name="Normal 3 2 7 3 2" xfId="14858" xr:uid="{2372AC5F-0EE7-4ECB-A967-ACC4D2286F5E}"/>
    <cellStyle name="Normal 3 2 7 4" xfId="10645" xr:uid="{6738AE61-C98C-4DFA-889D-581059920D5E}"/>
    <cellStyle name="Normal 3 2 8" xfId="2493" xr:uid="{00000000-0005-0000-0000-0000DE110000}"/>
    <cellStyle name="Normal 3 2 8 2" xfId="6776" xr:uid="{00000000-0005-0000-0000-0000DF110000}"/>
    <cellStyle name="Normal 3 2 8 2 2" xfId="15271" xr:uid="{3F604249-B5E4-4609-9F9B-F1C28CE55C69}"/>
    <cellStyle name="Normal 3 2 8 3" xfId="11058" xr:uid="{867C0C9C-81E0-4B49-A3BD-7020E8185F32}"/>
    <cellStyle name="Normal 3 2 9" xfId="4710" xr:uid="{00000000-0005-0000-0000-0000E0110000}"/>
    <cellStyle name="Normal 3 2 9 2" xfId="13206" xr:uid="{4E601133-A53C-486F-ACEE-35B68D37E61B}"/>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008" xr:uid="{7124AE3C-1EE9-40D8-8AB5-E017F392CACD}"/>
    <cellStyle name="Normal 4 2 2 10 2 3" xfId="12795" xr:uid="{0F45DFD7-108E-43D1-8F64-2C6313E34DB1}"/>
    <cellStyle name="Normal 4 2 2 10 3" xfId="6368" xr:uid="{00000000-0005-0000-0000-0000ED110000}"/>
    <cellStyle name="Normal 4 2 2 10 3 2" xfId="14863" xr:uid="{F881B19E-478D-4C69-87F2-DFCAEAFA574E}"/>
    <cellStyle name="Normal 4 2 2 10 4" xfId="10650" xr:uid="{3B46E57C-CAF1-49D2-B1A6-4ED3407E6557}"/>
    <cellStyle name="Normal 4 2 2 11" xfId="2498" xr:uid="{00000000-0005-0000-0000-0000EE110000}"/>
    <cellStyle name="Normal 4 2 2 11 2" xfId="6781" xr:uid="{00000000-0005-0000-0000-0000EF110000}"/>
    <cellStyle name="Normal 4 2 2 11 2 2" xfId="15276" xr:uid="{F1A32F30-3C12-458C-AF09-E768A2EAAF61}"/>
    <cellStyle name="Normal 4 2 2 11 3" xfId="11063" xr:uid="{AAB02D05-7E65-46F7-BF56-F529D886B0AB}"/>
    <cellStyle name="Normal 4 2 2 12" xfId="4716" xr:uid="{00000000-0005-0000-0000-0000F0110000}"/>
    <cellStyle name="Normal 4 2 2 12 2" xfId="13211" xr:uid="{B0B8ED12-8021-4F68-A323-342726DE1B3B}"/>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0 2" xfId="13212" xr:uid="{6BD64750-6DF5-4C87-A296-5676920B893E}"/>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5773" xr:uid="{CC491ECA-3DB2-48E1-8C0C-321499989A0B}"/>
    <cellStyle name="Normal 4 2 2 3 2 2 2 2 2 3" xfId="11560" xr:uid="{D22AA26F-9EB8-4184-94AD-AD7EE4CE9BBF}"/>
    <cellStyle name="Normal 4 2 2 3 2 2 2 2 3" xfId="5133" xr:uid="{00000000-0005-0000-0000-0000FA110000}"/>
    <cellStyle name="Normal 4 2 2 3 2 2 2 2 3 2" xfId="13628" xr:uid="{640BCDE6-B4CA-4ADC-B225-1846206DE51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6186" xr:uid="{6A7A3636-4EA2-4A6B-89ED-AA22DAE5A476}"/>
    <cellStyle name="Normal 4 2 2 3 2 2 2 3 2 3" xfId="11973" xr:uid="{DFBEE5E5-3AA4-4B49-AB0E-3B3B2746F5B2}"/>
    <cellStyle name="Normal 4 2 2 3 2 2 2 3 3" xfId="5546" xr:uid="{00000000-0005-0000-0000-0000FE110000}"/>
    <cellStyle name="Normal 4 2 2 3 2 2 2 3 3 2" xfId="14041" xr:uid="{4EBC35F7-7BBC-4DDA-8A09-066B2AEE37AD}"/>
    <cellStyle name="Normal 4 2 2 3 2 2 2 3 4" xfId="9828" xr:uid="{3B85CD53-2E53-4750-82B8-BBE44C54B8BB}"/>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6599" xr:uid="{F7EC45BA-7DBA-47E6-BA16-573C75089EDD}"/>
    <cellStyle name="Normal 4 2 2 3 2 2 2 4 2 3" xfId="12386" xr:uid="{E52D128D-9341-463C-995A-7681517A35DA}"/>
    <cellStyle name="Normal 4 2 2 3 2 2 2 4 3" xfId="5959" xr:uid="{00000000-0005-0000-0000-000002120000}"/>
    <cellStyle name="Normal 4 2 2 3 2 2 2 4 3 2" xfId="14454" xr:uid="{97AB9FA3-194D-466F-B16E-3AEEC564A916}"/>
    <cellStyle name="Normal 4 2 2 3 2 2 2 4 4" xfId="10241" xr:uid="{5C23EA3C-A24A-449E-920A-F9A4F74BE2CB}"/>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012" xr:uid="{C0065A8A-1CE7-4C6F-AD71-14829BCEB4F7}"/>
    <cellStyle name="Normal 4 2 2 3 2 2 2 5 2 3" xfId="12799" xr:uid="{CE84EE65-3E5E-4C40-AF7D-C010DBF8C2DB}"/>
    <cellStyle name="Normal 4 2 2 3 2 2 2 5 3" xfId="6372" xr:uid="{00000000-0005-0000-0000-000006120000}"/>
    <cellStyle name="Normal 4 2 2 3 2 2 2 5 3 2" xfId="14867" xr:uid="{7F4F1243-F69E-413F-8923-B80D310F5C91}"/>
    <cellStyle name="Normal 4 2 2 3 2 2 2 5 4" xfId="10654" xr:uid="{CD94CFB7-F734-416F-AECB-68B361921744}"/>
    <cellStyle name="Normal 4 2 2 3 2 2 2 6" xfId="2502" xr:uid="{00000000-0005-0000-0000-000007120000}"/>
    <cellStyle name="Normal 4 2 2 3 2 2 2 6 2" xfId="6785" xr:uid="{00000000-0005-0000-0000-000008120000}"/>
    <cellStyle name="Normal 4 2 2 3 2 2 2 6 2 2" xfId="15280" xr:uid="{335E1746-EE30-46FC-8758-77A4A6B0973E}"/>
    <cellStyle name="Normal 4 2 2 3 2 2 2 6 3" xfId="11067" xr:uid="{5265F611-FCE5-45BF-B6E9-96F77FFAFDE6}"/>
    <cellStyle name="Normal 4 2 2 3 2 2 2 7" xfId="4720" xr:uid="{00000000-0005-0000-0000-000009120000}"/>
    <cellStyle name="Normal 4 2 2 3 2 2 2 7 2" xfId="13215" xr:uid="{E0B04613-C3DB-4E42-A338-F342C407A25A}"/>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5772" xr:uid="{84F6738B-28FB-4BEE-BB1E-9EA85D33E3E9}"/>
    <cellStyle name="Normal 4 2 2 3 2 2 3 2 3" xfId="11559" xr:uid="{7346C3D1-6D7B-4C53-9E1E-714FF15A6E60}"/>
    <cellStyle name="Normal 4 2 2 3 2 2 3 3" xfId="5132" xr:uid="{00000000-0005-0000-0000-00000D120000}"/>
    <cellStyle name="Normal 4 2 2 3 2 2 3 3 2" xfId="13627" xr:uid="{7479DFF5-8BA8-45F1-B6E2-97E8005F560C}"/>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6185" xr:uid="{A4831416-E948-4704-82A6-FDE65D5D7AAC}"/>
    <cellStyle name="Normal 4 2 2 3 2 2 4 2 3" xfId="11972" xr:uid="{EF31FAA8-CE5B-43A5-A121-75C6F7440FFB}"/>
    <cellStyle name="Normal 4 2 2 3 2 2 4 3" xfId="5545" xr:uid="{00000000-0005-0000-0000-000011120000}"/>
    <cellStyle name="Normal 4 2 2 3 2 2 4 3 2" xfId="14040" xr:uid="{120E010F-1378-4A9D-92AC-020CE11D58E5}"/>
    <cellStyle name="Normal 4 2 2 3 2 2 4 4" xfId="9827" xr:uid="{5F021F8D-1F7C-4462-A5D3-6848B9D15CF5}"/>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6598" xr:uid="{BD48DFA2-0434-4667-BAF0-CEC9C271F000}"/>
    <cellStyle name="Normal 4 2 2 3 2 2 5 2 3" xfId="12385" xr:uid="{B28C0595-297C-492B-8063-4AC7037B1B42}"/>
    <cellStyle name="Normal 4 2 2 3 2 2 5 3" xfId="5958" xr:uid="{00000000-0005-0000-0000-000015120000}"/>
    <cellStyle name="Normal 4 2 2 3 2 2 5 3 2" xfId="14453" xr:uid="{34B9BB7A-CE5A-4013-BF75-53B33AA2E530}"/>
    <cellStyle name="Normal 4 2 2 3 2 2 5 4" xfId="10240" xr:uid="{CA7CD8CF-D61C-4ED0-9698-161C04E6369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011" xr:uid="{88EF29F1-09D7-47D8-8B1F-7F9E3473A8B8}"/>
    <cellStyle name="Normal 4 2 2 3 2 2 6 2 3" xfId="12798" xr:uid="{2088CC5D-C806-4E69-9D62-455AEF040C8F}"/>
    <cellStyle name="Normal 4 2 2 3 2 2 6 3" xfId="6371" xr:uid="{00000000-0005-0000-0000-000019120000}"/>
    <cellStyle name="Normal 4 2 2 3 2 2 6 3 2" xfId="14866" xr:uid="{EB1B1A78-FB40-4382-9CAB-45BE02CFE4DD}"/>
    <cellStyle name="Normal 4 2 2 3 2 2 6 4" xfId="10653" xr:uid="{4AC765B0-034A-4B6C-B207-18F808E73646}"/>
    <cellStyle name="Normal 4 2 2 3 2 2 7" xfId="2501" xr:uid="{00000000-0005-0000-0000-00001A120000}"/>
    <cellStyle name="Normal 4 2 2 3 2 2 7 2" xfId="6784" xr:uid="{00000000-0005-0000-0000-00001B120000}"/>
    <cellStyle name="Normal 4 2 2 3 2 2 7 2 2" xfId="15279" xr:uid="{0A6E428B-6B18-4387-BD81-4F03D5087AFE}"/>
    <cellStyle name="Normal 4 2 2 3 2 2 7 3" xfId="11066" xr:uid="{87932507-F8EF-4636-A389-7F645092DA4C}"/>
    <cellStyle name="Normal 4 2 2 3 2 2 8" xfId="4719" xr:uid="{00000000-0005-0000-0000-00001C120000}"/>
    <cellStyle name="Normal 4 2 2 3 2 2 8 2" xfId="13214" xr:uid="{2B1A3E40-F3B1-4442-B067-2AD0181D802C}"/>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5774" xr:uid="{C19A71A5-7117-41A7-962C-428F20616261}"/>
    <cellStyle name="Normal 4 2 2 3 2 3 2 2 3" xfId="11561" xr:uid="{B1605A24-DFBA-48BC-822E-0DF955DD4CD2}"/>
    <cellStyle name="Normal 4 2 2 3 2 3 2 3" xfId="5134" xr:uid="{00000000-0005-0000-0000-000021120000}"/>
    <cellStyle name="Normal 4 2 2 3 2 3 2 3 2" xfId="13629" xr:uid="{A31EA1CC-8D36-47E4-8D25-DBBF2F5E55D7}"/>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6187" xr:uid="{36149348-A955-4E84-BFAF-C214CB99200F}"/>
    <cellStyle name="Normal 4 2 2 3 2 3 3 2 3" xfId="11974" xr:uid="{EBE3B5E4-AA3C-4F60-92E1-B87E1CBE9571}"/>
    <cellStyle name="Normal 4 2 2 3 2 3 3 3" xfId="5547" xr:uid="{00000000-0005-0000-0000-000025120000}"/>
    <cellStyle name="Normal 4 2 2 3 2 3 3 3 2" xfId="14042" xr:uid="{4DB852BE-E980-4CAC-BC39-10648F7678CC}"/>
    <cellStyle name="Normal 4 2 2 3 2 3 3 4" xfId="9829" xr:uid="{2F8AB7D4-831F-461F-AD77-F98980A1CB73}"/>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6600" xr:uid="{98508E52-6C60-4B57-B7E9-6B182332FF74}"/>
    <cellStyle name="Normal 4 2 2 3 2 3 4 2 3" xfId="12387" xr:uid="{9B363E55-35CF-4B85-8C73-5F369BA053A7}"/>
    <cellStyle name="Normal 4 2 2 3 2 3 4 3" xfId="5960" xr:uid="{00000000-0005-0000-0000-000029120000}"/>
    <cellStyle name="Normal 4 2 2 3 2 3 4 3 2" xfId="14455" xr:uid="{D76D38A5-9BCE-42CF-9E09-8F8CD6D69C92}"/>
    <cellStyle name="Normal 4 2 2 3 2 3 4 4" xfId="10242" xr:uid="{B3E88C05-6DDC-4C3B-93B4-F340AF683F33}"/>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013" xr:uid="{68930B58-7046-49D2-ACE3-AA8D6F5FF8F2}"/>
    <cellStyle name="Normal 4 2 2 3 2 3 5 2 3" xfId="12800" xr:uid="{76EBAD96-5C86-4E95-8B6C-BD19C62D2424}"/>
    <cellStyle name="Normal 4 2 2 3 2 3 5 3" xfId="6373" xr:uid="{00000000-0005-0000-0000-00002D120000}"/>
    <cellStyle name="Normal 4 2 2 3 2 3 5 3 2" xfId="14868" xr:uid="{CC76D6BF-7EC8-42BF-9DD1-9CB8309D505E}"/>
    <cellStyle name="Normal 4 2 2 3 2 3 5 4" xfId="10655" xr:uid="{B225697F-0B95-4514-8E6D-F0A355616AB6}"/>
    <cellStyle name="Normal 4 2 2 3 2 3 6" xfId="2503" xr:uid="{00000000-0005-0000-0000-00002E120000}"/>
    <cellStyle name="Normal 4 2 2 3 2 3 6 2" xfId="6786" xr:uid="{00000000-0005-0000-0000-00002F120000}"/>
    <cellStyle name="Normal 4 2 2 3 2 3 6 2 2" xfId="15281" xr:uid="{92779718-95C2-406B-87BE-FBD55CF998C9}"/>
    <cellStyle name="Normal 4 2 2 3 2 3 6 3" xfId="11068" xr:uid="{83393E2C-AE5A-4B4D-9CDB-AC54DF32F207}"/>
    <cellStyle name="Normal 4 2 2 3 2 3 7" xfId="4721" xr:uid="{00000000-0005-0000-0000-000030120000}"/>
    <cellStyle name="Normal 4 2 2 3 2 3 7 2" xfId="13216" xr:uid="{F97EB1CB-A6ED-4D1E-9CCA-C65EAC0F8F93}"/>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5771" xr:uid="{D19321FD-B190-437C-A676-5B77B19A9088}"/>
    <cellStyle name="Normal 4 2 2 3 2 4 2 3" xfId="11558" xr:uid="{FE83EE3C-00E8-4964-AEEA-1A4B489C5A07}"/>
    <cellStyle name="Normal 4 2 2 3 2 4 3" xfId="5131" xr:uid="{00000000-0005-0000-0000-000034120000}"/>
    <cellStyle name="Normal 4 2 2 3 2 4 3 2" xfId="13626" xr:uid="{7E700AE2-66E4-4F14-8754-DEDC93AE288D}"/>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6184" xr:uid="{DE2BF44D-3480-4F5D-A1A5-EE5602A2D65B}"/>
    <cellStyle name="Normal 4 2 2 3 2 5 2 3" xfId="11971" xr:uid="{8708F432-5B30-45AD-9E43-5528B100F0CA}"/>
    <cellStyle name="Normal 4 2 2 3 2 5 3" xfId="5544" xr:uid="{00000000-0005-0000-0000-000038120000}"/>
    <cellStyle name="Normal 4 2 2 3 2 5 3 2" xfId="14039" xr:uid="{2ACCF928-95AC-4CB9-BCFE-29BCD6BBF8CB}"/>
    <cellStyle name="Normal 4 2 2 3 2 5 4" xfId="9826" xr:uid="{64729227-ADC4-42A1-9631-797ABE56F99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6597" xr:uid="{9740F909-157A-438A-A1B9-E6A8DA4E2866}"/>
    <cellStyle name="Normal 4 2 2 3 2 6 2 3" xfId="12384" xr:uid="{545C7765-3D2F-4E80-A324-E943889348E2}"/>
    <cellStyle name="Normal 4 2 2 3 2 6 3" xfId="5957" xr:uid="{00000000-0005-0000-0000-00003C120000}"/>
    <cellStyle name="Normal 4 2 2 3 2 6 3 2" xfId="14452" xr:uid="{D9FEAFE3-5595-422B-9E0C-19150F5D4272}"/>
    <cellStyle name="Normal 4 2 2 3 2 6 4" xfId="10239" xr:uid="{5E5B0B17-B6E6-4FB6-AECB-EA5D5A4588C8}"/>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010" xr:uid="{8C907758-9E8E-489C-B470-F86A8EC02324}"/>
    <cellStyle name="Normal 4 2 2 3 2 7 2 3" xfId="12797" xr:uid="{98A014DC-D31A-4CA6-8261-FEA9010D58E5}"/>
    <cellStyle name="Normal 4 2 2 3 2 7 3" xfId="6370" xr:uid="{00000000-0005-0000-0000-000040120000}"/>
    <cellStyle name="Normal 4 2 2 3 2 7 3 2" xfId="14865" xr:uid="{A2603DC6-572A-4DD5-8717-5EA0B004266A}"/>
    <cellStyle name="Normal 4 2 2 3 2 7 4" xfId="10652" xr:uid="{D0FAE3F9-2BA1-4637-A14C-4451F0FD98CD}"/>
    <cellStyle name="Normal 4 2 2 3 2 8" xfId="2500" xr:uid="{00000000-0005-0000-0000-000041120000}"/>
    <cellStyle name="Normal 4 2 2 3 2 8 2" xfId="6783" xr:uid="{00000000-0005-0000-0000-000042120000}"/>
    <cellStyle name="Normal 4 2 2 3 2 8 2 2" xfId="15278" xr:uid="{4D899E04-18AA-4E62-B963-648C0ED9B128}"/>
    <cellStyle name="Normal 4 2 2 3 2 8 3" xfId="11065" xr:uid="{7F15F350-6018-466D-8CAC-BD692E6463D8}"/>
    <cellStyle name="Normal 4 2 2 3 2 9" xfId="4718" xr:uid="{00000000-0005-0000-0000-000043120000}"/>
    <cellStyle name="Normal 4 2 2 3 2 9 2" xfId="13213" xr:uid="{A901F44C-53AC-4824-9BC2-2535B5E88463}"/>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5776" xr:uid="{DD687930-9EC2-4105-A339-9429D2ABC23C}"/>
    <cellStyle name="Normal 4 2 2 3 3 2 2 2 3" xfId="11563" xr:uid="{FAD6E309-8466-4799-AEF6-99496E381255}"/>
    <cellStyle name="Normal 4 2 2 3 3 2 2 3" xfId="5136" xr:uid="{00000000-0005-0000-0000-000049120000}"/>
    <cellStyle name="Normal 4 2 2 3 3 2 2 3 2" xfId="13631" xr:uid="{C24DF5D9-02FA-4FAC-A980-DEFD30F76852}"/>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6189" xr:uid="{38D2C8E1-E211-4BD5-AFBC-7A5B1ECFCBD1}"/>
    <cellStyle name="Normal 4 2 2 3 3 2 3 2 3" xfId="11976" xr:uid="{9E60AEBA-1D93-427F-A8D1-B7F911B7EDD9}"/>
    <cellStyle name="Normal 4 2 2 3 3 2 3 3" xfId="5549" xr:uid="{00000000-0005-0000-0000-00004D120000}"/>
    <cellStyle name="Normal 4 2 2 3 3 2 3 3 2" xfId="14044" xr:uid="{F0E77883-DDD7-45E6-B81A-5F143F2E2109}"/>
    <cellStyle name="Normal 4 2 2 3 3 2 3 4" xfId="9831" xr:uid="{6B361DA8-A1F7-40DC-AFD6-C38EDEFC0D7B}"/>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6602" xr:uid="{8A8DDC6C-510E-4B98-AE8D-92114C2832C5}"/>
    <cellStyle name="Normal 4 2 2 3 3 2 4 2 3" xfId="12389" xr:uid="{E99BB282-ED53-44E8-AEF4-CBC76172BEEA}"/>
    <cellStyle name="Normal 4 2 2 3 3 2 4 3" xfId="5962" xr:uid="{00000000-0005-0000-0000-000051120000}"/>
    <cellStyle name="Normal 4 2 2 3 3 2 4 3 2" xfId="14457" xr:uid="{4391C0B3-190F-4740-9514-3591477AFB9C}"/>
    <cellStyle name="Normal 4 2 2 3 3 2 4 4" xfId="10244" xr:uid="{D4AC3D2B-C635-4CEF-90F1-5EC2A34BBCAE}"/>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015" xr:uid="{DC575532-28A9-4103-B807-7C029A9061AA}"/>
    <cellStyle name="Normal 4 2 2 3 3 2 5 2 3" xfId="12802" xr:uid="{AE43B2A3-FA16-4624-81EA-D60A9433731A}"/>
    <cellStyle name="Normal 4 2 2 3 3 2 5 3" xfId="6375" xr:uid="{00000000-0005-0000-0000-000055120000}"/>
    <cellStyle name="Normal 4 2 2 3 3 2 5 3 2" xfId="14870" xr:uid="{B76A616F-545B-450E-A7F3-EED6835FDAA0}"/>
    <cellStyle name="Normal 4 2 2 3 3 2 5 4" xfId="10657" xr:uid="{0A6FE72D-CEB9-44C7-B32F-5DCA0AC4F6B3}"/>
    <cellStyle name="Normal 4 2 2 3 3 2 6" xfId="2505" xr:uid="{00000000-0005-0000-0000-000056120000}"/>
    <cellStyle name="Normal 4 2 2 3 3 2 6 2" xfId="6788" xr:uid="{00000000-0005-0000-0000-000057120000}"/>
    <cellStyle name="Normal 4 2 2 3 3 2 6 2 2" xfId="15283" xr:uid="{15683E64-D2EA-4B91-AD7B-F1469CF37B4C}"/>
    <cellStyle name="Normal 4 2 2 3 3 2 6 3" xfId="11070" xr:uid="{13F3E7F3-B9AC-443D-A33C-DEDB02CA60C0}"/>
    <cellStyle name="Normal 4 2 2 3 3 2 7" xfId="4723" xr:uid="{00000000-0005-0000-0000-000058120000}"/>
    <cellStyle name="Normal 4 2 2 3 3 2 7 2" xfId="13218" xr:uid="{F6A4CF77-7FF7-4CD5-B15A-CE80D23BAB1D}"/>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5775" xr:uid="{02573A86-6276-459A-AB56-D1B78DF0C96A}"/>
    <cellStyle name="Normal 4 2 2 3 3 3 2 3" xfId="11562" xr:uid="{D1AD7A3A-09AB-463B-BB62-A95442E074F4}"/>
    <cellStyle name="Normal 4 2 2 3 3 3 3" xfId="5135" xr:uid="{00000000-0005-0000-0000-00005C120000}"/>
    <cellStyle name="Normal 4 2 2 3 3 3 3 2" xfId="13630" xr:uid="{A73CC4E4-2A09-4652-9C10-4CEF9B9C9EC3}"/>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6188" xr:uid="{F2A57DF4-9E6A-45A9-99C7-F2A2CD2B1D4F}"/>
    <cellStyle name="Normal 4 2 2 3 3 4 2 3" xfId="11975" xr:uid="{62460668-8C17-4CFB-8C58-A4978B73D3AD}"/>
    <cellStyle name="Normal 4 2 2 3 3 4 3" xfId="5548" xr:uid="{00000000-0005-0000-0000-000060120000}"/>
    <cellStyle name="Normal 4 2 2 3 3 4 3 2" xfId="14043" xr:uid="{0042DC6E-0677-4322-A0D7-7844E20F7334}"/>
    <cellStyle name="Normal 4 2 2 3 3 4 4" xfId="9830" xr:uid="{0E3E1537-4008-4326-B45A-EC70808C7993}"/>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6601" xr:uid="{5895BE35-54F7-4126-97A4-7F29648C1562}"/>
    <cellStyle name="Normal 4 2 2 3 3 5 2 3" xfId="12388" xr:uid="{9077C97B-7528-4336-8BEC-DAD811555843}"/>
    <cellStyle name="Normal 4 2 2 3 3 5 3" xfId="5961" xr:uid="{00000000-0005-0000-0000-000064120000}"/>
    <cellStyle name="Normal 4 2 2 3 3 5 3 2" xfId="14456" xr:uid="{7C29FE0C-CA29-4A62-9743-EACC7B5D69B0}"/>
    <cellStyle name="Normal 4 2 2 3 3 5 4" xfId="10243" xr:uid="{181C94D9-D851-485D-8570-65903B111E25}"/>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014" xr:uid="{3F0DB797-E97F-4835-9204-118BAF727E3D}"/>
    <cellStyle name="Normal 4 2 2 3 3 6 2 3" xfId="12801" xr:uid="{74F14268-0FB7-427D-8487-386EB344EC31}"/>
    <cellStyle name="Normal 4 2 2 3 3 6 3" xfId="6374" xr:uid="{00000000-0005-0000-0000-000068120000}"/>
    <cellStyle name="Normal 4 2 2 3 3 6 3 2" xfId="14869" xr:uid="{425A6D58-DBAF-4482-846B-4D3677990EB3}"/>
    <cellStyle name="Normal 4 2 2 3 3 6 4" xfId="10656" xr:uid="{08450858-198D-4A0C-A270-F9891CAA0855}"/>
    <cellStyle name="Normal 4 2 2 3 3 7" xfId="2504" xr:uid="{00000000-0005-0000-0000-000069120000}"/>
    <cellStyle name="Normal 4 2 2 3 3 7 2" xfId="6787" xr:uid="{00000000-0005-0000-0000-00006A120000}"/>
    <cellStyle name="Normal 4 2 2 3 3 7 2 2" xfId="15282" xr:uid="{794C3A9B-8AB2-4E01-BC2C-773E0980DCC3}"/>
    <cellStyle name="Normal 4 2 2 3 3 7 3" xfId="11069" xr:uid="{3BDC2AF0-376C-4384-A800-213F9B092202}"/>
    <cellStyle name="Normal 4 2 2 3 3 8" xfId="4722" xr:uid="{00000000-0005-0000-0000-00006B120000}"/>
    <cellStyle name="Normal 4 2 2 3 3 8 2" xfId="13217" xr:uid="{F655F7E6-FDB4-4F2A-8712-3439091A8B81}"/>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5777" xr:uid="{78D3724C-8CF5-4834-97F1-EA0B02F245E3}"/>
    <cellStyle name="Normal 4 2 2 3 4 2 2 3" xfId="11564" xr:uid="{2B6BC031-E137-4D52-86FD-12C779D4C898}"/>
    <cellStyle name="Normal 4 2 2 3 4 2 3" xfId="5137" xr:uid="{00000000-0005-0000-0000-000070120000}"/>
    <cellStyle name="Normal 4 2 2 3 4 2 3 2" xfId="13632" xr:uid="{2771D734-E157-4FCD-8BA2-632EF05EFEA8}"/>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6190" xr:uid="{75C07D77-4E5D-4CE5-AFEB-D6841A7B3904}"/>
    <cellStyle name="Normal 4 2 2 3 4 3 2 3" xfId="11977" xr:uid="{05FE1543-0ADB-4567-9165-66882A646435}"/>
    <cellStyle name="Normal 4 2 2 3 4 3 3" xfId="5550" xr:uid="{00000000-0005-0000-0000-000074120000}"/>
    <cellStyle name="Normal 4 2 2 3 4 3 3 2" xfId="14045" xr:uid="{D2123B35-81F4-4D12-8D19-36A23DFBF0D7}"/>
    <cellStyle name="Normal 4 2 2 3 4 3 4" xfId="9832" xr:uid="{7AAB88B7-3F3D-4015-9F91-E3CF9E0B938A}"/>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6603" xr:uid="{0DA536CF-1B2C-44B5-9B03-B59C623FB046}"/>
    <cellStyle name="Normal 4 2 2 3 4 4 2 3" xfId="12390" xr:uid="{5BEF0A79-EB2F-49E7-B41B-DE8F0174F94F}"/>
    <cellStyle name="Normal 4 2 2 3 4 4 3" xfId="5963" xr:uid="{00000000-0005-0000-0000-000078120000}"/>
    <cellStyle name="Normal 4 2 2 3 4 4 3 2" xfId="14458" xr:uid="{38CCCB78-1162-4BE4-A436-854B3F9432D5}"/>
    <cellStyle name="Normal 4 2 2 3 4 4 4" xfId="10245" xr:uid="{CFB76B67-B14C-4C08-9796-510E26AB806C}"/>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016" xr:uid="{7A1219DA-EF69-4D41-BBA0-BA3B3D07BA4E}"/>
    <cellStyle name="Normal 4 2 2 3 4 5 2 3" xfId="12803" xr:uid="{A16EC521-EBD8-4CCE-BC7D-CE5048AA9B38}"/>
    <cellStyle name="Normal 4 2 2 3 4 5 3" xfId="6376" xr:uid="{00000000-0005-0000-0000-00007C120000}"/>
    <cellStyle name="Normal 4 2 2 3 4 5 3 2" xfId="14871" xr:uid="{AF056931-0808-479F-86FC-82D4042554BA}"/>
    <cellStyle name="Normal 4 2 2 3 4 5 4" xfId="10658" xr:uid="{248A5190-DD30-44FB-B76C-182901C50772}"/>
    <cellStyle name="Normal 4 2 2 3 4 6" xfId="2506" xr:uid="{00000000-0005-0000-0000-00007D120000}"/>
    <cellStyle name="Normal 4 2 2 3 4 6 2" xfId="6789" xr:uid="{00000000-0005-0000-0000-00007E120000}"/>
    <cellStyle name="Normal 4 2 2 3 4 6 2 2" xfId="15284" xr:uid="{ADE6A6BE-077B-4A3F-A6F7-DF3948916B16}"/>
    <cellStyle name="Normal 4 2 2 3 4 6 3" xfId="11071" xr:uid="{02D99F81-E42E-4DC2-B88E-5F6B3F07AE7A}"/>
    <cellStyle name="Normal 4 2 2 3 4 7" xfId="4724" xr:uid="{00000000-0005-0000-0000-00007F120000}"/>
    <cellStyle name="Normal 4 2 2 3 4 7 2" xfId="13219" xr:uid="{C5C4B331-A724-4356-A313-59C9177A967B}"/>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5770" xr:uid="{42B20AE4-5FC6-4201-B0D8-A2C83C1994F8}"/>
    <cellStyle name="Normal 4 2 2 3 5 2 3" xfId="11557" xr:uid="{C16F739D-12C5-4A86-90C7-701C5BD6D290}"/>
    <cellStyle name="Normal 4 2 2 3 5 3" xfId="5130" xr:uid="{00000000-0005-0000-0000-000083120000}"/>
    <cellStyle name="Normal 4 2 2 3 5 3 2" xfId="13625" xr:uid="{FBE381D3-2DAA-4B64-A081-0C8F46DF502E}"/>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6183" xr:uid="{56D16D2E-4F89-46ED-930B-675CDB721E09}"/>
    <cellStyle name="Normal 4 2 2 3 6 2 3" xfId="11970" xr:uid="{F0AEF426-1E8A-4BCA-8A81-90DCCD77122D}"/>
    <cellStyle name="Normal 4 2 2 3 6 3" xfId="5543" xr:uid="{00000000-0005-0000-0000-000087120000}"/>
    <cellStyle name="Normal 4 2 2 3 6 3 2" xfId="14038" xr:uid="{644AA335-5167-4302-8475-8A1FBDB53EDF}"/>
    <cellStyle name="Normal 4 2 2 3 6 4" xfId="9825" xr:uid="{097079D3-95E4-41DF-BDE7-828E7EAF2E51}"/>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6596" xr:uid="{4C0A55AA-290E-44D3-9FA4-C0E840E823C0}"/>
    <cellStyle name="Normal 4 2 2 3 7 2 3" xfId="12383" xr:uid="{9DAE8D46-51F0-4EF5-BA63-39E83DCD6E0A}"/>
    <cellStyle name="Normal 4 2 2 3 7 3" xfId="5956" xr:uid="{00000000-0005-0000-0000-00008B120000}"/>
    <cellStyle name="Normal 4 2 2 3 7 3 2" xfId="14451" xr:uid="{C346A810-D894-4FF8-9124-1D3C7E1E1176}"/>
    <cellStyle name="Normal 4 2 2 3 7 4" xfId="10238" xr:uid="{8A32A5B5-44F5-452E-B479-A34C73D45D63}"/>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009" xr:uid="{63AEBE43-F1B8-49DD-B072-6C236D45BDC0}"/>
    <cellStyle name="Normal 4 2 2 3 8 2 3" xfId="12796" xr:uid="{C0DE2130-A61D-45AD-B09B-AE7D3C3C6E37}"/>
    <cellStyle name="Normal 4 2 2 3 8 3" xfId="6369" xr:uid="{00000000-0005-0000-0000-00008F120000}"/>
    <cellStyle name="Normal 4 2 2 3 8 3 2" xfId="14864" xr:uid="{525829AE-0942-4848-9826-63F6E222F3BF}"/>
    <cellStyle name="Normal 4 2 2 3 8 4" xfId="10651" xr:uid="{4B357D02-A559-453E-8962-3631AD938E98}"/>
    <cellStyle name="Normal 4 2 2 3 9" xfId="2499" xr:uid="{00000000-0005-0000-0000-000090120000}"/>
    <cellStyle name="Normal 4 2 2 3 9 2" xfId="6782" xr:uid="{00000000-0005-0000-0000-000091120000}"/>
    <cellStyle name="Normal 4 2 2 3 9 2 2" xfId="15277" xr:uid="{C9BF1083-7917-404F-9D55-C3F5D5175AC6}"/>
    <cellStyle name="Normal 4 2 2 3 9 3" xfId="11064" xr:uid="{930492A0-E24B-41C0-959A-FE7B27F03ED3}"/>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5780" xr:uid="{06BCB581-520F-4C6E-88F9-036AFA80E8F7}"/>
    <cellStyle name="Normal 4 2 2 4 2 2 2 2 3" xfId="11567" xr:uid="{C7050CDD-6339-496D-95C8-C16D735BE3A1}"/>
    <cellStyle name="Normal 4 2 2 4 2 2 2 3" xfId="5140" xr:uid="{00000000-0005-0000-0000-000098120000}"/>
    <cellStyle name="Normal 4 2 2 4 2 2 2 3 2" xfId="13635" xr:uid="{04B5B680-BA20-4126-80D9-E8C7172BDA6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6193" xr:uid="{BABD604C-FF08-481A-A028-D95AFB35FB5C}"/>
    <cellStyle name="Normal 4 2 2 4 2 2 3 2 3" xfId="11980" xr:uid="{29B16A98-6EAE-4ACD-9E7B-0C77EF6DE952}"/>
    <cellStyle name="Normal 4 2 2 4 2 2 3 3" xfId="5553" xr:uid="{00000000-0005-0000-0000-00009C120000}"/>
    <cellStyle name="Normal 4 2 2 4 2 2 3 3 2" xfId="14048" xr:uid="{0E41DD49-EA16-49FD-85A6-EDC8FC352B6C}"/>
    <cellStyle name="Normal 4 2 2 4 2 2 3 4" xfId="9835" xr:uid="{2C98E824-3A3A-4D4D-B1D6-5BB7C7CE22E1}"/>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6606" xr:uid="{593CB5AA-0FEA-4495-9B0B-B48B3ED10AF5}"/>
    <cellStyle name="Normal 4 2 2 4 2 2 4 2 3" xfId="12393" xr:uid="{4F1E76F4-9DF4-45D5-B111-C3025A4FBC8D}"/>
    <cellStyle name="Normal 4 2 2 4 2 2 4 3" xfId="5966" xr:uid="{00000000-0005-0000-0000-0000A0120000}"/>
    <cellStyle name="Normal 4 2 2 4 2 2 4 3 2" xfId="14461" xr:uid="{593C6CD3-412F-4810-BEBB-67AAA48E3D9C}"/>
    <cellStyle name="Normal 4 2 2 4 2 2 4 4" xfId="10248" xr:uid="{4F9DB1D9-0913-4E97-B19F-632E6A0CB9DA}"/>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019" xr:uid="{18CE6C8F-A63F-4BC1-9E64-6464E5BA5E70}"/>
    <cellStyle name="Normal 4 2 2 4 2 2 5 2 3" xfId="12806" xr:uid="{73CEF8AE-6AE4-4DC3-AB6F-93A8ACD96A68}"/>
    <cellStyle name="Normal 4 2 2 4 2 2 5 3" xfId="6379" xr:uid="{00000000-0005-0000-0000-0000A4120000}"/>
    <cellStyle name="Normal 4 2 2 4 2 2 5 3 2" xfId="14874" xr:uid="{726EBEAB-3EEF-4498-890F-1C1B74901730}"/>
    <cellStyle name="Normal 4 2 2 4 2 2 5 4" xfId="10661" xr:uid="{C167107E-996D-48BA-B00A-6C34702299F6}"/>
    <cellStyle name="Normal 4 2 2 4 2 2 6" xfId="2509" xr:uid="{00000000-0005-0000-0000-0000A5120000}"/>
    <cellStyle name="Normal 4 2 2 4 2 2 6 2" xfId="6792" xr:uid="{00000000-0005-0000-0000-0000A6120000}"/>
    <cellStyle name="Normal 4 2 2 4 2 2 6 2 2" xfId="15287" xr:uid="{62A92C3C-F249-4AE6-AE4F-DE7285FB9733}"/>
    <cellStyle name="Normal 4 2 2 4 2 2 6 3" xfId="11074" xr:uid="{9EEB8A2B-DD46-49E1-A11D-822BD446425A}"/>
    <cellStyle name="Normal 4 2 2 4 2 2 7" xfId="4727" xr:uid="{00000000-0005-0000-0000-0000A7120000}"/>
    <cellStyle name="Normal 4 2 2 4 2 2 7 2" xfId="13222" xr:uid="{B7A41C47-48D6-48A0-A162-ECE67A045603}"/>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5779" xr:uid="{479B1081-A9BA-4A79-8993-696EFF29D251}"/>
    <cellStyle name="Normal 4 2 2 4 2 3 2 3" xfId="11566" xr:uid="{5617A6A1-DEA4-4FBD-9FA9-4526D68B807B}"/>
    <cellStyle name="Normal 4 2 2 4 2 3 3" xfId="5139" xr:uid="{00000000-0005-0000-0000-0000AB120000}"/>
    <cellStyle name="Normal 4 2 2 4 2 3 3 2" xfId="13634" xr:uid="{01C67756-01BB-4AEA-981B-124BDE7E9D1C}"/>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6192" xr:uid="{05BA2DD2-735D-4FA5-A248-F0FA888B52C0}"/>
    <cellStyle name="Normal 4 2 2 4 2 4 2 3" xfId="11979" xr:uid="{5E1145B9-48D7-4F8F-85F4-5CD7406F722A}"/>
    <cellStyle name="Normal 4 2 2 4 2 4 3" xfId="5552" xr:uid="{00000000-0005-0000-0000-0000AF120000}"/>
    <cellStyle name="Normal 4 2 2 4 2 4 3 2" xfId="14047" xr:uid="{228A084A-71FC-4E3F-B493-BB0B9F56BEAA}"/>
    <cellStyle name="Normal 4 2 2 4 2 4 4" xfId="9834" xr:uid="{17703B3A-3EB8-4EEB-BA3B-EF993B381B5F}"/>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6605" xr:uid="{EC70DA11-1195-497E-97FF-B15C035A5B09}"/>
    <cellStyle name="Normal 4 2 2 4 2 5 2 3" xfId="12392" xr:uid="{84EE2A7F-AAB8-4C60-939C-371240F615FA}"/>
    <cellStyle name="Normal 4 2 2 4 2 5 3" xfId="5965" xr:uid="{00000000-0005-0000-0000-0000B3120000}"/>
    <cellStyle name="Normal 4 2 2 4 2 5 3 2" xfId="14460" xr:uid="{D6B7C39D-D88E-4B31-84B7-8E514924B4E2}"/>
    <cellStyle name="Normal 4 2 2 4 2 5 4" xfId="10247" xr:uid="{CB0958D7-6A9D-4883-B411-F8008A0F269C}"/>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018" xr:uid="{29AF197D-F7BD-4D5E-BD24-4A4920194D1A}"/>
    <cellStyle name="Normal 4 2 2 4 2 6 2 3" xfId="12805" xr:uid="{42622865-078F-431E-909A-FD6BAC3D8422}"/>
    <cellStyle name="Normal 4 2 2 4 2 6 3" xfId="6378" xr:uid="{00000000-0005-0000-0000-0000B7120000}"/>
    <cellStyle name="Normal 4 2 2 4 2 6 3 2" xfId="14873" xr:uid="{EBF3C89F-1DE6-41DD-BEE2-BBB91259AF28}"/>
    <cellStyle name="Normal 4 2 2 4 2 6 4" xfId="10660" xr:uid="{45FF9B87-51CF-4E15-807D-557AE3E44B64}"/>
    <cellStyle name="Normal 4 2 2 4 2 7" xfId="2508" xr:uid="{00000000-0005-0000-0000-0000B8120000}"/>
    <cellStyle name="Normal 4 2 2 4 2 7 2" xfId="6791" xr:uid="{00000000-0005-0000-0000-0000B9120000}"/>
    <cellStyle name="Normal 4 2 2 4 2 7 2 2" xfId="15286" xr:uid="{D90A0EB8-4A5A-4086-9F9C-8A34CDBAFDBA}"/>
    <cellStyle name="Normal 4 2 2 4 2 7 3" xfId="11073" xr:uid="{A5AD1588-72CA-463A-B918-F7EDA27133E1}"/>
    <cellStyle name="Normal 4 2 2 4 2 8" xfId="4726" xr:uid="{00000000-0005-0000-0000-0000BA120000}"/>
    <cellStyle name="Normal 4 2 2 4 2 8 2" xfId="13221" xr:uid="{182012C5-C4E2-4EC7-A8C8-7CCDD4E85575}"/>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5781" xr:uid="{8AA2C088-6A6E-4D5F-9BC8-C1DD1D8CE119}"/>
    <cellStyle name="Normal 4 2 2 4 3 2 2 3" xfId="11568" xr:uid="{78E49085-C4E9-445F-A928-D9C1868F205C}"/>
    <cellStyle name="Normal 4 2 2 4 3 2 3" xfId="5141" xr:uid="{00000000-0005-0000-0000-0000BF120000}"/>
    <cellStyle name="Normal 4 2 2 4 3 2 3 2" xfId="13636" xr:uid="{5763F1AA-F7BE-48DD-A1EA-9E8A0E5B23B6}"/>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6194" xr:uid="{32D32748-2700-434A-9686-D65F040A7CDF}"/>
    <cellStyle name="Normal 4 2 2 4 3 3 2 3" xfId="11981" xr:uid="{B46BF5D5-C1EE-4EB6-8816-B3652AA3D6B1}"/>
    <cellStyle name="Normal 4 2 2 4 3 3 3" xfId="5554" xr:uid="{00000000-0005-0000-0000-0000C3120000}"/>
    <cellStyle name="Normal 4 2 2 4 3 3 3 2" xfId="14049" xr:uid="{8119F9E6-9E8A-4CD6-BA55-6052FA2786F1}"/>
    <cellStyle name="Normal 4 2 2 4 3 3 4" xfId="9836" xr:uid="{69B45BB2-F590-4B10-841D-1092CD2A5988}"/>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6607" xr:uid="{C207152C-0A4F-4634-830A-A315DEE8E40B}"/>
    <cellStyle name="Normal 4 2 2 4 3 4 2 3" xfId="12394" xr:uid="{94DD8F0B-BE42-4AA5-A851-A037C80AE19A}"/>
    <cellStyle name="Normal 4 2 2 4 3 4 3" xfId="5967" xr:uid="{00000000-0005-0000-0000-0000C7120000}"/>
    <cellStyle name="Normal 4 2 2 4 3 4 3 2" xfId="14462" xr:uid="{30EDE928-0962-4213-A370-C8CF10AE4240}"/>
    <cellStyle name="Normal 4 2 2 4 3 4 4" xfId="10249" xr:uid="{E5267AF4-D4D7-4D03-B982-74C91E508FF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020" xr:uid="{D8668DEF-FB36-48D4-BDAB-CFC69C48DE74}"/>
    <cellStyle name="Normal 4 2 2 4 3 5 2 3" xfId="12807" xr:uid="{02A0F96E-5C26-4097-BD85-3C0CFBFF8ADE}"/>
    <cellStyle name="Normal 4 2 2 4 3 5 3" xfId="6380" xr:uid="{00000000-0005-0000-0000-0000CB120000}"/>
    <cellStyle name="Normal 4 2 2 4 3 5 3 2" xfId="14875" xr:uid="{6A6582A1-3399-4B59-8038-660C330484D0}"/>
    <cellStyle name="Normal 4 2 2 4 3 5 4" xfId="10662" xr:uid="{6F9F3EBD-08C8-4141-8AB1-318F471432ED}"/>
    <cellStyle name="Normal 4 2 2 4 3 6" xfId="2510" xr:uid="{00000000-0005-0000-0000-0000CC120000}"/>
    <cellStyle name="Normal 4 2 2 4 3 6 2" xfId="6793" xr:uid="{00000000-0005-0000-0000-0000CD120000}"/>
    <cellStyle name="Normal 4 2 2 4 3 6 2 2" xfId="15288" xr:uid="{D0447032-8D13-4584-AFF8-B84758F81FA1}"/>
    <cellStyle name="Normal 4 2 2 4 3 6 3" xfId="11075" xr:uid="{9A252704-FECB-4865-BACA-94824ED62B3C}"/>
    <cellStyle name="Normal 4 2 2 4 3 7" xfId="4728" xr:uid="{00000000-0005-0000-0000-0000CE120000}"/>
    <cellStyle name="Normal 4 2 2 4 3 7 2" xfId="13223" xr:uid="{EC06A75C-E05E-47EF-9871-3063F2DF307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5778" xr:uid="{62EB5283-CD92-4E4C-9E7E-CEC7BC02E98F}"/>
    <cellStyle name="Normal 4 2 2 4 4 2 3" xfId="11565" xr:uid="{2C1AD32B-E057-4D49-88D2-3DBDF057ADF3}"/>
    <cellStyle name="Normal 4 2 2 4 4 3" xfId="5138" xr:uid="{00000000-0005-0000-0000-0000D2120000}"/>
    <cellStyle name="Normal 4 2 2 4 4 3 2" xfId="13633" xr:uid="{2EE97948-32B9-471D-9EAF-3DC21B5AFA3F}"/>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6191" xr:uid="{244CF7D7-E453-4D79-BFD7-59256A121FBD}"/>
    <cellStyle name="Normal 4 2 2 4 5 2 3" xfId="11978" xr:uid="{2185980A-99BD-4431-8F9C-A2378007A3EF}"/>
    <cellStyle name="Normal 4 2 2 4 5 3" xfId="5551" xr:uid="{00000000-0005-0000-0000-0000D6120000}"/>
    <cellStyle name="Normal 4 2 2 4 5 3 2" xfId="14046" xr:uid="{88EB4AFA-3B8D-4FF5-BFAA-8D559A22A4EB}"/>
    <cellStyle name="Normal 4 2 2 4 5 4" xfId="9833" xr:uid="{BFBB885B-6CE3-4A22-9248-7695ABA4A2AE}"/>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6604" xr:uid="{07AC7F4F-C067-4944-84A1-2E3893B0E22D}"/>
    <cellStyle name="Normal 4 2 2 4 6 2 3" xfId="12391" xr:uid="{48609AB4-40A6-4F5B-9964-E652B4CB570B}"/>
    <cellStyle name="Normal 4 2 2 4 6 3" xfId="5964" xr:uid="{00000000-0005-0000-0000-0000DA120000}"/>
    <cellStyle name="Normal 4 2 2 4 6 3 2" xfId="14459" xr:uid="{C3FE481C-9B0B-4EF0-B418-3482ECE2ACDB}"/>
    <cellStyle name="Normal 4 2 2 4 6 4" xfId="10246" xr:uid="{53B2A66E-BFFE-4FC4-B808-188B279EA208}"/>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017" xr:uid="{45300640-A9F1-488E-A1E9-6924F5AD5564}"/>
    <cellStyle name="Normal 4 2 2 4 7 2 3" xfId="12804" xr:uid="{B7908ACD-2F21-4CD9-9344-B169FE95C5C2}"/>
    <cellStyle name="Normal 4 2 2 4 7 3" xfId="6377" xr:uid="{00000000-0005-0000-0000-0000DE120000}"/>
    <cellStyle name="Normal 4 2 2 4 7 3 2" xfId="14872" xr:uid="{4731D9B9-133A-4EA2-B186-A71AA9E1474B}"/>
    <cellStyle name="Normal 4 2 2 4 7 4" xfId="10659" xr:uid="{2F4B7181-51DB-4869-9EEC-0D1465330167}"/>
    <cellStyle name="Normal 4 2 2 4 8" xfId="2507" xr:uid="{00000000-0005-0000-0000-0000DF120000}"/>
    <cellStyle name="Normal 4 2 2 4 8 2" xfId="6790" xr:uid="{00000000-0005-0000-0000-0000E0120000}"/>
    <cellStyle name="Normal 4 2 2 4 8 2 2" xfId="15285" xr:uid="{1FDFD4D5-BF57-412C-A4F1-726631E76FC1}"/>
    <cellStyle name="Normal 4 2 2 4 8 3" xfId="11072" xr:uid="{1BE7F41C-1F42-4118-A5D4-D1C66EDEAE1A}"/>
    <cellStyle name="Normal 4 2 2 4 9" xfId="4725" xr:uid="{00000000-0005-0000-0000-0000E1120000}"/>
    <cellStyle name="Normal 4 2 2 4 9 2" xfId="13220" xr:uid="{3D2AF515-B39A-48BB-8C35-2F1A73CF9982}"/>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5783" xr:uid="{3A9FF6BF-6B7E-46E2-ACCD-1112D5142D5E}"/>
    <cellStyle name="Normal 4 2 2 5 2 2 2 3" xfId="11570" xr:uid="{7D28D9F1-602C-4E70-93A4-737A7671BE51}"/>
    <cellStyle name="Normal 4 2 2 5 2 2 3" xfId="5143" xr:uid="{00000000-0005-0000-0000-0000E7120000}"/>
    <cellStyle name="Normal 4 2 2 5 2 2 3 2" xfId="13638" xr:uid="{8EB2D6BC-17E2-4E27-BB14-B801A29FEAC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6196" xr:uid="{D57A2905-1037-4D98-A5AC-EACB563B7D92}"/>
    <cellStyle name="Normal 4 2 2 5 2 3 2 3" xfId="11983" xr:uid="{8D190C6B-EFDC-45E9-95EF-224BF1CA48CC}"/>
    <cellStyle name="Normal 4 2 2 5 2 3 3" xfId="5556" xr:uid="{00000000-0005-0000-0000-0000EB120000}"/>
    <cellStyle name="Normal 4 2 2 5 2 3 3 2" xfId="14051" xr:uid="{C7182198-17D6-4F9F-92E6-89550E3321BF}"/>
    <cellStyle name="Normal 4 2 2 5 2 3 4" xfId="9838" xr:uid="{15E9D146-C436-4227-B460-BF1C3CC5B5ED}"/>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6609" xr:uid="{85F6BD2B-6929-4ACE-9D21-894B73262B7C}"/>
    <cellStyle name="Normal 4 2 2 5 2 4 2 3" xfId="12396" xr:uid="{581EFD85-7392-4181-8AC3-AF8149B842BB}"/>
    <cellStyle name="Normal 4 2 2 5 2 4 3" xfId="5969" xr:uid="{00000000-0005-0000-0000-0000EF120000}"/>
    <cellStyle name="Normal 4 2 2 5 2 4 3 2" xfId="14464" xr:uid="{A5BB8707-A862-4CE4-BA83-EDB9A13EE516}"/>
    <cellStyle name="Normal 4 2 2 5 2 4 4" xfId="10251" xr:uid="{B1F2954B-9634-40F8-9ED0-82FA54B59E99}"/>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022" xr:uid="{8F7265E2-71F1-438E-90C3-FBD2709B9A56}"/>
    <cellStyle name="Normal 4 2 2 5 2 5 2 3" xfId="12809" xr:uid="{8EF5F725-23CE-43C5-A001-F0F985F1359F}"/>
    <cellStyle name="Normal 4 2 2 5 2 5 3" xfId="6382" xr:uid="{00000000-0005-0000-0000-0000F3120000}"/>
    <cellStyle name="Normal 4 2 2 5 2 5 3 2" xfId="14877" xr:uid="{A484A8A2-3C55-49E1-9E80-43E633CCB2BA}"/>
    <cellStyle name="Normal 4 2 2 5 2 5 4" xfId="10664" xr:uid="{54CB50A3-9657-468E-8FA2-56C88825EEF0}"/>
    <cellStyle name="Normal 4 2 2 5 2 6" xfId="2512" xr:uid="{00000000-0005-0000-0000-0000F4120000}"/>
    <cellStyle name="Normal 4 2 2 5 2 6 2" xfId="6795" xr:uid="{00000000-0005-0000-0000-0000F5120000}"/>
    <cellStyle name="Normal 4 2 2 5 2 6 2 2" xfId="15290" xr:uid="{24415E95-CB8A-434F-B610-4D102418790E}"/>
    <cellStyle name="Normal 4 2 2 5 2 6 3" xfId="11077" xr:uid="{7E83FF28-1246-484B-B6FA-9F58AE113E30}"/>
    <cellStyle name="Normal 4 2 2 5 2 7" xfId="4730" xr:uid="{00000000-0005-0000-0000-0000F6120000}"/>
    <cellStyle name="Normal 4 2 2 5 2 7 2" xfId="13225" xr:uid="{E166A962-7255-45CB-B62A-C25800E7B801}"/>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5782" xr:uid="{71841B70-11ED-461A-885E-EB3AEE7EA368}"/>
    <cellStyle name="Normal 4 2 2 5 3 2 3" xfId="11569" xr:uid="{05F1AB36-80F9-4D3F-B0D0-4BB56CD6088A}"/>
    <cellStyle name="Normal 4 2 2 5 3 3" xfId="5142" xr:uid="{00000000-0005-0000-0000-0000FA120000}"/>
    <cellStyle name="Normal 4 2 2 5 3 3 2" xfId="13637" xr:uid="{B73202AB-E8A4-4873-9253-6EC66DBA4AAD}"/>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6195" xr:uid="{7447CE50-9B36-42E4-BCCD-612AEEAB6077}"/>
    <cellStyle name="Normal 4 2 2 5 4 2 3" xfId="11982" xr:uid="{C8040DFA-CF38-4E07-A588-076A81A8B76B}"/>
    <cellStyle name="Normal 4 2 2 5 4 3" xfId="5555" xr:uid="{00000000-0005-0000-0000-0000FE120000}"/>
    <cellStyle name="Normal 4 2 2 5 4 3 2" xfId="14050" xr:uid="{0F15F0A8-C822-473E-8AAD-A806676BB092}"/>
    <cellStyle name="Normal 4 2 2 5 4 4" xfId="9837" xr:uid="{5D1B0240-FA39-4438-B1DE-F109A059CE62}"/>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6608" xr:uid="{398F0B9D-5753-4793-84AD-9D6871601C0B}"/>
    <cellStyle name="Normal 4 2 2 5 5 2 3" xfId="12395" xr:uid="{68CBB0EB-A209-4498-B4BA-0786F6B9DA7D}"/>
    <cellStyle name="Normal 4 2 2 5 5 3" xfId="5968" xr:uid="{00000000-0005-0000-0000-000002130000}"/>
    <cellStyle name="Normal 4 2 2 5 5 3 2" xfId="14463" xr:uid="{46185A34-242E-4348-AB34-404CD6061F97}"/>
    <cellStyle name="Normal 4 2 2 5 5 4" xfId="10250" xr:uid="{28CAB607-5CA8-4C32-91D6-C090014EAC1F}"/>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021" xr:uid="{9C2979F3-7F96-4067-AC10-D6C9A119C937}"/>
    <cellStyle name="Normal 4 2 2 5 6 2 3" xfId="12808" xr:uid="{A2AFDCBD-3E60-471A-81D3-A8B9FB787374}"/>
    <cellStyle name="Normal 4 2 2 5 6 3" xfId="6381" xr:uid="{00000000-0005-0000-0000-000006130000}"/>
    <cellStyle name="Normal 4 2 2 5 6 3 2" xfId="14876" xr:uid="{A5E73DA7-C396-4C44-9259-6DBAC790997A}"/>
    <cellStyle name="Normal 4 2 2 5 6 4" xfId="10663" xr:uid="{316D1877-1CD8-44C7-BDCF-DEB3D87BDDBE}"/>
    <cellStyle name="Normal 4 2 2 5 7" xfId="2511" xr:uid="{00000000-0005-0000-0000-000007130000}"/>
    <cellStyle name="Normal 4 2 2 5 7 2" xfId="6794" xr:uid="{00000000-0005-0000-0000-000008130000}"/>
    <cellStyle name="Normal 4 2 2 5 7 2 2" xfId="15289" xr:uid="{CC430BB3-5512-43AD-9358-B1A1BE03DA1D}"/>
    <cellStyle name="Normal 4 2 2 5 7 3" xfId="11076" xr:uid="{8816AD77-BC35-4DE6-88B6-FDA9C890AC86}"/>
    <cellStyle name="Normal 4 2 2 5 8" xfId="4729" xr:uid="{00000000-0005-0000-0000-000009130000}"/>
    <cellStyle name="Normal 4 2 2 5 8 2" xfId="13224" xr:uid="{29AA4479-93CF-4137-9084-5B820E530DF1}"/>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5784" xr:uid="{71F5DBB4-C04E-471E-94ED-1ACB3EFB9075}"/>
    <cellStyle name="Normal 4 2 2 6 2 2 3" xfId="11571" xr:uid="{D1A2DE18-0CCE-4D0B-9DBE-A67D5E5C000F}"/>
    <cellStyle name="Normal 4 2 2 6 2 3" xfId="5144" xr:uid="{00000000-0005-0000-0000-00000E130000}"/>
    <cellStyle name="Normal 4 2 2 6 2 3 2" xfId="13639" xr:uid="{1DCA55A4-2DE1-4AF1-8E49-64D6DD9B70AD}"/>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6197" xr:uid="{48483750-98AD-42FF-8638-0A856290E574}"/>
    <cellStyle name="Normal 4 2 2 6 3 2 3" xfId="11984" xr:uid="{76583106-DBEC-4C85-A6FB-929D0A6E7824}"/>
    <cellStyle name="Normal 4 2 2 6 3 3" xfId="5557" xr:uid="{00000000-0005-0000-0000-000012130000}"/>
    <cellStyle name="Normal 4 2 2 6 3 3 2" xfId="14052" xr:uid="{720748D5-172A-4691-AF80-CA08723DCA42}"/>
    <cellStyle name="Normal 4 2 2 6 3 4" xfId="9839" xr:uid="{950D4433-2B7F-46D7-AD22-D5E583092315}"/>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6610" xr:uid="{AC8EA070-9D68-490D-9C46-204946E216A4}"/>
    <cellStyle name="Normal 4 2 2 6 4 2 3" xfId="12397" xr:uid="{0107E50B-24C3-4C8C-B566-E28154D1787A}"/>
    <cellStyle name="Normal 4 2 2 6 4 3" xfId="5970" xr:uid="{00000000-0005-0000-0000-000016130000}"/>
    <cellStyle name="Normal 4 2 2 6 4 3 2" xfId="14465" xr:uid="{CFCCA9DE-C79C-4DCA-A12A-0E799EF76EC1}"/>
    <cellStyle name="Normal 4 2 2 6 4 4" xfId="10252" xr:uid="{EB260D8C-5D90-493A-BD8D-E172C0BB97CF}"/>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023" xr:uid="{DC8EBD4D-3192-4825-84AB-3C253898F2B3}"/>
    <cellStyle name="Normal 4 2 2 6 5 2 3" xfId="12810" xr:uid="{3AB224C9-B922-4981-AF29-837C130E5AC4}"/>
    <cellStyle name="Normal 4 2 2 6 5 3" xfId="6383" xr:uid="{00000000-0005-0000-0000-00001A130000}"/>
    <cellStyle name="Normal 4 2 2 6 5 3 2" xfId="14878" xr:uid="{3E81983A-9709-4014-887A-9B6628FEBC99}"/>
    <cellStyle name="Normal 4 2 2 6 5 4" xfId="10665" xr:uid="{B93D1EEA-DCBE-474D-8C4D-6275EF30A1AD}"/>
    <cellStyle name="Normal 4 2 2 6 6" xfId="2513" xr:uid="{00000000-0005-0000-0000-00001B130000}"/>
    <cellStyle name="Normal 4 2 2 6 6 2" xfId="6796" xr:uid="{00000000-0005-0000-0000-00001C130000}"/>
    <cellStyle name="Normal 4 2 2 6 6 2 2" xfId="15291" xr:uid="{3C809392-1B7F-45CD-B791-2B9EFA68D5D0}"/>
    <cellStyle name="Normal 4 2 2 6 6 3" xfId="11078" xr:uid="{D10209C3-50B4-4F16-A1CA-82A609EDA42E}"/>
    <cellStyle name="Normal 4 2 2 6 7" xfId="4731" xr:uid="{00000000-0005-0000-0000-00001D130000}"/>
    <cellStyle name="Normal 4 2 2 6 7 2" xfId="13226" xr:uid="{6EF23598-9DF1-455B-B378-EAAA5FF5C1A4}"/>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2 2 2" xfId="15769" xr:uid="{32E613D2-BD00-4080-9B8B-11E2ED476E7F}"/>
    <cellStyle name="Normal 4 2 2 7 2 3" xfId="11556" xr:uid="{CF67437C-6031-4D90-9310-A083AB5F49CB}"/>
    <cellStyle name="Normal 4 2 2 7 3" xfId="5129" xr:uid="{00000000-0005-0000-0000-000021130000}"/>
    <cellStyle name="Normal 4 2 2 7 3 2" xfId="13624" xr:uid="{A78D25B0-8D3E-4D24-9CBF-E966B9C8BE15}"/>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2 2 2" xfId="16182" xr:uid="{7E2675DE-A6C2-4530-99B7-EAA7859BCB1D}"/>
    <cellStyle name="Normal 4 2 2 8 2 3" xfId="11969" xr:uid="{7C64E67E-6D31-466E-BCE5-2ED6DAABB1CC}"/>
    <cellStyle name="Normal 4 2 2 8 3" xfId="5542" xr:uid="{00000000-0005-0000-0000-000025130000}"/>
    <cellStyle name="Normal 4 2 2 8 3 2" xfId="14037" xr:uid="{0C85568F-6236-4D97-95EC-6AFAC2703672}"/>
    <cellStyle name="Normal 4 2 2 8 4" xfId="9824" xr:uid="{457C7A01-6B50-4535-88FC-8512BBE39C2C}"/>
    <cellStyle name="Normal 4 2 2 9" xfId="1648" xr:uid="{00000000-0005-0000-0000-000026130000}"/>
    <cellStyle name="Normal 4 2 2 9 2" xfId="3878" xr:uid="{00000000-0005-0000-0000-000027130000}"/>
    <cellStyle name="Normal 4 2 2 9 2 2" xfId="8100" xr:uid="{00000000-0005-0000-0000-000028130000}"/>
    <cellStyle name="Normal 4 2 2 9 2 2 2" xfId="16595" xr:uid="{64961E6A-E974-419F-B086-9D7823653DAE}"/>
    <cellStyle name="Normal 4 2 2 9 2 3" xfId="12382" xr:uid="{A0BDB87F-FBA0-4B4E-95E7-B9D9C46ABE07}"/>
    <cellStyle name="Normal 4 2 2 9 3" xfId="5955" xr:uid="{00000000-0005-0000-0000-000029130000}"/>
    <cellStyle name="Normal 4 2 2 9 3 2" xfId="14450" xr:uid="{268A220D-C5EF-4B58-AE6D-234F0F06343B}"/>
    <cellStyle name="Normal 4 2 2 9 4" xfId="10237" xr:uid="{B87F631A-DC6B-4FA9-BC9A-74B44837876D}"/>
    <cellStyle name="Normal 4 2 3" xfId="354" xr:uid="{00000000-0005-0000-0000-00002A130000}"/>
    <cellStyle name="Normal 4 2 4" xfId="355" xr:uid="{00000000-0005-0000-0000-00002B130000}"/>
    <cellStyle name="Normal 4 2 4 10" xfId="4732" xr:uid="{00000000-0005-0000-0000-00002C130000}"/>
    <cellStyle name="Normal 4 2 4 10 2" xfId="13227" xr:uid="{F4DDC8B5-DADC-41F5-982D-E3CF6F30BBA6}"/>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5788" xr:uid="{210F08A5-51E2-4FA2-9071-AD57D30CE27C}"/>
    <cellStyle name="Normal 4 2 4 2 2 2 2 2 3" xfId="11575" xr:uid="{44283C10-CAC9-4EEB-A94B-2730688A9B47}"/>
    <cellStyle name="Normal 4 2 4 2 2 2 2 3" xfId="5148" xr:uid="{00000000-0005-0000-0000-000033130000}"/>
    <cellStyle name="Normal 4 2 4 2 2 2 2 3 2" xfId="13643" xr:uid="{EB0C3011-BDE2-4873-BEA9-019D23A2E5B8}"/>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6201" xr:uid="{7291253E-F87B-4EA9-B97E-6B09049F2512}"/>
    <cellStyle name="Normal 4 2 4 2 2 2 3 2 3" xfId="11988" xr:uid="{C2E693C6-BB89-4514-A61C-B5940696145E}"/>
    <cellStyle name="Normal 4 2 4 2 2 2 3 3" xfId="5561" xr:uid="{00000000-0005-0000-0000-000037130000}"/>
    <cellStyle name="Normal 4 2 4 2 2 2 3 3 2" xfId="14056" xr:uid="{3DB0792F-B56C-4525-9D12-AE3822F9C29E}"/>
    <cellStyle name="Normal 4 2 4 2 2 2 3 4" xfId="9843" xr:uid="{D16AC879-8611-4E71-9D3C-2A86EEAA5B64}"/>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6614" xr:uid="{ECAEB36C-84B1-4816-B9D0-B2ADD3C79123}"/>
    <cellStyle name="Normal 4 2 4 2 2 2 4 2 3" xfId="12401" xr:uid="{F684E442-D918-4473-B8C1-4A46226F8746}"/>
    <cellStyle name="Normal 4 2 4 2 2 2 4 3" xfId="5974" xr:uid="{00000000-0005-0000-0000-00003B130000}"/>
    <cellStyle name="Normal 4 2 4 2 2 2 4 3 2" xfId="14469" xr:uid="{443B913E-D9DD-4275-971C-07188D7CEC8C}"/>
    <cellStyle name="Normal 4 2 4 2 2 2 4 4" xfId="10256" xr:uid="{9E391531-F724-4C47-A214-D0B1D8D9BDD9}"/>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027" xr:uid="{51801F6B-76D7-498A-A526-6D6D95A1C3B4}"/>
    <cellStyle name="Normal 4 2 4 2 2 2 5 2 3" xfId="12814" xr:uid="{5E92251A-AC4C-47EF-B5BF-ADAC30F1AE5C}"/>
    <cellStyle name="Normal 4 2 4 2 2 2 5 3" xfId="6387" xr:uid="{00000000-0005-0000-0000-00003F130000}"/>
    <cellStyle name="Normal 4 2 4 2 2 2 5 3 2" xfId="14882" xr:uid="{95FB643D-5739-4E37-9028-15FE641919C9}"/>
    <cellStyle name="Normal 4 2 4 2 2 2 5 4" xfId="10669" xr:uid="{B87ADB3E-9282-4CE4-A6D1-EFA12F2E2B58}"/>
    <cellStyle name="Normal 4 2 4 2 2 2 6" xfId="2517" xr:uid="{00000000-0005-0000-0000-000040130000}"/>
    <cellStyle name="Normal 4 2 4 2 2 2 6 2" xfId="6800" xr:uid="{00000000-0005-0000-0000-000041130000}"/>
    <cellStyle name="Normal 4 2 4 2 2 2 6 2 2" xfId="15295" xr:uid="{6BB8C00D-8CC1-4238-85DF-031003E02F0A}"/>
    <cellStyle name="Normal 4 2 4 2 2 2 6 3" xfId="11082" xr:uid="{82CF1E57-A195-4764-B733-9CEDA044F56A}"/>
    <cellStyle name="Normal 4 2 4 2 2 2 7" xfId="4735" xr:uid="{00000000-0005-0000-0000-000042130000}"/>
    <cellStyle name="Normal 4 2 4 2 2 2 7 2" xfId="13230" xr:uid="{99FFC3BA-A1AF-4239-AD3B-2203D5F6859E}"/>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5787" xr:uid="{D9C7D8EF-485D-4D9F-95D2-34FC2A1FBCC0}"/>
    <cellStyle name="Normal 4 2 4 2 2 3 2 3" xfId="11574" xr:uid="{D83CF34D-B102-447A-B360-E54720D80B21}"/>
    <cellStyle name="Normal 4 2 4 2 2 3 3" xfId="5147" xr:uid="{00000000-0005-0000-0000-000046130000}"/>
    <cellStyle name="Normal 4 2 4 2 2 3 3 2" xfId="13642" xr:uid="{DF9D09EA-C213-4A56-9BC1-841CD31E8C38}"/>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6200" xr:uid="{7C443493-8B24-409A-9FBF-9165D5C09350}"/>
    <cellStyle name="Normal 4 2 4 2 2 4 2 3" xfId="11987" xr:uid="{E28A47B7-28EF-44CB-90D9-8EFA0F9C00E5}"/>
    <cellStyle name="Normal 4 2 4 2 2 4 3" xfId="5560" xr:uid="{00000000-0005-0000-0000-00004A130000}"/>
    <cellStyle name="Normal 4 2 4 2 2 4 3 2" xfId="14055" xr:uid="{0323DE7C-B46A-458D-BD73-8D3A8DD9BCC4}"/>
    <cellStyle name="Normal 4 2 4 2 2 4 4" xfId="9842" xr:uid="{2626F100-DFC2-4F89-B0B0-E3716232D60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6613" xr:uid="{22889CD0-ACE4-4E6A-BF5C-8125DE11E2FB}"/>
    <cellStyle name="Normal 4 2 4 2 2 5 2 3" xfId="12400" xr:uid="{C8C0D2F1-2A4D-4C20-B97B-163067CA120F}"/>
    <cellStyle name="Normal 4 2 4 2 2 5 3" xfId="5973" xr:uid="{00000000-0005-0000-0000-00004E130000}"/>
    <cellStyle name="Normal 4 2 4 2 2 5 3 2" xfId="14468" xr:uid="{CE1B350E-6A27-4396-A164-CE0CA61E0EA9}"/>
    <cellStyle name="Normal 4 2 4 2 2 5 4" xfId="10255" xr:uid="{5DE65F10-A2D3-4979-B13D-4B0DAF141701}"/>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026" xr:uid="{23457788-A6B0-4626-AF9F-09E22E906C1F}"/>
    <cellStyle name="Normal 4 2 4 2 2 6 2 3" xfId="12813" xr:uid="{77EB46B3-0EBD-4C65-A2C1-33611FDA539D}"/>
    <cellStyle name="Normal 4 2 4 2 2 6 3" xfId="6386" xr:uid="{00000000-0005-0000-0000-000052130000}"/>
    <cellStyle name="Normal 4 2 4 2 2 6 3 2" xfId="14881" xr:uid="{F7B5A46D-2C77-4E66-B797-4A507304E794}"/>
    <cellStyle name="Normal 4 2 4 2 2 6 4" xfId="10668" xr:uid="{70D4AB27-3E8A-413A-B3C0-47E551060018}"/>
    <cellStyle name="Normal 4 2 4 2 2 7" xfId="2516" xr:uid="{00000000-0005-0000-0000-000053130000}"/>
    <cellStyle name="Normal 4 2 4 2 2 7 2" xfId="6799" xr:uid="{00000000-0005-0000-0000-000054130000}"/>
    <cellStyle name="Normal 4 2 4 2 2 7 2 2" xfId="15294" xr:uid="{58216559-57FC-405E-BE9C-B70CD52F91A8}"/>
    <cellStyle name="Normal 4 2 4 2 2 7 3" xfId="11081" xr:uid="{22AE1339-F51E-44FA-848C-5BF2E8A7DCB3}"/>
    <cellStyle name="Normal 4 2 4 2 2 8" xfId="4734" xr:uid="{00000000-0005-0000-0000-000055130000}"/>
    <cellStyle name="Normal 4 2 4 2 2 8 2" xfId="13229" xr:uid="{9AEFCE0A-704F-4538-9B76-B9E944AB9EF8}"/>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5789" xr:uid="{3D66BB1E-ABBB-4639-8830-8C56577EB2E9}"/>
    <cellStyle name="Normal 4 2 4 2 3 2 2 3" xfId="11576" xr:uid="{87C17687-FA8B-403A-B912-63419C4CC48A}"/>
    <cellStyle name="Normal 4 2 4 2 3 2 3" xfId="5149" xr:uid="{00000000-0005-0000-0000-00005A130000}"/>
    <cellStyle name="Normal 4 2 4 2 3 2 3 2" xfId="13644" xr:uid="{1761E8F1-1434-4397-8670-3BC3CFE5BE1C}"/>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6202" xr:uid="{E7E74379-ADFA-4C0A-A1B6-FD474CD6C87F}"/>
    <cellStyle name="Normal 4 2 4 2 3 3 2 3" xfId="11989" xr:uid="{4851A4D7-58AE-4AF7-96C8-0C4CACE5A7E6}"/>
    <cellStyle name="Normal 4 2 4 2 3 3 3" xfId="5562" xr:uid="{00000000-0005-0000-0000-00005E130000}"/>
    <cellStyle name="Normal 4 2 4 2 3 3 3 2" xfId="14057" xr:uid="{EDEC6A98-A3DB-4AA3-A2B2-20918EAB9012}"/>
    <cellStyle name="Normal 4 2 4 2 3 3 4" xfId="9844" xr:uid="{7C6B2149-1CD5-442B-A917-532E09481052}"/>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6615" xr:uid="{1AB62555-E416-4BD6-99F6-EFF83D58EBD5}"/>
    <cellStyle name="Normal 4 2 4 2 3 4 2 3" xfId="12402" xr:uid="{8B825A97-162F-490B-8E44-8A03A6B0570D}"/>
    <cellStyle name="Normal 4 2 4 2 3 4 3" xfId="5975" xr:uid="{00000000-0005-0000-0000-000062130000}"/>
    <cellStyle name="Normal 4 2 4 2 3 4 3 2" xfId="14470" xr:uid="{33D9F398-56FF-4503-B2DD-A5D7D8104EE1}"/>
    <cellStyle name="Normal 4 2 4 2 3 4 4" xfId="10257" xr:uid="{BD17ABCA-6967-42B1-A66F-288A4847EA9E}"/>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028" xr:uid="{EF585881-A18F-49A6-BAC7-BA51EAB9784B}"/>
    <cellStyle name="Normal 4 2 4 2 3 5 2 3" xfId="12815" xr:uid="{4F6F28A2-314F-4F6E-A145-410022EC3469}"/>
    <cellStyle name="Normal 4 2 4 2 3 5 3" xfId="6388" xr:uid="{00000000-0005-0000-0000-000066130000}"/>
    <cellStyle name="Normal 4 2 4 2 3 5 3 2" xfId="14883" xr:uid="{A0EDB467-FC76-4FA7-9591-78194CEBB928}"/>
    <cellStyle name="Normal 4 2 4 2 3 5 4" xfId="10670" xr:uid="{84C2DE58-17F4-475D-A15C-AA12C26540C2}"/>
    <cellStyle name="Normal 4 2 4 2 3 6" xfId="2518" xr:uid="{00000000-0005-0000-0000-000067130000}"/>
    <cellStyle name="Normal 4 2 4 2 3 6 2" xfId="6801" xr:uid="{00000000-0005-0000-0000-000068130000}"/>
    <cellStyle name="Normal 4 2 4 2 3 6 2 2" xfId="15296" xr:uid="{C93B4301-F5C6-4E3E-AF98-9BE005859D74}"/>
    <cellStyle name="Normal 4 2 4 2 3 6 3" xfId="11083" xr:uid="{827949F4-4E54-4415-9BFE-C561FF5EB355}"/>
    <cellStyle name="Normal 4 2 4 2 3 7" xfId="4736" xr:uid="{00000000-0005-0000-0000-000069130000}"/>
    <cellStyle name="Normal 4 2 4 2 3 7 2" xfId="13231" xr:uid="{0A12AE23-F6C7-4C01-A63D-3AFBA39814E4}"/>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5786" xr:uid="{3482E3E9-1CBB-460E-B98B-57DF8348F446}"/>
    <cellStyle name="Normal 4 2 4 2 4 2 3" xfId="11573" xr:uid="{B7001800-C613-4EC7-906C-72C2B477E456}"/>
    <cellStyle name="Normal 4 2 4 2 4 3" xfId="5146" xr:uid="{00000000-0005-0000-0000-00006D130000}"/>
    <cellStyle name="Normal 4 2 4 2 4 3 2" xfId="13641" xr:uid="{BF3454A0-50EA-4633-ACA7-31DEE29FE15F}"/>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6199" xr:uid="{FA6CAD3C-B9A7-4D7F-951B-C2B938D5BA0C}"/>
    <cellStyle name="Normal 4 2 4 2 5 2 3" xfId="11986" xr:uid="{3F6CBF39-3C56-4F8B-9924-69CE0800A6F1}"/>
    <cellStyle name="Normal 4 2 4 2 5 3" xfId="5559" xr:uid="{00000000-0005-0000-0000-000071130000}"/>
    <cellStyle name="Normal 4 2 4 2 5 3 2" xfId="14054" xr:uid="{6E37198A-F892-41C3-A8FC-8E2355CDAE2A}"/>
    <cellStyle name="Normal 4 2 4 2 5 4" xfId="9841" xr:uid="{33CDA06E-5785-48AE-9F53-4582C48066F2}"/>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6612" xr:uid="{0D4D097F-1F4D-41A7-9D7B-BC14E93100D7}"/>
    <cellStyle name="Normal 4 2 4 2 6 2 3" xfId="12399" xr:uid="{6750B156-2927-4266-9912-B0DF63D0D6BF}"/>
    <cellStyle name="Normal 4 2 4 2 6 3" xfId="5972" xr:uid="{00000000-0005-0000-0000-000075130000}"/>
    <cellStyle name="Normal 4 2 4 2 6 3 2" xfId="14467" xr:uid="{17F8E7A2-38CD-4EE2-B72E-DFF4A00BCB0C}"/>
    <cellStyle name="Normal 4 2 4 2 6 4" xfId="10254" xr:uid="{6F07BA9E-7DDD-4512-B6FE-783E205227A8}"/>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025" xr:uid="{A647A3D0-63DA-40BA-92C8-49BA35B8D9EA}"/>
    <cellStyle name="Normal 4 2 4 2 7 2 3" xfId="12812" xr:uid="{B6206337-EA86-41D8-A56D-6A73E95A5E8A}"/>
    <cellStyle name="Normal 4 2 4 2 7 3" xfId="6385" xr:uid="{00000000-0005-0000-0000-000079130000}"/>
    <cellStyle name="Normal 4 2 4 2 7 3 2" xfId="14880" xr:uid="{1C02D735-FA7C-44C6-9AF7-28C53E9FAF4C}"/>
    <cellStyle name="Normal 4 2 4 2 7 4" xfId="10667" xr:uid="{E031FB53-DB87-402F-92C4-8B0AB19F34B6}"/>
    <cellStyle name="Normal 4 2 4 2 8" xfId="2515" xr:uid="{00000000-0005-0000-0000-00007A130000}"/>
    <cellStyle name="Normal 4 2 4 2 8 2" xfId="6798" xr:uid="{00000000-0005-0000-0000-00007B130000}"/>
    <cellStyle name="Normal 4 2 4 2 8 2 2" xfId="15293" xr:uid="{ED93D36F-48EC-423A-AAC0-9D937372764D}"/>
    <cellStyle name="Normal 4 2 4 2 8 3" xfId="11080" xr:uid="{9B9FCB54-35C9-47ED-B0D4-63D59AA9E44E}"/>
    <cellStyle name="Normal 4 2 4 2 9" xfId="4733" xr:uid="{00000000-0005-0000-0000-00007C130000}"/>
    <cellStyle name="Normal 4 2 4 2 9 2" xfId="13228" xr:uid="{B4608E69-FF66-49B9-8996-10D862345D27}"/>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5791" xr:uid="{67098BEE-5390-4452-90B9-749B443D7316}"/>
    <cellStyle name="Normal 4 2 4 3 2 2 2 3" xfId="11578" xr:uid="{FED6F69D-366F-4902-B1D6-5E972839DC79}"/>
    <cellStyle name="Normal 4 2 4 3 2 2 3" xfId="5151" xr:uid="{00000000-0005-0000-0000-000082130000}"/>
    <cellStyle name="Normal 4 2 4 3 2 2 3 2" xfId="13646" xr:uid="{9B919D19-B63F-49A3-B0C0-B947FD62207B}"/>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6204" xr:uid="{85EAB184-DD0E-44A0-AE64-8EEC2B8C33CB}"/>
    <cellStyle name="Normal 4 2 4 3 2 3 2 3" xfId="11991" xr:uid="{2EB1C735-22B0-4478-A371-F19FF92EF053}"/>
    <cellStyle name="Normal 4 2 4 3 2 3 3" xfId="5564" xr:uid="{00000000-0005-0000-0000-000086130000}"/>
    <cellStyle name="Normal 4 2 4 3 2 3 3 2" xfId="14059" xr:uid="{B9970F75-9488-473D-AD1D-62E1374D843D}"/>
    <cellStyle name="Normal 4 2 4 3 2 3 4" xfId="9846" xr:uid="{8E7B95F6-04F6-415D-989A-A4BB7FD73539}"/>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6617" xr:uid="{FCFF4667-308B-474F-8616-B0AE50ED91DF}"/>
    <cellStyle name="Normal 4 2 4 3 2 4 2 3" xfId="12404" xr:uid="{FDB7275B-57EC-4F28-AEBB-AD3A49EF0E5F}"/>
    <cellStyle name="Normal 4 2 4 3 2 4 3" xfId="5977" xr:uid="{00000000-0005-0000-0000-00008A130000}"/>
    <cellStyle name="Normal 4 2 4 3 2 4 3 2" xfId="14472" xr:uid="{F835A778-6DAE-422A-BE99-897ACDD62A98}"/>
    <cellStyle name="Normal 4 2 4 3 2 4 4" xfId="10259" xr:uid="{D82AD029-C7E9-4876-9313-FD1226FF6CF7}"/>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030" xr:uid="{B4838E0B-93DD-4FA0-AB12-3DDDBABD1621}"/>
    <cellStyle name="Normal 4 2 4 3 2 5 2 3" xfId="12817" xr:uid="{A638F3A5-6218-42A6-9F79-485DDC7B2F4E}"/>
    <cellStyle name="Normal 4 2 4 3 2 5 3" xfId="6390" xr:uid="{00000000-0005-0000-0000-00008E130000}"/>
    <cellStyle name="Normal 4 2 4 3 2 5 3 2" xfId="14885" xr:uid="{EF31FE0B-4694-4306-BDC1-5F2BC2EEF32F}"/>
    <cellStyle name="Normal 4 2 4 3 2 5 4" xfId="10672" xr:uid="{5876710D-BC5C-4BDA-96F1-AC1994E8E70B}"/>
    <cellStyle name="Normal 4 2 4 3 2 6" xfId="2520" xr:uid="{00000000-0005-0000-0000-00008F130000}"/>
    <cellStyle name="Normal 4 2 4 3 2 6 2" xfId="6803" xr:uid="{00000000-0005-0000-0000-000090130000}"/>
    <cellStyle name="Normal 4 2 4 3 2 6 2 2" xfId="15298" xr:uid="{2B2BBB38-7B49-49F9-9D2E-8F0C3501C500}"/>
    <cellStyle name="Normal 4 2 4 3 2 6 3" xfId="11085" xr:uid="{AA2EF1FC-36B1-4FA2-9E8A-D9F80BB9DB9C}"/>
    <cellStyle name="Normal 4 2 4 3 2 7" xfId="4738" xr:uid="{00000000-0005-0000-0000-000091130000}"/>
    <cellStyle name="Normal 4 2 4 3 2 7 2" xfId="13233" xr:uid="{AFA590C1-6BCB-410F-8984-035D11A220D8}"/>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5790" xr:uid="{F2F6E1B8-76C8-4B77-B331-341125C7ADA0}"/>
    <cellStyle name="Normal 4 2 4 3 3 2 3" xfId="11577" xr:uid="{6D25847E-97EF-4BA7-BE04-20C85E96807E}"/>
    <cellStyle name="Normal 4 2 4 3 3 3" xfId="5150" xr:uid="{00000000-0005-0000-0000-000095130000}"/>
    <cellStyle name="Normal 4 2 4 3 3 3 2" xfId="13645" xr:uid="{3F78764B-3EDD-4228-B946-0AB3E36F2C54}"/>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6203" xr:uid="{670F5976-5F4C-4DFB-9802-C500FA064D9C}"/>
    <cellStyle name="Normal 4 2 4 3 4 2 3" xfId="11990" xr:uid="{5933B82D-56CF-4EA9-AA8C-0AB1EC04A571}"/>
    <cellStyle name="Normal 4 2 4 3 4 3" xfId="5563" xr:uid="{00000000-0005-0000-0000-000099130000}"/>
    <cellStyle name="Normal 4 2 4 3 4 3 2" xfId="14058" xr:uid="{C1178808-1F7F-4910-B5F0-0BC8A0BA73E4}"/>
    <cellStyle name="Normal 4 2 4 3 4 4" xfId="9845" xr:uid="{0A6DE0C1-AD81-4B35-A221-C6C75ADE13D2}"/>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6616" xr:uid="{B1D4CC59-8174-4653-9361-B88232DDE109}"/>
    <cellStyle name="Normal 4 2 4 3 5 2 3" xfId="12403" xr:uid="{67321781-51A5-408A-AEAF-844054A5B3F8}"/>
    <cellStyle name="Normal 4 2 4 3 5 3" xfId="5976" xr:uid="{00000000-0005-0000-0000-00009D130000}"/>
    <cellStyle name="Normal 4 2 4 3 5 3 2" xfId="14471" xr:uid="{130F5E26-05D5-4987-A466-999AE411CB70}"/>
    <cellStyle name="Normal 4 2 4 3 5 4" xfId="10258" xr:uid="{90295DA6-389F-4749-B773-99EF582B96E9}"/>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029" xr:uid="{C821F6BB-2155-435E-83C4-4B518227F08C}"/>
    <cellStyle name="Normal 4 2 4 3 6 2 3" xfId="12816" xr:uid="{B2BC9462-1B36-419C-A1F8-495A312BC14D}"/>
    <cellStyle name="Normal 4 2 4 3 6 3" xfId="6389" xr:uid="{00000000-0005-0000-0000-0000A1130000}"/>
    <cellStyle name="Normal 4 2 4 3 6 3 2" xfId="14884" xr:uid="{6E7AF49F-E320-4718-BFFC-6B53CE5C132D}"/>
    <cellStyle name="Normal 4 2 4 3 6 4" xfId="10671" xr:uid="{D3F88586-53C8-4E9E-86AC-012F88CEACC5}"/>
    <cellStyle name="Normal 4 2 4 3 7" xfId="2519" xr:uid="{00000000-0005-0000-0000-0000A2130000}"/>
    <cellStyle name="Normal 4 2 4 3 7 2" xfId="6802" xr:uid="{00000000-0005-0000-0000-0000A3130000}"/>
    <cellStyle name="Normal 4 2 4 3 7 2 2" xfId="15297" xr:uid="{51D625EF-518D-4D84-9206-AC5F76371FD4}"/>
    <cellStyle name="Normal 4 2 4 3 7 3" xfId="11084" xr:uid="{59DEAB32-ABE6-46C1-BFA9-43BD4478A625}"/>
    <cellStyle name="Normal 4 2 4 3 8" xfId="4737" xr:uid="{00000000-0005-0000-0000-0000A4130000}"/>
    <cellStyle name="Normal 4 2 4 3 8 2" xfId="13232" xr:uid="{3A5BD452-30F4-46BC-88FD-BB2841479366}"/>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5792" xr:uid="{63DE5C7A-989D-4D8D-AEAF-4C992EBCA684}"/>
    <cellStyle name="Normal 4 2 4 4 2 2 3" xfId="11579" xr:uid="{AD2B09BD-E20D-44E0-99EA-6DED3A6A910F}"/>
    <cellStyle name="Normal 4 2 4 4 2 3" xfId="5152" xr:uid="{00000000-0005-0000-0000-0000A9130000}"/>
    <cellStyle name="Normal 4 2 4 4 2 3 2" xfId="13647" xr:uid="{3DDBBAF5-DAEC-4C85-995F-1396B8D92CFC}"/>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6205" xr:uid="{0BFA2470-6384-4552-B474-FEE61BB5D343}"/>
    <cellStyle name="Normal 4 2 4 4 3 2 3" xfId="11992" xr:uid="{45B1C2BF-DFDA-4BAB-A04B-E4E1B80667DA}"/>
    <cellStyle name="Normal 4 2 4 4 3 3" xfId="5565" xr:uid="{00000000-0005-0000-0000-0000AD130000}"/>
    <cellStyle name="Normal 4 2 4 4 3 3 2" xfId="14060" xr:uid="{D291DB9A-66B8-49E3-89F4-E8C469863404}"/>
    <cellStyle name="Normal 4 2 4 4 3 4" xfId="9847" xr:uid="{2577F9C0-9C69-412D-B1AA-8DEC3D1E59EE}"/>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6618" xr:uid="{27AF7A64-50D1-484F-B7D8-99D7F20ABB8E}"/>
    <cellStyle name="Normal 4 2 4 4 4 2 3" xfId="12405" xr:uid="{8D558968-A15E-4387-BCE2-CC34D2C0C91A}"/>
    <cellStyle name="Normal 4 2 4 4 4 3" xfId="5978" xr:uid="{00000000-0005-0000-0000-0000B1130000}"/>
    <cellStyle name="Normal 4 2 4 4 4 3 2" xfId="14473" xr:uid="{85723AC3-7AA1-4318-A609-89AC623BF838}"/>
    <cellStyle name="Normal 4 2 4 4 4 4" xfId="10260" xr:uid="{92CA786F-4A98-4EA0-A6EB-17E531A36F47}"/>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031" xr:uid="{EA54F8FA-04FC-47BD-81EE-591D1FDAA3C5}"/>
    <cellStyle name="Normal 4 2 4 4 5 2 3" xfId="12818" xr:uid="{3E6A0632-46DB-4DF6-AD35-42091093961D}"/>
    <cellStyle name="Normal 4 2 4 4 5 3" xfId="6391" xr:uid="{00000000-0005-0000-0000-0000B5130000}"/>
    <cellStyle name="Normal 4 2 4 4 5 3 2" xfId="14886" xr:uid="{276C7489-6E93-4E51-9BF7-AC716FC5245F}"/>
    <cellStyle name="Normal 4 2 4 4 5 4" xfId="10673" xr:uid="{A27EDC95-7BAE-4383-9110-9D9F76756A3D}"/>
    <cellStyle name="Normal 4 2 4 4 6" xfId="2521" xr:uid="{00000000-0005-0000-0000-0000B6130000}"/>
    <cellStyle name="Normal 4 2 4 4 6 2" xfId="6804" xr:uid="{00000000-0005-0000-0000-0000B7130000}"/>
    <cellStyle name="Normal 4 2 4 4 6 2 2" xfId="15299" xr:uid="{05F47198-57B8-4E45-B110-336A4681B2AA}"/>
    <cellStyle name="Normal 4 2 4 4 6 3" xfId="11086" xr:uid="{D524932A-A932-440F-A95C-51E863F9874A}"/>
    <cellStyle name="Normal 4 2 4 4 7" xfId="4739" xr:uid="{00000000-0005-0000-0000-0000B8130000}"/>
    <cellStyle name="Normal 4 2 4 4 7 2" xfId="13234" xr:uid="{BE9326F6-8071-4D1B-B628-1C550CC3D218}"/>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2 2 2" xfId="15785" xr:uid="{E9752B37-BE9E-4D75-BEB4-4598B0E40E93}"/>
    <cellStyle name="Normal 4 2 4 5 2 3" xfId="11572" xr:uid="{04EE3073-B9B8-4AA4-98A9-0542DBF18E3A}"/>
    <cellStyle name="Normal 4 2 4 5 3" xfId="5145" xr:uid="{00000000-0005-0000-0000-0000BC130000}"/>
    <cellStyle name="Normal 4 2 4 5 3 2" xfId="13640" xr:uid="{3D1F59F0-B14C-4BCA-9C85-B594DBF7B14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2 2 2" xfId="16198" xr:uid="{E31BA238-3FCA-4AA2-9739-3BEC286F3219}"/>
    <cellStyle name="Normal 4 2 4 6 2 3" xfId="11985" xr:uid="{F24897AC-EFBF-47D7-9490-192626AED9BC}"/>
    <cellStyle name="Normal 4 2 4 6 3" xfId="5558" xr:uid="{00000000-0005-0000-0000-0000C0130000}"/>
    <cellStyle name="Normal 4 2 4 6 3 2" xfId="14053" xr:uid="{63A9F463-9E66-4BB2-AD72-69F8CDFE8CCC}"/>
    <cellStyle name="Normal 4 2 4 6 4" xfId="9840" xr:uid="{18EBAAE8-18B8-4B54-A113-97E892790F9B}"/>
    <cellStyle name="Normal 4 2 4 7" xfId="1664" xr:uid="{00000000-0005-0000-0000-0000C1130000}"/>
    <cellStyle name="Normal 4 2 4 7 2" xfId="3894" xr:uid="{00000000-0005-0000-0000-0000C2130000}"/>
    <cellStyle name="Normal 4 2 4 7 2 2" xfId="8116" xr:uid="{00000000-0005-0000-0000-0000C3130000}"/>
    <cellStyle name="Normal 4 2 4 7 2 2 2" xfId="16611" xr:uid="{03AE6B4F-917A-4441-B334-3BB04EA0BFB0}"/>
    <cellStyle name="Normal 4 2 4 7 2 3" xfId="12398" xr:uid="{98855D36-98AF-4B95-800E-703D1BB48A8D}"/>
    <cellStyle name="Normal 4 2 4 7 3" xfId="5971" xr:uid="{00000000-0005-0000-0000-0000C4130000}"/>
    <cellStyle name="Normal 4 2 4 7 3 2" xfId="14466" xr:uid="{3DF51930-209F-40E1-8819-C9B1D5AE0F96}"/>
    <cellStyle name="Normal 4 2 4 7 4" xfId="10253" xr:uid="{08E98B11-27E5-4B99-9E0C-3858A051C003}"/>
    <cellStyle name="Normal 4 2 4 8" xfId="2078" xr:uid="{00000000-0005-0000-0000-0000C5130000}"/>
    <cellStyle name="Normal 4 2 4 8 2" xfId="4307" xr:uid="{00000000-0005-0000-0000-0000C6130000}"/>
    <cellStyle name="Normal 4 2 4 8 2 2" xfId="8529" xr:uid="{00000000-0005-0000-0000-0000C7130000}"/>
    <cellStyle name="Normal 4 2 4 8 2 2 2" xfId="17024" xr:uid="{0276D4A8-1B9E-48BD-BF64-B49EB61CF746}"/>
    <cellStyle name="Normal 4 2 4 8 2 3" xfId="12811" xr:uid="{AEC09AB7-4046-4CD6-AC2A-2ED171E4E3D0}"/>
    <cellStyle name="Normal 4 2 4 8 3" xfId="6384" xr:uid="{00000000-0005-0000-0000-0000C8130000}"/>
    <cellStyle name="Normal 4 2 4 8 3 2" xfId="14879" xr:uid="{E89EF9CE-03C5-4F33-8BEF-60AFE3F8DA81}"/>
    <cellStyle name="Normal 4 2 4 8 4" xfId="10666" xr:uid="{5A935B46-002B-4BBA-9DC8-C7F144772B88}"/>
    <cellStyle name="Normal 4 2 4 9" xfId="2514" xr:uid="{00000000-0005-0000-0000-0000C9130000}"/>
    <cellStyle name="Normal 4 2 4 9 2" xfId="6797" xr:uid="{00000000-0005-0000-0000-0000CA130000}"/>
    <cellStyle name="Normal 4 2 4 9 2 2" xfId="15292" xr:uid="{58782E6B-508D-4E13-8B51-121C6CC9C7D3}"/>
    <cellStyle name="Normal 4 2 4 9 3" xfId="11079" xr:uid="{C8CAACD9-7635-43F8-935E-8598412E41C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5794" xr:uid="{7269C9BE-56E7-4A1F-B79F-75B8BFDBDEB6}"/>
    <cellStyle name="Normal 4 2 5 2 2 2 3" xfId="11581" xr:uid="{71072486-9526-42BE-94B3-B8D98BFF2E28}"/>
    <cellStyle name="Normal 4 2 5 2 2 3" xfId="5154" xr:uid="{00000000-0005-0000-0000-0000D0130000}"/>
    <cellStyle name="Normal 4 2 5 2 2 3 2" xfId="13649" xr:uid="{91F4E917-CCA3-40E4-9007-E4413E2CBF22}"/>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6207" xr:uid="{5357810A-8BE1-4FA6-BE1B-7AF332FF095D}"/>
    <cellStyle name="Normal 4 2 5 2 3 2 3" xfId="11994" xr:uid="{EC6854B6-EDE3-426E-8659-011851C52A53}"/>
    <cellStyle name="Normal 4 2 5 2 3 3" xfId="5567" xr:uid="{00000000-0005-0000-0000-0000D4130000}"/>
    <cellStyle name="Normal 4 2 5 2 3 3 2" xfId="14062" xr:uid="{FD7BF636-1186-4412-BF0D-660DA79BC7BC}"/>
    <cellStyle name="Normal 4 2 5 2 3 4" xfId="9849" xr:uid="{6F63816D-9890-4169-8BC9-DB89A36B5824}"/>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6620" xr:uid="{0A5A6429-C29F-419F-90C3-5E7FECE7FF82}"/>
    <cellStyle name="Normal 4 2 5 2 4 2 3" xfId="12407" xr:uid="{09BB0F79-ECD3-40BC-93E4-8B7A8BF942EB}"/>
    <cellStyle name="Normal 4 2 5 2 4 3" xfId="5980" xr:uid="{00000000-0005-0000-0000-0000D8130000}"/>
    <cellStyle name="Normal 4 2 5 2 4 3 2" xfId="14475" xr:uid="{1AF0A279-F25B-4F2F-A8C9-823CB466A2D8}"/>
    <cellStyle name="Normal 4 2 5 2 4 4" xfId="10262" xr:uid="{9F95DBD1-1660-4565-A7E7-BDE5EF474DC9}"/>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033" xr:uid="{5DFFE98C-08CA-4710-92B5-027EC0C952A4}"/>
    <cellStyle name="Normal 4 2 5 2 5 2 3" xfId="12820" xr:uid="{57EB1C12-AF47-49C7-81B2-D8EFFEAE44B3}"/>
    <cellStyle name="Normal 4 2 5 2 5 3" xfId="6393" xr:uid="{00000000-0005-0000-0000-0000DC130000}"/>
    <cellStyle name="Normal 4 2 5 2 5 3 2" xfId="14888" xr:uid="{419F9290-F57F-4DF4-A18F-8111F922929A}"/>
    <cellStyle name="Normal 4 2 5 2 5 4" xfId="10675" xr:uid="{B8ADA8F8-BA74-415F-B506-00E57A264ED6}"/>
    <cellStyle name="Normal 4 2 5 2 6" xfId="2523" xr:uid="{00000000-0005-0000-0000-0000DD130000}"/>
    <cellStyle name="Normal 4 2 5 2 6 2" xfId="6806" xr:uid="{00000000-0005-0000-0000-0000DE130000}"/>
    <cellStyle name="Normal 4 2 5 2 6 2 2" xfId="15301" xr:uid="{4599A36D-0BB9-4CF1-96F4-827E14F34D9E}"/>
    <cellStyle name="Normal 4 2 5 2 6 3" xfId="11088" xr:uid="{A5613607-C4CF-4951-A04C-41F7A257B700}"/>
    <cellStyle name="Normal 4 2 5 2 7" xfId="4741" xr:uid="{00000000-0005-0000-0000-0000DF130000}"/>
    <cellStyle name="Normal 4 2 5 2 7 2" xfId="13236" xr:uid="{A367EC83-5F35-4453-B784-98352E27A6CE}"/>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2 2 2" xfId="15793" xr:uid="{9C80EE7F-1F50-4A7D-9D00-26C8DEF1DB02}"/>
    <cellStyle name="Normal 4 2 5 3 2 3" xfId="11580" xr:uid="{C74C927E-B269-4400-B78A-CB70EECC71B5}"/>
    <cellStyle name="Normal 4 2 5 3 3" xfId="5153" xr:uid="{00000000-0005-0000-0000-0000E3130000}"/>
    <cellStyle name="Normal 4 2 5 3 3 2" xfId="13648" xr:uid="{97FE43BC-3DD8-49CF-BE07-8643C5C11362}"/>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2 2 2" xfId="16206" xr:uid="{2159C159-3E63-4F9A-8868-8105A2FDF4C4}"/>
    <cellStyle name="Normal 4 2 5 4 2 3" xfId="11993" xr:uid="{BB0314E4-843F-4575-885D-4FBF6EC92A93}"/>
    <cellStyle name="Normal 4 2 5 4 3" xfId="5566" xr:uid="{00000000-0005-0000-0000-0000E7130000}"/>
    <cellStyle name="Normal 4 2 5 4 3 2" xfId="14061" xr:uid="{BF10306D-69FD-4848-A574-6AD8AEF99BFD}"/>
    <cellStyle name="Normal 4 2 5 4 4" xfId="9848" xr:uid="{2C8D01F4-90B3-4AE5-9FE1-609621CB1735}"/>
    <cellStyle name="Normal 4 2 5 5" xfId="1672" xr:uid="{00000000-0005-0000-0000-0000E8130000}"/>
    <cellStyle name="Normal 4 2 5 5 2" xfId="3902" xr:uid="{00000000-0005-0000-0000-0000E9130000}"/>
    <cellStyle name="Normal 4 2 5 5 2 2" xfId="8124" xr:uid="{00000000-0005-0000-0000-0000EA130000}"/>
    <cellStyle name="Normal 4 2 5 5 2 2 2" xfId="16619" xr:uid="{9239D9F3-DB1D-446C-86CC-AC0997178EC3}"/>
    <cellStyle name="Normal 4 2 5 5 2 3" xfId="12406" xr:uid="{5C245640-D417-4719-8FA4-12CB6ACC2B80}"/>
    <cellStyle name="Normal 4 2 5 5 3" xfId="5979" xr:uid="{00000000-0005-0000-0000-0000EB130000}"/>
    <cellStyle name="Normal 4 2 5 5 3 2" xfId="14474" xr:uid="{1F210BB3-9D5F-4EDB-BA87-A19D15AD8161}"/>
    <cellStyle name="Normal 4 2 5 5 4" xfId="10261" xr:uid="{148165D5-A0D3-4C0D-82AC-609F720405C9}"/>
    <cellStyle name="Normal 4 2 5 6" xfId="2086" xr:uid="{00000000-0005-0000-0000-0000EC130000}"/>
    <cellStyle name="Normal 4 2 5 6 2" xfId="4315" xr:uid="{00000000-0005-0000-0000-0000ED130000}"/>
    <cellStyle name="Normal 4 2 5 6 2 2" xfId="8537" xr:uid="{00000000-0005-0000-0000-0000EE130000}"/>
    <cellStyle name="Normal 4 2 5 6 2 2 2" xfId="17032" xr:uid="{D5F2A087-DC08-405B-B416-83CA9AA709FA}"/>
    <cellStyle name="Normal 4 2 5 6 2 3" xfId="12819" xr:uid="{31FCFE01-A549-41D7-A0AC-9C6CFBF460DC}"/>
    <cellStyle name="Normal 4 2 5 6 3" xfId="6392" xr:uid="{00000000-0005-0000-0000-0000EF130000}"/>
    <cellStyle name="Normal 4 2 5 6 3 2" xfId="14887" xr:uid="{648F18A5-6E3D-41E3-B780-AE31D3220C82}"/>
    <cellStyle name="Normal 4 2 5 6 4" xfId="10674" xr:uid="{B0D0D88B-E755-4E93-8CEC-859974029A86}"/>
    <cellStyle name="Normal 4 2 5 7" xfId="2522" xr:uid="{00000000-0005-0000-0000-0000F0130000}"/>
    <cellStyle name="Normal 4 2 5 7 2" xfId="6805" xr:uid="{00000000-0005-0000-0000-0000F1130000}"/>
    <cellStyle name="Normal 4 2 5 7 2 2" xfId="15300" xr:uid="{B2305571-2FDA-4965-B8D6-E7820768A3DA}"/>
    <cellStyle name="Normal 4 2 5 7 3" xfId="11087" xr:uid="{38332A7C-B1EA-4152-9EE0-17565E8CEDEE}"/>
    <cellStyle name="Normal 4 2 5 8" xfId="4740" xr:uid="{00000000-0005-0000-0000-0000F2130000}"/>
    <cellStyle name="Normal 4 2 5 8 2" xfId="13235" xr:uid="{7E6C02E6-92D1-4746-A62C-CB7DC1B5E976}"/>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5795" xr:uid="{292EBA87-7292-4D10-A4EC-5F692A1508F0}"/>
    <cellStyle name="Normal 4 2 6 2 2 3" xfId="11582" xr:uid="{F4AD6640-EB99-45E0-808C-9A4E633310CC}"/>
    <cellStyle name="Normal 4 2 6 2 3" xfId="5155" xr:uid="{00000000-0005-0000-0000-0000F7130000}"/>
    <cellStyle name="Normal 4 2 6 2 3 2" xfId="13650" xr:uid="{E03D7BE6-6272-4623-BCD5-1856432E3B7E}"/>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2 2 2" xfId="16208" xr:uid="{B7387A74-540B-4F3E-8965-93F0BCB4BD0F}"/>
    <cellStyle name="Normal 4 2 6 3 2 3" xfId="11995" xr:uid="{872AD2A2-AE06-4198-B69F-F212B7F08DA9}"/>
    <cellStyle name="Normal 4 2 6 3 3" xfId="5568" xr:uid="{00000000-0005-0000-0000-0000FB130000}"/>
    <cellStyle name="Normal 4 2 6 3 3 2" xfId="14063" xr:uid="{31CD1D1C-A51D-48A0-B4FD-E7EA6816B159}"/>
    <cellStyle name="Normal 4 2 6 3 4" xfId="9850" xr:uid="{19246335-3CAB-47FF-B680-BC816C051B8B}"/>
    <cellStyle name="Normal 4 2 6 4" xfId="1674" xr:uid="{00000000-0005-0000-0000-0000FC130000}"/>
    <cellStyle name="Normal 4 2 6 4 2" xfId="3904" xr:uid="{00000000-0005-0000-0000-0000FD130000}"/>
    <cellStyle name="Normal 4 2 6 4 2 2" xfId="8126" xr:uid="{00000000-0005-0000-0000-0000FE130000}"/>
    <cellStyle name="Normal 4 2 6 4 2 2 2" xfId="16621" xr:uid="{E65D1AF6-BE93-4F7C-9121-E3A8377372F5}"/>
    <cellStyle name="Normal 4 2 6 4 2 3" xfId="12408" xr:uid="{05E3CC93-D7C6-4EBF-8CCD-25B5986C26EE}"/>
    <cellStyle name="Normal 4 2 6 4 3" xfId="5981" xr:uid="{00000000-0005-0000-0000-0000FF130000}"/>
    <cellStyle name="Normal 4 2 6 4 3 2" xfId="14476" xr:uid="{E9FF9A6D-1F10-4037-BE3C-D7569CCFFCCD}"/>
    <cellStyle name="Normal 4 2 6 4 4" xfId="10263" xr:uid="{997C0D92-4BD8-4010-91B5-20A87E85A8FD}"/>
    <cellStyle name="Normal 4 2 6 5" xfId="2088" xr:uid="{00000000-0005-0000-0000-000000140000}"/>
    <cellStyle name="Normal 4 2 6 5 2" xfId="4317" xr:uid="{00000000-0005-0000-0000-000001140000}"/>
    <cellStyle name="Normal 4 2 6 5 2 2" xfId="8539" xr:uid="{00000000-0005-0000-0000-000002140000}"/>
    <cellStyle name="Normal 4 2 6 5 2 2 2" xfId="17034" xr:uid="{F2503E14-3AC9-40D5-9ACB-08AF84396226}"/>
    <cellStyle name="Normal 4 2 6 5 2 3" xfId="12821" xr:uid="{71B80499-11A5-41BD-B610-B618310C83BA}"/>
    <cellStyle name="Normal 4 2 6 5 3" xfId="6394" xr:uid="{00000000-0005-0000-0000-000003140000}"/>
    <cellStyle name="Normal 4 2 6 5 3 2" xfId="14889" xr:uid="{81367E2F-DA13-407A-8ECF-64350D479586}"/>
    <cellStyle name="Normal 4 2 6 5 4" xfId="10676" xr:uid="{2CB6DBE4-1662-41DC-96F7-6C5EB875BDCD}"/>
    <cellStyle name="Normal 4 2 6 6" xfId="2524" xr:uid="{00000000-0005-0000-0000-000004140000}"/>
    <cellStyle name="Normal 4 2 6 6 2" xfId="6807" xr:uid="{00000000-0005-0000-0000-000005140000}"/>
    <cellStyle name="Normal 4 2 6 6 2 2" xfId="15302" xr:uid="{08E8A01C-A90A-464D-92B3-6F7A5DE95380}"/>
    <cellStyle name="Normal 4 2 6 6 3" xfId="11089" xr:uid="{89AE361D-D4C5-459A-ACC0-DEC2A3C04CA1}"/>
    <cellStyle name="Normal 4 2 6 7" xfId="4742" xr:uid="{00000000-0005-0000-0000-000006140000}"/>
    <cellStyle name="Normal 4 2 6 7 2" xfId="13237" xr:uid="{4822D713-12A7-4C50-8518-C092788C0033}"/>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5799" xr:uid="{BF4BA117-7690-4C05-9F3F-214251145D1B}"/>
    <cellStyle name="Normal 4 3 2 2 2 2 2 2 2 3" xfId="11586" xr:uid="{3AF298C4-FBE8-49D5-99E4-AC58318C0545}"/>
    <cellStyle name="Normal 4 3 2 2 2 2 2 2 3" xfId="5159" xr:uid="{00000000-0005-0000-0000-000010140000}"/>
    <cellStyle name="Normal 4 3 2 2 2 2 2 2 3 2" xfId="13654" xr:uid="{20CD6F43-15E9-4454-8045-12B704206623}"/>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6212" xr:uid="{3F147187-827D-4E31-95DC-BB4464A6186F}"/>
    <cellStyle name="Normal 4 3 2 2 2 2 2 3 2 3" xfId="11999" xr:uid="{B9910D83-7285-4334-9B48-7D0FD1CB3BA8}"/>
    <cellStyle name="Normal 4 3 2 2 2 2 2 3 3" xfId="5572" xr:uid="{00000000-0005-0000-0000-000014140000}"/>
    <cellStyle name="Normal 4 3 2 2 2 2 2 3 3 2" xfId="14067" xr:uid="{F0D41EA3-ED0C-46FA-91D9-BA9A2F99B32E}"/>
    <cellStyle name="Normal 4 3 2 2 2 2 2 3 4" xfId="9854" xr:uid="{182EC804-C822-4DDB-BF88-EF27BFD9207D}"/>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6625" xr:uid="{16C54CFE-6CAE-4237-A38B-6635EBC0649E}"/>
    <cellStyle name="Normal 4 3 2 2 2 2 2 4 2 3" xfId="12412" xr:uid="{D43A8A16-6130-488F-849A-1F7AE8187415}"/>
    <cellStyle name="Normal 4 3 2 2 2 2 2 4 3" xfId="5985" xr:uid="{00000000-0005-0000-0000-000018140000}"/>
    <cellStyle name="Normal 4 3 2 2 2 2 2 4 3 2" xfId="14480" xr:uid="{C524115C-B3C0-43E8-B0F8-C7AB0E67DC68}"/>
    <cellStyle name="Normal 4 3 2 2 2 2 2 4 4" xfId="10267" xr:uid="{1CB1AC61-08A9-412F-BE25-BE2B3668F646}"/>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038" xr:uid="{FE40AD34-B093-4A40-A130-E03ECE812718}"/>
    <cellStyle name="Normal 4 3 2 2 2 2 2 5 2 3" xfId="12825" xr:uid="{AAA01105-6DC5-408F-9C71-50C3ADF09842}"/>
    <cellStyle name="Normal 4 3 2 2 2 2 2 5 3" xfId="6398" xr:uid="{00000000-0005-0000-0000-00001C140000}"/>
    <cellStyle name="Normal 4 3 2 2 2 2 2 5 3 2" xfId="14893" xr:uid="{5E1F0CD6-720B-4B09-A812-1156F754C94E}"/>
    <cellStyle name="Normal 4 3 2 2 2 2 2 5 4" xfId="10680" xr:uid="{220C1827-B32D-4DB1-AFBD-F21B0331FF88}"/>
    <cellStyle name="Normal 4 3 2 2 2 2 2 6" xfId="2528" xr:uid="{00000000-0005-0000-0000-00001D140000}"/>
    <cellStyle name="Normal 4 3 2 2 2 2 2 6 2" xfId="6811" xr:uid="{00000000-0005-0000-0000-00001E140000}"/>
    <cellStyle name="Normal 4 3 2 2 2 2 2 6 2 2" xfId="15306" xr:uid="{628A92EE-21A7-4B48-8FD5-E8832B82DCD5}"/>
    <cellStyle name="Normal 4 3 2 2 2 2 2 6 3" xfId="11093" xr:uid="{180D8D51-DF8F-4034-B767-3CCFCEDA91C3}"/>
    <cellStyle name="Normal 4 3 2 2 2 2 2 7" xfId="4746" xr:uid="{00000000-0005-0000-0000-00001F140000}"/>
    <cellStyle name="Normal 4 3 2 2 2 2 2 7 2" xfId="13241" xr:uid="{909FA5C7-6708-4943-A9DF-C84B77566C12}"/>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5798" xr:uid="{61BDF8F5-4111-4284-9EC5-F3C42BD39EB8}"/>
    <cellStyle name="Normal 4 3 2 2 2 2 3 2 3" xfId="11585" xr:uid="{502B330F-E0FA-4704-8633-657A202873D6}"/>
    <cellStyle name="Normal 4 3 2 2 2 2 3 3" xfId="5158" xr:uid="{00000000-0005-0000-0000-000023140000}"/>
    <cellStyle name="Normal 4 3 2 2 2 2 3 3 2" xfId="13653" xr:uid="{97405EC7-8769-42D3-9C78-15637F90B0EE}"/>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6211" xr:uid="{CF06CB9A-4142-43EB-842D-A35F181A02A8}"/>
    <cellStyle name="Normal 4 3 2 2 2 2 4 2 3" xfId="11998" xr:uid="{E3BB28F2-5F79-4EDA-BF35-FBA1C07BF691}"/>
    <cellStyle name="Normal 4 3 2 2 2 2 4 3" xfId="5571" xr:uid="{00000000-0005-0000-0000-000027140000}"/>
    <cellStyle name="Normal 4 3 2 2 2 2 4 3 2" xfId="14066" xr:uid="{2942F2FA-668B-4F36-80F9-0BBE813184AB}"/>
    <cellStyle name="Normal 4 3 2 2 2 2 4 4" xfId="9853" xr:uid="{744BED2C-197F-4FF5-9AF6-89CDA1531BDB}"/>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6624" xr:uid="{550AB813-9F2D-4120-858A-D003F4C5A4CF}"/>
    <cellStyle name="Normal 4 3 2 2 2 2 5 2 3" xfId="12411" xr:uid="{D2F17094-DBEC-4824-9A47-E9510F8795C5}"/>
    <cellStyle name="Normal 4 3 2 2 2 2 5 3" xfId="5984" xr:uid="{00000000-0005-0000-0000-00002B140000}"/>
    <cellStyle name="Normal 4 3 2 2 2 2 5 3 2" xfId="14479" xr:uid="{EB43C17C-4727-4F8A-9B6A-F1C826A6DD4C}"/>
    <cellStyle name="Normal 4 3 2 2 2 2 5 4" xfId="10266" xr:uid="{65225A64-9BB0-49DF-8E19-DA13CF082208}"/>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037" xr:uid="{F692D0B5-6933-4A86-96D3-C19EC167593E}"/>
    <cellStyle name="Normal 4 3 2 2 2 2 6 2 3" xfId="12824" xr:uid="{A1A18D29-0C30-42C3-B72E-705FF4BACBCD}"/>
    <cellStyle name="Normal 4 3 2 2 2 2 6 3" xfId="6397" xr:uid="{00000000-0005-0000-0000-00002F140000}"/>
    <cellStyle name="Normal 4 3 2 2 2 2 6 3 2" xfId="14892" xr:uid="{DBC58CD9-5A14-487A-941B-5DD02CCA1C18}"/>
    <cellStyle name="Normal 4 3 2 2 2 2 6 4" xfId="10679" xr:uid="{9C58B6CF-A74E-45E0-A9BA-451186F35D8C}"/>
    <cellStyle name="Normal 4 3 2 2 2 2 7" xfId="2527" xr:uid="{00000000-0005-0000-0000-000030140000}"/>
    <cellStyle name="Normal 4 3 2 2 2 2 7 2" xfId="6810" xr:uid="{00000000-0005-0000-0000-000031140000}"/>
    <cellStyle name="Normal 4 3 2 2 2 2 7 2 2" xfId="15305" xr:uid="{529BFE86-E747-435E-B359-CF2FE00F8AA4}"/>
    <cellStyle name="Normal 4 3 2 2 2 2 7 3" xfId="11092" xr:uid="{ABB34EEC-C989-479A-90FA-31B16D873940}"/>
    <cellStyle name="Normal 4 3 2 2 2 2 8" xfId="4745" xr:uid="{00000000-0005-0000-0000-000032140000}"/>
    <cellStyle name="Normal 4 3 2 2 2 2 8 2" xfId="13240" xr:uid="{B406496C-7BD6-44EB-BE1C-B389B6A2989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5800" xr:uid="{C1C52BDB-33B5-42E5-97CE-C1567E39760A}"/>
    <cellStyle name="Normal 4 3 2 2 2 3 2 2 3" xfId="11587" xr:uid="{959EC2F3-1922-43AB-B9E5-6A9C1CE37271}"/>
    <cellStyle name="Normal 4 3 2 2 2 3 2 3" xfId="5160" xr:uid="{00000000-0005-0000-0000-000037140000}"/>
    <cellStyle name="Normal 4 3 2 2 2 3 2 3 2" xfId="13655" xr:uid="{67B18DFF-4D39-4643-8C9D-9F68F72CAD29}"/>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6213" xr:uid="{2A41D2B8-A2F4-47BA-A124-2583D301E58A}"/>
    <cellStyle name="Normal 4 3 2 2 2 3 3 2 3" xfId="12000" xr:uid="{B22E48F7-44CF-4655-A10D-891560AE6D73}"/>
    <cellStyle name="Normal 4 3 2 2 2 3 3 3" xfId="5573" xr:uid="{00000000-0005-0000-0000-00003B140000}"/>
    <cellStyle name="Normal 4 3 2 2 2 3 3 3 2" xfId="14068" xr:uid="{27CCCE9D-83C1-4EAB-A9CB-E700C6BAB6B1}"/>
    <cellStyle name="Normal 4 3 2 2 2 3 3 4" xfId="9855" xr:uid="{EEE5F2D6-1F6B-47EE-BAFB-31C01CFC7054}"/>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6626" xr:uid="{16C143A4-43C4-4E92-8702-CD905D6EFFA2}"/>
    <cellStyle name="Normal 4 3 2 2 2 3 4 2 3" xfId="12413" xr:uid="{E8402724-A741-41D4-AC6D-EF84991A9BCF}"/>
    <cellStyle name="Normal 4 3 2 2 2 3 4 3" xfId="5986" xr:uid="{00000000-0005-0000-0000-00003F140000}"/>
    <cellStyle name="Normal 4 3 2 2 2 3 4 3 2" xfId="14481" xr:uid="{63B3826A-B189-4D68-BFCC-2C917EA3CAA7}"/>
    <cellStyle name="Normal 4 3 2 2 2 3 4 4" xfId="10268" xr:uid="{DAF6466E-DCEA-4DA1-987B-36F8C885DACF}"/>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039" xr:uid="{5ED80CA0-530E-48EE-B424-036F94504CC0}"/>
    <cellStyle name="Normal 4 3 2 2 2 3 5 2 3" xfId="12826" xr:uid="{D357AD04-C051-44A4-BA54-DFE7C6548F8C}"/>
    <cellStyle name="Normal 4 3 2 2 2 3 5 3" xfId="6399" xr:uid="{00000000-0005-0000-0000-000043140000}"/>
    <cellStyle name="Normal 4 3 2 2 2 3 5 3 2" xfId="14894" xr:uid="{96610BD5-1C10-4F3E-A787-1B8CA851319F}"/>
    <cellStyle name="Normal 4 3 2 2 2 3 5 4" xfId="10681" xr:uid="{2F72C9FE-CEAE-49B7-ADDF-2035DF48A76C}"/>
    <cellStyle name="Normal 4 3 2 2 2 3 6" xfId="2529" xr:uid="{00000000-0005-0000-0000-000044140000}"/>
    <cellStyle name="Normal 4 3 2 2 2 3 6 2" xfId="6812" xr:uid="{00000000-0005-0000-0000-000045140000}"/>
    <cellStyle name="Normal 4 3 2 2 2 3 6 2 2" xfId="15307" xr:uid="{CDD373CD-FBD9-4BBD-85CF-0872471DE83D}"/>
    <cellStyle name="Normal 4 3 2 2 2 3 6 3" xfId="11094" xr:uid="{5549B33C-D08D-4249-AE53-BE2AB790B89B}"/>
    <cellStyle name="Normal 4 3 2 2 2 3 7" xfId="4747" xr:uid="{00000000-0005-0000-0000-000046140000}"/>
    <cellStyle name="Normal 4 3 2 2 2 3 7 2" xfId="13242" xr:uid="{3CC8BE57-AC73-406E-82E3-372E8C1740F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5797" xr:uid="{F8F92ECC-F815-463F-BBCC-ACB12D8682B1}"/>
    <cellStyle name="Normal 4 3 2 2 2 4 2 3" xfId="11584" xr:uid="{4B7EA8B6-B9A7-41C9-BE23-044B975535CB}"/>
    <cellStyle name="Normal 4 3 2 2 2 4 3" xfId="5157" xr:uid="{00000000-0005-0000-0000-00004A140000}"/>
    <cellStyle name="Normal 4 3 2 2 2 4 3 2" xfId="13652" xr:uid="{DACA049C-7491-46AC-82AB-7ED7A4D4CF6E}"/>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6210" xr:uid="{4F99B2AE-65A8-4C9A-8E2F-BAA0C79A0CC8}"/>
    <cellStyle name="Normal 4 3 2 2 2 5 2 3" xfId="11997" xr:uid="{AB50E84A-0C8D-41F9-8FE3-51303C546683}"/>
    <cellStyle name="Normal 4 3 2 2 2 5 3" xfId="5570" xr:uid="{00000000-0005-0000-0000-00004E140000}"/>
    <cellStyle name="Normal 4 3 2 2 2 5 3 2" xfId="14065" xr:uid="{EEB5A86A-86C3-4095-9034-BA492E0C887B}"/>
    <cellStyle name="Normal 4 3 2 2 2 5 4" xfId="9852" xr:uid="{C6EB10BB-FCE3-4873-A3F1-AD92CCE6106E}"/>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6623" xr:uid="{CEFA3A13-E31E-46C4-A03F-A30DF3D57E39}"/>
    <cellStyle name="Normal 4 3 2 2 2 6 2 3" xfId="12410" xr:uid="{D9E1F087-FFC2-4262-A490-2EDF3C7D508C}"/>
    <cellStyle name="Normal 4 3 2 2 2 6 3" xfId="5983" xr:uid="{00000000-0005-0000-0000-000052140000}"/>
    <cellStyle name="Normal 4 3 2 2 2 6 3 2" xfId="14478" xr:uid="{B8D3DBCA-6CE3-4F9D-9A31-46A578C38150}"/>
    <cellStyle name="Normal 4 3 2 2 2 6 4" xfId="10265" xr:uid="{F5B98920-0823-4F70-B741-71818541DE52}"/>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036" xr:uid="{F2CACDF2-F0F4-4B51-9047-8E735CD873E1}"/>
    <cellStyle name="Normal 4 3 2 2 2 7 2 3" xfId="12823" xr:uid="{CF085273-A5D2-4656-97F3-CB8D73AE13D3}"/>
    <cellStyle name="Normal 4 3 2 2 2 7 3" xfId="6396" xr:uid="{00000000-0005-0000-0000-000056140000}"/>
    <cellStyle name="Normal 4 3 2 2 2 7 3 2" xfId="14891" xr:uid="{13991C52-70EE-4011-8D48-7684FFBBC66B}"/>
    <cellStyle name="Normal 4 3 2 2 2 7 4" xfId="10678" xr:uid="{ADB3E5CE-975E-4BE3-9CBE-54D6F61E7FB7}"/>
    <cellStyle name="Normal 4 3 2 2 2 8" xfId="2526" xr:uid="{00000000-0005-0000-0000-000057140000}"/>
    <cellStyle name="Normal 4 3 2 2 2 8 2" xfId="6809" xr:uid="{00000000-0005-0000-0000-000058140000}"/>
    <cellStyle name="Normal 4 3 2 2 2 8 2 2" xfId="15304" xr:uid="{096C6B77-09E7-4539-A9F5-71A561D3F22F}"/>
    <cellStyle name="Normal 4 3 2 2 2 8 3" xfId="11091" xr:uid="{E9C59247-70B8-4697-9927-F162C4D469EC}"/>
    <cellStyle name="Normal 4 3 2 2 2 9" xfId="4744" xr:uid="{00000000-0005-0000-0000-000059140000}"/>
    <cellStyle name="Normal 4 3 2 2 2 9 2" xfId="13239" xr:uid="{9C028D76-E2D1-422A-A151-24AEBB2BFE59}"/>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5803" xr:uid="{A52446E4-B229-4200-827D-D751336F85D6}"/>
    <cellStyle name="Normal 4 3 3 2 2 2 2 3" xfId="11590" xr:uid="{E88172DB-282D-4B91-9369-CB21BDCF1356}"/>
    <cellStyle name="Normal 4 3 3 2 2 2 3" xfId="5163" xr:uid="{00000000-0005-0000-0000-000063140000}"/>
    <cellStyle name="Normal 4 3 3 2 2 2 3 2" xfId="13658" xr:uid="{7316F650-AD04-46DC-9BA1-B09E8EBC5DA1}"/>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6216" xr:uid="{49560837-5A4E-4993-B92D-2DBE9F818A22}"/>
    <cellStyle name="Normal 4 3 3 2 2 3 2 3" xfId="12003" xr:uid="{29E0A580-2398-47E9-A01A-5B2687D47B2B}"/>
    <cellStyle name="Normal 4 3 3 2 2 3 3" xfId="5576" xr:uid="{00000000-0005-0000-0000-000067140000}"/>
    <cellStyle name="Normal 4 3 3 2 2 3 3 2" xfId="14071" xr:uid="{104D1F65-2EF9-45AB-AD84-4C7EF4214935}"/>
    <cellStyle name="Normal 4 3 3 2 2 3 4" xfId="9858" xr:uid="{B210F790-1E41-48AF-A703-B68808EE8A1F}"/>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6629" xr:uid="{9C7D0011-CF82-4D11-A65E-250267C03D2E}"/>
    <cellStyle name="Normal 4 3 3 2 2 4 2 3" xfId="12416" xr:uid="{E36B0057-E8F7-4B3D-915D-E7B74687E820}"/>
    <cellStyle name="Normal 4 3 3 2 2 4 3" xfId="5989" xr:uid="{00000000-0005-0000-0000-00006B140000}"/>
    <cellStyle name="Normal 4 3 3 2 2 4 3 2" xfId="14484" xr:uid="{78660691-585A-4A6E-B22C-06ADFA518A0C}"/>
    <cellStyle name="Normal 4 3 3 2 2 4 4" xfId="10271" xr:uid="{0C2D12AD-7966-4BE8-9ECA-19D62AA92558}"/>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042" xr:uid="{91E4C749-AC1C-4B6F-88A1-B69F81599E60}"/>
    <cellStyle name="Normal 4 3 3 2 2 5 2 3" xfId="12829" xr:uid="{8EF9E39B-BFC1-4EE1-B367-7401A0DA44D5}"/>
    <cellStyle name="Normal 4 3 3 2 2 5 3" xfId="6402" xr:uid="{00000000-0005-0000-0000-00006F140000}"/>
    <cellStyle name="Normal 4 3 3 2 2 5 3 2" xfId="14897" xr:uid="{A6950076-7BCB-4C0B-BE5E-D9C62340FB72}"/>
    <cellStyle name="Normal 4 3 3 2 2 5 4" xfId="10684" xr:uid="{FD2FA695-12CC-4FF6-A7A5-20E5E1141AC9}"/>
    <cellStyle name="Normal 4 3 3 2 2 6" xfId="2532" xr:uid="{00000000-0005-0000-0000-000070140000}"/>
    <cellStyle name="Normal 4 3 3 2 2 6 2" xfId="6815" xr:uid="{00000000-0005-0000-0000-000071140000}"/>
    <cellStyle name="Normal 4 3 3 2 2 6 2 2" xfId="15310" xr:uid="{8D68448A-5CB2-46C1-A831-7C96EC48C740}"/>
    <cellStyle name="Normal 4 3 3 2 2 6 3" xfId="11097" xr:uid="{ECE28ACF-9BE4-4951-B488-6596C9E10EBE}"/>
    <cellStyle name="Normal 4 3 3 2 2 7" xfId="4750" xr:uid="{00000000-0005-0000-0000-000072140000}"/>
    <cellStyle name="Normal 4 3 3 2 2 7 2" xfId="13245" xr:uid="{AE21CBC1-8594-469C-A57B-16F083798201}"/>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5802" xr:uid="{4C109659-3DD9-401E-BB90-9EAC41734182}"/>
    <cellStyle name="Normal 4 3 3 2 3 2 3" xfId="11589" xr:uid="{25A86CF5-2620-49CB-89B2-F188E36C1B7A}"/>
    <cellStyle name="Normal 4 3 3 2 3 3" xfId="5162" xr:uid="{00000000-0005-0000-0000-000076140000}"/>
    <cellStyle name="Normal 4 3 3 2 3 3 2" xfId="13657" xr:uid="{66BB086C-DDE0-46B4-8990-C83946A340AC}"/>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6215" xr:uid="{54A6A774-7F97-4724-8932-C36B3CA7BB85}"/>
    <cellStyle name="Normal 4 3 3 2 4 2 3" xfId="12002" xr:uid="{F416CFDF-EF95-4227-9CA5-1CCC55FCCD92}"/>
    <cellStyle name="Normal 4 3 3 2 4 3" xfId="5575" xr:uid="{00000000-0005-0000-0000-00007A140000}"/>
    <cellStyle name="Normal 4 3 3 2 4 3 2" xfId="14070" xr:uid="{F60721C2-9D73-4F47-8901-CB2A9DA77C59}"/>
    <cellStyle name="Normal 4 3 3 2 4 4" xfId="9857" xr:uid="{17EA96E0-EE55-4647-9AC6-AF72FB33D7CA}"/>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6628" xr:uid="{0AE58876-9216-4BB6-8156-B09BDD5ABA54}"/>
    <cellStyle name="Normal 4 3 3 2 5 2 3" xfId="12415" xr:uid="{1AB47AA0-14AF-42DB-8F60-2A770F67BE35}"/>
    <cellStyle name="Normal 4 3 3 2 5 3" xfId="5988" xr:uid="{00000000-0005-0000-0000-00007E140000}"/>
    <cellStyle name="Normal 4 3 3 2 5 3 2" xfId="14483" xr:uid="{B07E25BC-59E7-4B72-9010-439CB63CCCCD}"/>
    <cellStyle name="Normal 4 3 3 2 5 4" xfId="10270" xr:uid="{32AD46ED-EC8B-4B75-BBC8-F8F3D6291603}"/>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041" xr:uid="{966ED91E-B02D-45A8-8A13-9713836AD5BC}"/>
    <cellStyle name="Normal 4 3 3 2 6 2 3" xfId="12828" xr:uid="{ABFA9A4A-793B-42BA-BC80-59364A8F9392}"/>
    <cellStyle name="Normal 4 3 3 2 6 3" xfId="6401" xr:uid="{00000000-0005-0000-0000-000082140000}"/>
    <cellStyle name="Normal 4 3 3 2 6 3 2" xfId="14896" xr:uid="{A86E4735-4D22-46EF-B09B-229A3C8AA06A}"/>
    <cellStyle name="Normal 4 3 3 2 6 4" xfId="10683" xr:uid="{F8C75F09-FCCE-4D38-B40C-DA05EFCB930B}"/>
    <cellStyle name="Normal 4 3 3 2 7" xfId="2531" xr:uid="{00000000-0005-0000-0000-000083140000}"/>
    <cellStyle name="Normal 4 3 3 2 7 2" xfId="6814" xr:uid="{00000000-0005-0000-0000-000084140000}"/>
    <cellStyle name="Normal 4 3 3 2 7 2 2" xfId="15309" xr:uid="{E8CF8278-6485-483A-8695-CD6C4C9F9F43}"/>
    <cellStyle name="Normal 4 3 3 2 7 3" xfId="11096" xr:uid="{E3CEEFD3-94C2-4050-95CB-70BFB1B0BD85}"/>
    <cellStyle name="Normal 4 3 3 2 8" xfId="4749" xr:uid="{00000000-0005-0000-0000-000085140000}"/>
    <cellStyle name="Normal 4 3 3 2 8 2" xfId="13244" xr:uid="{3243DD06-AB83-454C-9631-96780247D87A}"/>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5804" xr:uid="{60B0B123-0849-459D-92F5-B2840C231D07}"/>
    <cellStyle name="Normal 4 3 3 3 2 2 3" xfId="11591" xr:uid="{92FFC69E-E017-42AD-88E7-9C1F4E412166}"/>
    <cellStyle name="Normal 4 3 3 3 2 3" xfId="5164" xr:uid="{00000000-0005-0000-0000-00008A140000}"/>
    <cellStyle name="Normal 4 3 3 3 2 3 2" xfId="13659" xr:uid="{0EBBD8A7-980A-4028-ABA6-9E8DE08DDAE2}"/>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6217" xr:uid="{3D85E3EA-BAEB-492F-A268-2E8BCD80A7F7}"/>
    <cellStyle name="Normal 4 3 3 3 3 2 3" xfId="12004" xr:uid="{706C007C-4C27-4335-ACA4-01108557E9C0}"/>
    <cellStyle name="Normal 4 3 3 3 3 3" xfId="5577" xr:uid="{00000000-0005-0000-0000-00008E140000}"/>
    <cellStyle name="Normal 4 3 3 3 3 3 2" xfId="14072" xr:uid="{D19AB434-2FF4-449D-B681-611CAD8B46CB}"/>
    <cellStyle name="Normal 4 3 3 3 3 4" xfId="9859" xr:uid="{360C7185-8BB1-4A34-8DF1-BDD2DFDE07B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6630" xr:uid="{F46DC6CD-E0FE-402D-B9A7-5739864D466E}"/>
    <cellStyle name="Normal 4 3 3 3 4 2 3" xfId="12417" xr:uid="{A1D0A7A8-EB2D-4839-BC02-174E70257BF0}"/>
    <cellStyle name="Normal 4 3 3 3 4 3" xfId="5990" xr:uid="{00000000-0005-0000-0000-000092140000}"/>
    <cellStyle name="Normal 4 3 3 3 4 3 2" xfId="14485" xr:uid="{B7210556-8E28-447C-8361-E4367AEE5777}"/>
    <cellStyle name="Normal 4 3 3 3 4 4" xfId="10272" xr:uid="{D7AAAC68-4149-4093-9046-05FB6D2D2845}"/>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043" xr:uid="{E713F478-61AA-44BD-B73C-34E2ADF75446}"/>
    <cellStyle name="Normal 4 3 3 3 5 2 3" xfId="12830" xr:uid="{BE1D9809-FFAB-4C8A-8BC4-D344D48B241E}"/>
    <cellStyle name="Normal 4 3 3 3 5 3" xfId="6403" xr:uid="{00000000-0005-0000-0000-000096140000}"/>
    <cellStyle name="Normal 4 3 3 3 5 3 2" xfId="14898" xr:uid="{F1BF3967-604F-44FF-B9A2-7B5AC4781BC0}"/>
    <cellStyle name="Normal 4 3 3 3 5 4" xfId="10685" xr:uid="{057792C3-D445-40A0-9C65-DF1E8F9EF265}"/>
    <cellStyle name="Normal 4 3 3 3 6" xfId="2533" xr:uid="{00000000-0005-0000-0000-000097140000}"/>
    <cellStyle name="Normal 4 3 3 3 6 2" xfId="6816" xr:uid="{00000000-0005-0000-0000-000098140000}"/>
    <cellStyle name="Normal 4 3 3 3 6 2 2" xfId="15311" xr:uid="{513B43DE-6910-453C-93FA-4B8DC82A7C3B}"/>
    <cellStyle name="Normal 4 3 3 3 6 3" xfId="11098" xr:uid="{030C20BF-91A1-4D54-B3DD-6B72BC0BF570}"/>
    <cellStyle name="Normal 4 3 3 3 7" xfId="4751" xr:uid="{00000000-0005-0000-0000-000099140000}"/>
    <cellStyle name="Normal 4 3 3 3 7 2" xfId="13246" xr:uid="{E868C47A-94F7-4032-8DAC-F9DFE790F7C5}"/>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2 2 2" xfId="15801" xr:uid="{2F3BEFAD-5E2D-42FF-B860-86567464EB97}"/>
    <cellStyle name="Normal 4 3 3 4 2 3" xfId="11588" xr:uid="{471A0497-ADA9-4A64-AAE6-5AE01A62BC7F}"/>
    <cellStyle name="Normal 4 3 3 4 3" xfId="5161" xr:uid="{00000000-0005-0000-0000-00009D140000}"/>
    <cellStyle name="Normal 4 3 3 4 3 2" xfId="13656" xr:uid="{EC8D2585-42D7-4A06-88A1-1DFC96C9C0E5}"/>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2 2 2" xfId="16214" xr:uid="{1DCE3932-F332-4974-8C3B-8B468A584016}"/>
    <cellStyle name="Normal 4 3 3 5 2 3" xfId="12001" xr:uid="{F324A928-879A-4C27-9477-75ECE9DE2102}"/>
    <cellStyle name="Normal 4 3 3 5 3" xfId="5574" xr:uid="{00000000-0005-0000-0000-0000A1140000}"/>
    <cellStyle name="Normal 4 3 3 5 3 2" xfId="14069" xr:uid="{DF560B82-E445-4C91-B70C-CE35D47A0C35}"/>
    <cellStyle name="Normal 4 3 3 5 4" xfId="9856" xr:uid="{5D8492BE-9E85-4473-B375-4A390CE35DCC}"/>
    <cellStyle name="Normal 4 3 3 6" xfId="1680" xr:uid="{00000000-0005-0000-0000-0000A2140000}"/>
    <cellStyle name="Normal 4 3 3 6 2" xfId="3910" xr:uid="{00000000-0005-0000-0000-0000A3140000}"/>
    <cellStyle name="Normal 4 3 3 6 2 2" xfId="8132" xr:uid="{00000000-0005-0000-0000-0000A4140000}"/>
    <cellStyle name="Normal 4 3 3 6 2 2 2" xfId="16627" xr:uid="{514D92A4-5F1E-4D11-BC77-D71A37684FB0}"/>
    <cellStyle name="Normal 4 3 3 6 2 3" xfId="12414" xr:uid="{EA2F53B5-96AF-4D33-A55A-5ABFE66E5A47}"/>
    <cellStyle name="Normal 4 3 3 6 3" xfId="5987" xr:uid="{00000000-0005-0000-0000-0000A5140000}"/>
    <cellStyle name="Normal 4 3 3 6 3 2" xfId="14482" xr:uid="{EBF66AEC-002F-4FB6-AC99-06383870A7BA}"/>
    <cellStyle name="Normal 4 3 3 6 4" xfId="10269" xr:uid="{AF8BB0E0-6D54-49AF-A557-3AE5A181A078}"/>
    <cellStyle name="Normal 4 3 3 7" xfId="2094" xr:uid="{00000000-0005-0000-0000-0000A6140000}"/>
    <cellStyle name="Normal 4 3 3 7 2" xfId="4323" xr:uid="{00000000-0005-0000-0000-0000A7140000}"/>
    <cellStyle name="Normal 4 3 3 7 2 2" xfId="8545" xr:uid="{00000000-0005-0000-0000-0000A8140000}"/>
    <cellStyle name="Normal 4 3 3 7 2 2 2" xfId="17040" xr:uid="{2724CE58-C6B5-4DAC-98CA-FF477DFDCC41}"/>
    <cellStyle name="Normal 4 3 3 7 2 3" xfId="12827" xr:uid="{285F2E73-F547-41EB-A3BA-FCD176D0E7D7}"/>
    <cellStyle name="Normal 4 3 3 7 3" xfId="6400" xr:uid="{00000000-0005-0000-0000-0000A9140000}"/>
    <cellStyle name="Normal 4 3 3 7 3 2" xfId="14895" xr:uid="{A09E11F6-5028-4DE1-BC2F-1FB832AEB58B}"/>
    <cellStyle name="Normal 4 3 3 7 4" xfId="10682" xr:uid="{43A3AFCF-3E42-4E67-A8CE-11D1D09D4668}"/>
    <cellStyle name="Normal 4 3 3 8" xfId="2530" xr:uid="{00000000-0005-0000-0000-0000AA140000}"/>
    <cellStyle name="Normal 4 3 3 8 2" xfId="6813" xr:uid="{00000000-0005-0000-0000-0000AB140000}"/>
    <cellStyle name="Normal 4 3 3 8 2 2" xfId="15308" xr:uid="{B09274A1-6BE4-4913-A559-5BA387C01480}"/>
    <cellStyle name="Normal 4 3 3 8 3" xfId="11095" xr:uid="{C22D5FA6-3A04-4883-8153-E7A7F484CA47}"/>
    <cellStyle name="Normal 4 3 3 9" xfId="4748" xr:uid="{00000000-0005-0000-0000-0000AC140000}"/>
    <cellStyle name="Normal 4 3 3 9 2" xfId="13243" xr:uid="{682D3146-F2D0-4224-9F8B-4E933CDF1AD5}"/>
    <cellStyle name="Normal 4 3 4" xfId="842" xr:uid="{00000000-0005-0000-0000-0000AD140000}"/>
    <cellStyle name="Normal 4 3 4 2" xfId="3079" xr:uid="{00000000-0005-0000-0000-0000AE140000}"/>
    <cellStyle name="Normal 4 3 4 2 2" xfId="7301" xr:uid="{00000000-0005-0000-0000-0000AF140000}"/>
    <cellStyle name="Normal 4 3 4 2 2 2" xfId="15796" xr:uid="{E3281F09-3C65-4A06-B9F7-E5CFC106CA65}"/>
    <cellStyle name="Normal 4 3 4 2 3" xfId="11583" xr:uid="{52C9724B-41A4-4640-BC6C-CA933FA2DDDD}"/>
    <cellStyle name="Normal 4 3 4 3" xfId="5156" xr:uid="{00000000-0005-0000-0000-0000B0140000}"/>
    <cellStyle name="Normal 4 3 4 3 2" xfId="13651" xr:uid="{08251C72-7D5D-4052-9869-4CA848A2ED39}"/>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2 2 2" xfId="16209" xr:uid="{F8D5A874-EF2D-4A26-8258-6FF23877B5B7}"/>
    <cellStyle name="Normal 4 3 5 2 3" xfId="11996" xr:uid="{7DBA406E-A4A8-4695-8C2D-C1B3BA98AEE9}"/>
    <cellStyle name="Normal 4 3 5 3" xfId="5569" xr:uid="{00000000-0005-0000-0000-0000B4140000}"/>
    <cellStyle name="Normal 4 3 5 3 2" xfId="14064" xr:uid="{C5F62FC4-B3B2-4F3A-94A6-46E02859DDAC}"/>
    <cellStyle name="Normal 4 3 5 4" xfId="9851" xr:uid="{06BADF0B-5B32-4CF9-B4D9-B7DC610A96D9}"/>
    <cellStyle name="Normal 4 3 6" xfId="1675" xr:uid="{00000000-0005-0000-0000-0000B5140000}"/>
    <cellStyle name="Normal 4 3 6 2" xfId="3905" xr:uid="{00000000-0005-0000-0000-0000B6140000}"/>
    <cellStyle name="Normal 4 3 6 2 2" xfId="8127" xr:uid="{00000000-0005-0000-0000-0000B7140000}"/>
    <cellStyle name="Normal 4 3 6 2 2 2" xfId="16622" xr:uid="{FEBED9C7-7DFA-42CC-8D2E-BA72446A5097}"/>
    <cellStyle name="Normal 4 3 6 2 3" xfId="12409" xr:uid="{3D48F320-668E-44DC-A88A-3D1CF8AE317B}"/>
    <cellStyle name="Normal 4 3 6 3" xfId="5982" xr:uid="{00000000-0005-0000-0000-0000B8140000}"/>
    <cellStyle name="Normal 4 3 6 3 2" xfId="14477" xr:uid="{6D8A765E-68AC-47C0-A883-E2D277ED6371}"/>
    <cellStyle name="Normal 4 3 6 4" xfId="10264" xr:uid="{42EFC5E4-FAD5-4C2B-AE3E-3289BA3CC6A8}"/>
    <cellStyle name="Normal 4 3 7" xfId="2089" xr:uid="{00000000-0005-0000-0000-0000B9140000}"/>
    <cellStyle name="Normal 4 3 7 2" xfId="4318" xr:uid="{00000000-0005-0000-0000-0000BA140000}"/>
    <cellStyle name="Normal 4 3 7 2 2" xfId="8540" xr:uid="{00000000-0005-0000-0000-0000BB140000}"/>
    <cellStyle name="Normal 4 3 7 2 2 2" xfId="17035" xr:uid="{3A222096-26CA-4CAC-81C5-9BC9BC782799}"/>
    <cellStyle name="Normal 4 3 7 2 3" xfId="12822" xr:uid="{1044E42F-1B79-439F-9FE9-9DC37A18B378}"/>
    <cellStyle name="Normal 4 3 7 3" xfId="6395" xr:uid="{00000000-0005-0000-0000-0000BC140000}"/>
    <cellStyle name="Normal 4 3 7 3 2" xfId="14890" xr:uid="{21F473A4-476F-4682-B610-42E05E1A0BF8}"/>
    <cellStyle name="Normal 4 3 7 4" xfId="10677" xr:uid="{EA2339BE-6B8C-40CA-8034-FBD441D50739}"/>
    <cellStyle name="Normal 4 3 8" xfId="2525" xr:uid="{00000000-0005-0000-0000-0000BD140000}"/>
    <cellStyle name="Normal 4 3 8 2" xfId="6808" xr:uid="{00000000-0005-0000-0000-0000BE140000}"/>
    <cellStyle name="Normal 4 3 8 2 2" xfId="15303" xr:uid="{D516E285-8138-458B-B00F-D4553871B3DB}"/>
    <cellStyle name="Normal 4 3 8 3" xfId="11090" xr:uid="{8453912A-936C-40B3-9261-5617F8C86652}"/>
    <cellStyle name="Normal 4 3 9" xfId="4743" xr:uid="{00000000-0005-0000-0000-0000BF140000}"/>
    <cellStyle name="Normal 4 3 9 2" xfId="13238" xr:uid="{77C54924-CB39-468B-A970-AF131A1685C4}"/>
    <cellStyle name="Normal 4 4" xfId="378" xr:uid="{00000000-0005-0000-0000-0000C0140000}"/>
    <cellStyle name="Normal 4 4 10" xfId="2534" xr:uid="{00000000-0005-0000-0000-0000C1140000}"/>
    <cellStyle name="Normal 4 4 10 2" xfId="6817" xr:uid="{00000000-0005-0000-0000-0000C2140000}"/>
    <cellStyle name="Normal 4 4 10 2 2" xfId="15312" xr:uid="{F977B0D8-DBB3-4624-9175-953D37684D47}"/>
    <cellStyle name="Normal 4 4 10 3" xfId="11099" xr:uid="{E1F98AAF-60C3-4999-A752-3C735F2261D3}"/>
    <cellStyle name="Normal 4 4 11" xfId="4752" xr:uid="{00000000-0005-0000-0000-0000C3140000}"/>
    <cellStyle name="Normal 4 4 11 2" xfId="13247" xr:uid="{A9CD691B-32B0-4BAB-B904-625F3C56FF4C}"/>
    <cellStyle name="Normal 4 4 12" xfId="8749" xr:uid="{A91736B6-873D-4B1A-8B29-18DC69E5E65F}"/>
    <cellStyle name="Normal 4 4 2" xfId="379" xr:uid="{00000000-0005-0000-0000-0000C4140000}"/>
    <cellStyle name="Normal 4 4 2 10" xfId="4753" xr:uid="{00000000-0005-0000-0000-0000C5140000}"/>
    <cellStyle name="Normal 4 4 2 10 2" xfId="13248" xr:uid="{A32D8408-38ED-45CE-90DB-4AD804923F4B}"/>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5809" xr:uid="{9932356F-1144-4CD3-A8FC-4C5D7DC8AD4D}"/>
    <cellStyle name="Normal 4 4 2 2 2 2 2 2 3" xfId="11596" xr:uid="{BA4C832F-0647-43F1-98DB-E9A4935D1DFC}"/>
    <cellStyle name="Normal 4 4 2 2 2 2 2 3" xfId="5169" xr:uid="{00000000-0005-0000-0000-0000CC140000}"/>
    <cellStyle name="Normal 4 4 2 2 2 2 2 3 2" xfId="13664" xr:uid="{51657F9D-676A-4D73-A1A6-F10DEDCEB28E}"/>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6222" xr:uid="{4F427A6C-B20A-45C1-AF6D-56B35592E673}"/>
    <cellStyle name="Normal 4 4 2 2 2 2 3 2 3" xfId="12009" xr:uid="{EDE1067A-8B8F-4A44-A143-DBE1A7A7737E}"/>
    <cellStyle name="Normal 4 4 2 2 2 2 3 3" xfId="5582" xr:uid="{00000000-0005-0000-0000-0000D0140000}"/>
    <cellStyle name="Normal 4 4 2 2 2 2 3 3 2" xfId="14077" xr:uid="{048D5468-24C5-4625-981C-069AE2525952}"/>
    <cellStyle name="Normal 4 4 2 2 2 2 3 4" xfId="9864" xr:uid="{36A3235F-4153-48E8-9D92-708FE6F188FD}"/>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6635" xr:uid="{EDAD4C35-AD4B-4EF5-B835-F82EF49D9F2D}"/>
    <cellStyle name="Normal 4 4 2 2 2 2 4 2 3" xfId="12422" xr:uid="{4212A58B-7D5E-4D0D-9425-02A9FDEF9FEB}"/>
    <cellStyle name="Normal 4 4 2 2 2 2 4 3" xfId="5995" xr:uid="{00000000-0005-0000-0000-0000D4140000}"/>
    <cellStyle name="Normal 4 4 2 2 2 2 4 3 2" xfId="14490" xr:uid="{EA1B5D47-513B-4A65-9006-7C769BAD2AC9}"/>
    <cellStyle name="Normal 4 4 2 2 2 2 4 4" xfId="10277" xr:uid="{89D17A7C-74EC-4163-8DD6-720117B8A78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048" xr:uid="{9EFADE5B-380D-4BB4-BF27-AF71DA412A41}"/>
    <cellStyle name="Normal 4 4 2 2 2 2 5 2 3" xfId="12835" xr:uid="{D9101F09-5560-41F1-B711-CCD1FA93E848}"/>
    <cellStyle name="Normal 4 4 2 2 2 2 5 3" xfId="6408" xr:uid="{00000000-0005-0000-0000-0000D8140000}"/>
    <cellStyle name="Normal 4 4 2 2 2 2 5 3 2" xfId="14903" xr:uid="{A85AF2CA-A10E-4CF2-BEF0-253EB3D0AB9E}"/>
    <cellStyle name="Normal 4 4 2 2 2 2 5 4" xfId="10690" xr:uid="{EA72A054-268A-4603-8C35-0BFBD891556A}"/>
    <cellStyle name="Normal 4 4 2 2 2 2 6" xfId="2538" xr:uid="{00000000-0005-0000-0000-0000D9140000}"/>
    <cellStyle name="Normal 4 4 2 2 2 2 6 2" xfId="6821" xr:uid="{00000000-0005-0000-0000-0000DA140000}"/>
    <cellStyle name="Normal 4 4 2 2 2 2 6 2 2" xfId="15316" xr:uid="{947916C4-001E-4366-8B4D-5647D5593651}"/>
    <cellStyle name="Normal 4 4 2 2 2 2 6 3" xfId="11103" xr:uid="{43CDB228-973B-4430-A679-0CCB222787BB}"/>
    <cellStyle name="Normal 4 4 2 2 2 2 7" xfId="4756" xr:uid="{00000000-0005-0000-0000-0000DB140000}"/>
    <cellStyle name="Normal 4 4 2 2 2 2 7 2" xfId="13251" xr:uid="{04CA7FC1-478A-40AE-8311-E8B6C289FE78}"/>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5808" xr:uid="{26837B3B-AB7E-4E0A-9ECB-17433F633082}"/>
    <cellStyle name="Normal 4 4 2 2 2 3 2 3" xfId="11595" xr:uid="{010F6E5D-B743-4F91-8F54-2CB64DB227F3}"/>
    <cellStyle name="Normal 4 4 2 2 2 3 3" xfId="5168" xr:uid="{00000000-0005-0000-0000-0000DF140000}"/>
    <cellStyle name="Normal 4 4 2 2 2 3 3 2" xfId="13663" xr:uid="{5D35690D-91E0-4E04-9504-A5CB434E7A3A}"/>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6221" xr:uid="{54942803-725C-4E39-84BD-0A8A890E8B48}"/>
    <cellStyle name="Normal 4 4 2 2 2 4 2 3" xfId="12008" xr:uid="{94B109E8-7D49-49C0-86FD-C320F8E64100}"/>
    <cellStyle name="Normal 4 4 2 2 2 4 3" xfId="5581" xr:uid="{00000000-0005-0000-0000-0000E3140000}"/>
    <cellStyle name="Normal 4 4 2 2 2 4 3 2" xfId="14076" xr:uid="{2A564657-29D1-404B-8FED-736808F8EFA5}"/>
    <cellStyle name="Normal 4 4 2 2 2 4 4" xfId="9863" xr:uid="{6CA8C82D-7852-4609-8449-E940BA94B26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6634" xr:uid="{05088E46-CAB7-4260-A000-1D4A8C38358F}"/>
    <cellStyle name="Normal 4 4 2 2 2 5 2 3" xfId="12421" xr:uid="{A52CD6CD-422E-49A8-AFC4-C6901A45AE61}"/>
    <cellStyle name="Normal 4 4 2 2 2 5 3" xfId="5994" xr:uid="{00000000-0005-0000-0000-0000E7140000}"/>
    <cellStyle name="Normal 4 4 2 2 2 5 3 2" xfId="14489" xr:uid="{9337A2B0-FC10-45F3-9ACA-10236B2E6DB2}"/>
    <cellStyle name="Normal 4 4 2 2 2 5 4" xfId="10276" xr:uid="{B603C3F9-58A1-4ED7-BC8E-D90FC222243C}"/>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047" xr:uid="{08B2B07B-C2FC-4652-A660-F65AC3C84187}"/>
    <cellStyle name="Normal 4 4 2 2 2 6 2 3" xfId="12834" xr:uid="{1F08F132-6212-4D9D-9B0F-30B5E4E2FF6A}"/>
    <cellStyle name="Normal 4 4 2 2 2 6 3" xfId="6407" xr:uid="{00000000-0005-0000-0000-0000EB140000}"/>
    <cellStyle name="Normal 4 4 2 2 2 6 3 2" xfId="14902" xr:uid="{232620F2-ADED-4563-B90D-8C031BFFF965}"/>
    <cellStyle name="Normal 4 4 2 2 2 6 4" xfId="10689" xr:uid="{56F09CDE-A9EB-46CE-BE89-179CAEADC142}"/>
    <cellStyle name="Normal 4 4 2 2 2 7" xfId="2537" xr:uid="{00000000-0005-0000-0000-0000EC140000}"/>
    <cellStyle name="Normal 4 4 2 2 2 7 2" xfId="6820" xr:uid="{00000000-0005-0000-0000-0000ED140000}"/>
    <cellStyle name="Normal 4 4 2 2 2 7 2 2" xfId="15315" xr:uid="{F61745BD-61E5-40C9-9DD9-C36D9B0D5101}"/>
    <cellStyle name="Normal 4 4 2 2 2 7 3" xfId="11102" xr:uid="{C6033D42-08D5-4728-B6F9-3C50A8F074F9}"/>
    <cellStyle name="Normal 4 4 2 2 2 8" xfId="4755" xr:uid="{00000000-0005-0000-0000-0000EE140000}"/>
    <cellStyle name="Normal 4 4 2 2 2 8 2" xfId="13250" xr:uid="{D069761F-D5B4-46C0-BE25-D3EAEDD49B15}"/>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5810" xr:uid="{3166AFDE-928C-41DF-9660-00B1E64DA44C}"/>
    <cellStyle name="Normal 4 4 2 2 3 2 2 3" xfId="11597" xr:uid="{2A534A0A-30D0-42E7-A92E-7D353B94CFCF}"/>
    <cellStyle name="Normal 4 4 2 2 3 2 3" xfId="5170" xr:uid="{00000000-0005-0000-0000-0000F3140000}"/>
    <cellStyle name="Normal 4 4 2 2 3 2 3 2" xfId="13665" xr:uid="{9C1B570D-7252-4227-BB1A-9E1B5DA398A4}"/>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6223" xr:uid="{024691CB-9F1A-486B-86CC-FB0AC97D9F93}"/>
    <cellStyle name="Normal 4 4 2 2 3 3 2 3" xfId="12010" xr:uid="{ACE0CC4F-27A2-4925-991F-EB9F74E3BE14}"/>
    <cellStyle name="Normal 4 4 2 2 3 3 3" xfId="5583" xr:uid="{00000000-0005-0000-0000-0000F7140000}"/>
    <cellStyle name="Normal 4 4 2 2 3 3 3 2" xfId="14078" xr:uid="{5B3A3E81-DA5F-4E19-A194-69C9228D8129}"/>
    <cellStyle name="Normal 4 4 2 2 3 3 4" xfId="9865" xr:uid="{A90AEE63-2D33-48DA-AA32-084B7D0EC445}"/>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6636" xr:uid="{17D924CC-7302-459C-A53E-7A1328DE413C}"/>
    <cellStyle name="Normal 4 4 2 2 3 4 2 3" xfId="12423" xr:uid="{3F947D35-3594-4D3A-AA2F-ED8094DD2CC3}"/>
    <cellStyle name="Normal 4 4 2 2 3 4 3" xfId="5996" xr:uid="{00000000-0005-0000-0000-0000FB140000}"/>
    <cellStyle name="Normal 4 4 2 2 3 4 3 2" xfId="14491" xr:uid="{67DD2215-6AD9-4E39-987C-877D1BD7C9C5}"/>
    <cellStyle name="Normal 4 4 2 2 3 4 4" xfId="10278" xr:uid="{C84CD9EA-B216-4A43-88F9-5295B3352DF6}"/>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049" xr:uid="{0C987EB6-25A8-4B99-AACE-13A3159FE67A}"/>
    <cellStyle name="Normal 4 4 2 2 3 5 2 3" xfId="12836" xr:uid="{28B1A962-7EA1-4A57-AE76-C6D1EBD8473D}"/>
    <cellStyle name="Normal 4 4 2 2 3 5 3" xfId="6409" xr:uid="{00000000-0005-0000-0000-0000FF140000}"/>
    <cellStyle name="Normal 4 4 2 2 3 5 3 2" xfId="14904" xr:uid="{424615FC-33A9-4873-B543-901BEBCDB7CD}"/>
    <cellStyle name="Normal 4 4 2 2 3 5 4" xfId="10691" xr:uid="{9261D61A-A802-4929-9ECD-E038CDEB9CEA}"/>
    <cellStyle name="Normal 4 4 2 2 3 6" xfId="2539" xr:uid="{00000000-0005-0000-0000-000000150000}"/>
    <cellStyle name="Normal 4 4 2 2 3 6 2" xfId="6822" xr:uid="{00000000-0005-0000-0000-000001150000}"/>
    <cellStyle name="Normal 4 4 2 2 3 6 2 2" xfId="15317" xr:uid="{B5244054-BDF5-43B4-97C8-29596D60A457}"/>
    <cellStyle name="Normal 4 4 2 2 3 6 3" xfId="11104" xr:uid="{7D50EDB7-F746-4722-8714-0C955B1CAA8E}"/>
    <cellStyle name="Normal 4 4 2 2 3 7" xfId="4757" xr:uid="{00000000-0005-0000-0000-000002150000}"/>
    <cellStyle name="Normal 4 4 2 2 3 7 2" xfId="13252" xr:uid="{740536F1-4643-46DB-882E-D7799291AE6B}"/>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5807" xr:uid="{B21D2680-F2EA-4233-B0E0-70791AC33DBC}"/>
    <cellStyle name="Normal 4 4 2 2 4 2 3" xfId="11594" xr:uid="{98249CDC-F9BF-4741-94C7-0607DD51F886}"/>
    <cellStyle name="Normal 4 4 2 2 4 3" xfId="5167" xr:uid="{00000000-0005-0000-0000-000006150000}"/>
    <cellStyle name="Normal 4 4 2 2 4 3 2" xfId="13662" xr:uid="{34EEF652-4AC2-4377-A4B6-3C202DD56E5F}"/>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6220" xr:uid="{E62A31EF-7FA2-4736-B73C-398C1B493F5B}"/>
    <cellStyle name="Normal 4 4 2 2 5 2 3" xfId="12007" xr:uid="{1D6837B3-2FF9-4F34-AD1D-B24A6AC8D4AC}"/>
    <cellStyle name="Normal 4 4 2 2 5 3" xfId="5580" xr:uid="{00000000-0005-0000-0000-00000A150000}"/>
    <cellStyle name="Normal 4 4 2 2 5 3 2" xfId="14075" xr:uid="{31CCA21D-2489-4A87-A77E-6DE9E330009F}"/>
    <cellStyle name="Normal 4 4 2 2 5 4" xfId="9862" xr:uid="{9ECC01C0-A681-4E3B-B9B5-0F2E3B4B8111}"/>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6633" xr:uid="{91C59696-5A5B-42A4-9102-13D2D5660FCD}"/>
    <cellStyle name="Normal 4 4 2 2 6 2 3" xfId="12420" xr:uid="{E067A792-FBFD-4514-8A8F-5AAF08FD1530}"/>
    <cellStyle name="Normal 4 4 2 2 6 3" xfId="5993" xr:uid="{00000000-0005-0000-0000-00000E150000}"/>
    <cellStyle name="Normal 4 4 2 2 6 3 2" xfId="14488" xr:uid="{5C8EB646-102C-4031-AA6A-D8AF221C7C44}"/>
    <cellStyle name="Normal 4 4 2 2 6 4" xfId="10275" xr:uid="{3804C3D8-CF39-4CDF-A856-E23BA7DF693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046" xr:uid="{423F1915-EA40-4608-A65C-1EC92700FCD9}"/>
    <cellStyle name="Normal 4 4 2 2 7 2 3" xfId="12833" xr:uid="{F9070BFF-7440-43AF-BC1D-B994FC97313E}"/>
    <cellStyle name="Normal 4 4 2 2 7 3" xfId="6406" xr:uid="{00000000-0005-0000-0000-000012150000}"/>
    <cellStyle name="Normal 4 4 2 2 7 3 2" xfId="14901" xr:uid="{B3816A91-E1A8-4C08-B645-BA27A55BB66A}"/>
    <cellStyle name="Normal 4 4 2 2 7 4" xfId="10688" xr:uid="{33234EB1-921B-438C-A5B1-4ED674107E0A}"/>
    <cellStyle name="Normal 4 4 2 2 8" xfId="2536" xr:uid="{00000000-0005-0000-0000-000013150000}"/>
    <cellStyle name="Normal 4 4 2 2 8 2" xfId="6819" xr:uid="{00000000-0005-0000-0000-000014150000}"/>
    <cellStyle name="Normal 4 4 2 2 8 2 2" xfId="15314" xr:uid="{C02B4A7B-6DF9-421C-B2FE-AAC75824FD68}"/>
    <cellStyle name="Normal 4 4 2 2 8 3" xfId="11101" xr:uid="{E049E1C6-69C4-4DA6-AEDB-E7B887D50590}"/>
    <cellStyle name="Normal 4 4 2 2 9" xfId="4754" xr:uid="{00000000-0005-0000-0000-000015150000}"/>
    <cellStyle name="Normal 4 4 2 2 9 2" xfId="13249" xr:uid="{C1965428-ECD2-428D-9DCF-075A4AF7B3CE}"/>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5812" xr:uid="{1760D983-E863-4BE1-9BE5-483E0EEAB809}"/>
    <cellStyle name="Normal 4 4 2 3 2 2 2 3" xfId="11599" xr:uid="{1C56CF4F-962F-464D-8326-B33534CBBE0B}"/>
    <cellStyle name="Normal 4 4 2 3 2 2 3" xfId="5172" xr:uid="{00000000-0005-0000-0000-00001B150000}"/>
    <cellStyle name="Normal 4 4 2 3 2 2 3 2" xfId="13667" xr:uid="{D4060B06-4B77-4B1E-8936-670484B7DE41}"/>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6225" xr:uid="{532F3A47-B32F-4684-AD93-BFBF64BCBFA1}"/>
    <cellStyle name="Normal 4 4 2 3 2 3 2 3" xfId="12012" xr:uid="{7D474EF4-A4C5-4B1C-B03E-D5077E594D24}"/>
    <cellStyle name="Normal 4 4 2 3 2 3 3" xfId="5585" xr:uid="{00000000-0005-0000-0000-00001F150000}"/>
    <cellStyle name="Normal 4 4 2 3 2 3 3 2" xfId="14080" xr:uid="{0AC9B36B-0B7E-493F-89E6-BD40A190BD15}"/>
    <cellStyle name="Normal 4 4 2 3 2 3 4" xfId="9867" xr:uid="{09B35626-C11C-4F33-B831-A39A5739E9BF}"/>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6638" xr:uid="{C7CBBC89-A4D6-4822-9BD1-80EE5408E152}"/>
    <cellStyle name="Normal 4 4 2 3 2 4 2 3" xfId="12425" xr:uid="{AE238EA9-1B4F-472A-B91C-9C57CEE2F0E5}"/>
    <cellStyle name="Normal 4 4 2 3 2 4 3" xfId="5998" xr:uid="{00000000-0005-0000-0000-000023150000}"/>
    <cellStyle name="Normal 4 4 2 3 2 4 3 2" xfId="14493" xr:uid="{16A42C9D-1B93-493E-8C1F-58FC0225CDF7}"/>
    <cellStyle name="Normal 4 4 2 3 2 4 4" xfId="10280" xr:uid="{104C812E-852F-4625-8AB7-474046E9E426}"/>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051" xr:uid="{33FE1DA9-E153-4969-A6B0-D1C05FD1B2EC}"/>
    <cellStyle name="Normal 4 4 2 3 2 5 2 3" xfId="12838" xr:uid="{0B20083E-2DE3-4CB3-A29C-1AB0ABF1337F}"/>
    <cellStyle name="Normal 4 4 2 3 2 5 3" xfId="6411" xr:uid="{00000000-0005-0000-0000-000027150000}"/>
    <cellStyle name="Normal 4 4 2 3 2 5 3 2" xfId="14906" xr:uid="{0659B989-AD5B-4060-A3B1-7E8A85110107}"/>
    <cellStyle name="Normal 4 4 2 3 2 5 4" xfId="10693" xr:uid="{3F86EF59-98BD-4572-BE9A-7EE85EE24305}"/>
    <cellStyle name="Normal 4 4 2 3 2 6" xfId="2541" xr:uid="{00000000-0005-0000-0000-000028150000}"/>
    <cellStyle name="Normal 4 4 2 3 2 6 2" xfId="6824" xr:uid="{00000000-0005-0000-0000-000029150000}"/>
    <cellStyle name="Normal 4 4 2 3 2 6 2 2" xfId="15319" xr:uid="{5701874A-B97A-4E16-A4AB-3AD08CB2F7E5}"/>
    <cellStyle name="Normal 4 4 2 3 2 6 3" xfId="11106" xr:uid="{BF792BB6-3480-4BE3-A9DF-350792B4B53C}"/>
    <cellStyle name="Normal 4 4 2 3 2 7" xfId="4759" xr:uid="{00000000-0005-0000-0000-00002A150000}"/>
    <cellStyle name="Normal 4 4 2 3 2 7 2" xfId="13254" xr:uid="{F2070FFF-190B-4E71-BB7B-0700AB94A84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5811" xr:uid="{D8787469-FBAE-43E0-B504-120784D123CE}"/>
    <cellStyle name="Normal 4 4 2 3 3 2 3" xfId="11598" xr:uid="{6D383514-AEEC-4988-87F4-9762C968344C}"/>
    <cellStyle name="Normal 4 4 2 3 3 3" xfId="5171" xr:uid="{00000000-0005-0000-0000-00002E150000}"/>
    <cellStyle name="Normal 4 4 2 3 3 3 2" xfId="13666" xr:uid="{DE94695C-F1AA-477F-9A24-419F50C00386}"/>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6224" xr:uid="{462233FE-01F2-4824-BF4C-BA0D01BB3626}"/>
    <cellStyle name="Normal 4 4 2 3 4 2 3" xfId="12011" xr:uid="{756EF4D2-A7DF-4BDB-B929-B466164B5C0B}"/>
    <cellStyle name="Normal 4 4 2 3 4 3" xfId="5584" xr:uid="{00000000-0005-0000-0000-000032150000}"/>
    <cellStyle name="Normal 4 4 2 3 4 3 2" xfId="14079" xr:uid="{FA20EB77-19B1-419E-960E-BB6044D459AC}"/>
    <cellStyle name="Normal 4 4 2 3 4 4" xfId="9866" xr:uid="{1BD00078-B416-454F-A852-0182F4371005}"/>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6637" xr:uid="{E9394016-2D87-4AD5-A014-803000E44CD0}"/>
    <cellStyle name="Normal 4 4 2 3 5 2 3" xfId="12424" xr:uid="{5045FB85-5441-4FBA-A7C6-104578DAA827}"/>
    <cellStyle name="Normal 4 4 2 3 5 3" xfId="5997" xr:uid="{00000000-0005-0000-0000-000036150000}"/>
    <cellStyle name="Normal 4 4 2 3 5 3 2" xfId="14492" xr:uid="{A3FD2C14-4B98-423E-90AA-2AB0377943F3}"/>
    <cellStyle name="Normal 4 4 2 3 5 4" xfId="10279" xr:uid="{F57B91F0-1BE7-422D-AFB2-8A7D117BBC3F}"/>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050" xr:uid="{DB146DD7-7D01-4122-A9C6-38BA9D6CFB11}"/>
    <cellStyle name="Normal 4 4 2 3 6 2 3" xfId="12837" xr:uid="{70462FAF-06F3-4993-8299-661025D60BC1}"/>
    <cellStyle name="Normal 4 4 2 3 6 3" xfId="6410" xr:uid="{00000000-0005-0000-0000-00003A150000}"/>
    <cellStyle name="Normal 4 4 2 3 6 3 2" xfId="14905" xr:uid="{7C7DC4E9-599D-409A-9D3F-6BFF4ABBE1F4}"/>
    <cellStyle name="Normal 4 4 2 3 6 4" xfId="10692" xr:uid="{FF8ADC55-9182-4B93-9682-4EDEC69A36B7}"/>
    <cellStyle name="Normal 4 4 2 3 7" xfId="2540" xr:uid="{00000000-0005-0000-0000-00003B150000}"/>
    <cellStyle name="Normal 4 4 2 3 7 2" xfId="6823" xr:uid="{00000000-0005-0000-0000-00003C150000}"/>
    <cellStyle name="Normal 4 4 2 3 7 2 2" xfId="15318" xr:uid="{31E74898-DF6C-4730-98C5-DEC1EE370E59}"/>
    <cellStyle name="Normal 4 4 2 3 7 3" xfId="11105" xr:uid="{C542146C-437E-481C-AA3E-125A2C62C481}"/>
    <cellStyle name="Normal 4 4 2 3 8" xfId="4758" xr:uid="{00000000-0005-0000-0000-00003D150000}"/>
    <cellStyle name="Normal 4 4 2 3 8 2" xfId="13253" xr:uid="{2C040303-A498-4C75-A28F-7B208072585E}"/>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5813" xr:uid="{00CF0159-19A8-4989-A526-45023BCEDBDF}"/>
    <cellStyle name="Normal 4 4 2 4 2 2 3" xfId="11600" xr:uid="{535A8E37-7BE3-4B4D-8109-DE3227FF5705}"/>
    <cellStyle name="Normal 4 4 2 4 2 3" xfId="5173" xr:uid="{00000000-0005-0000-0000-000042150000}"/>
    <cellStyle name="Normal 4 4 2 4 2 3 2" xfId="13668" xr:uid="{36D14054-99CE-46F5-B52C-1D262717D90A}"/>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6226" xr:uid="{6B43F737-3818-43C1-8BA8-AA507DC4706F}"/>
    <cellStyle name="Normal 4 4 2 4 3 2 3" xfId="12013" xr:uid="{B3F2706C-C888-4766-882A-36A7B8036FA8}"/>
    <cellStyle name="Normal 4 4 2 4 3 3" xfId="5586" xr:uid="{00000000-0005-0000-0000-000046150000}"/>
    <cellStyle name="Normal 4 4 2 4 3 3 2" xfId="14081" xr:uid="{9E413F5D-2F20-43D4-A8C7-168BB40AD64B}"/>
    <cellStyle name="Normal 4 4 2 4 3 4" xfId="9868" xr:uid="{12B4872A-848E-487C-85BA-0CE5C504C9B0}"/>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6639" xr:uid="{39ED6DC3-7248-4BDA-8BD3-1D4E3ED4FACE}"/>
    <cellStyle name="Normal 4 4 2 4 4 2 3" xfId="12426" xr:uid="{D9335C25-1003-46D5-AF73-00536DEF11D5}"/>
    <cellStyle name="Normal 4 4 2 4 4 3" xfId="5999" xr:uid="{00000000-0005-0000-0000-00004A150000}"/>
    <cellStyle name="Normal 4 4 2 4 4 3 2" xfId="14494" xr:uid="{9755D07F-969D-40F8-9A5B-60B7B80428BB}"/>
    <cellStyle name="Normal 4 4 2 4 4 4" xfId="10281" xr:uid="{2C2CF070-62B9-43A3-A09F-8F2822AF4EE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052" xr:uid="{66A737EC-EF61-4BFA-9D29-29F88FC88736}"/>
    <cellStyle name="Normal 4 4 2 4 5 2 3" xfId="12839" xr:uid="{00064EAA-F733-4AF0-B8B9-0AB844DBD288}"/>
    <cellStyle name="Normal 4 4 2 4 5 3" xfId="6412" xr:uid="{00000000-0005-0000-0000-00004E150000}"/>
    <cellStyle name="Normal 4 4 2 4 5 3 2" xfId="14907" xr:uid="{B6B8F306-E3FE-40B6-8138-C9608471D620}"/>
    <cellStyle name="Normal 4 4 2 4 5 4" xfId="10694" xr:uid="{16207273-EA4D-4D78-90F2-0FE4E7A0FA9E}"/>
    <cellStyle name="Normal 4 4 2 4 6" xfId="2542" xr:uid="{00000000-0005-0000-0000-00004F150000}"/>
    <cellStyle name="Normal 4 4 2 4 6 2" xfId="6825" xr:uid="{00000000-0005-0000-0000-000050150000}"/>
    <cellStyle name="Normal 4 4 2 4 6 2 2" xfId="15320" xr:uid="{4254772D-C5DF-46C4-B555-7EA109C9D954}"/>
    <cellStyle name="Normal 4 4 2 4 6 3" xfId="11107" xr:uid="{1A0C35A2-D919-4FD8-BE78-0F8D6715486D}"/>
    <cellStyle name="Normal 4 4 2 4 7" xfId="4760" xr:uid="{00000000-0005-0000-0000-000051150000}"/>
    <cellStyle name="Normal 4 4 2 4 7 2" xfId="13255" xr:uid="{CCB22430-70C7-4CB7-AA52-9EDB836C582F}"/>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2 2 2" xfId="15806" xr:uid="{FC29368A-624A-480B-9312-A5C111005DD4}"/>
    <cellStyle name="Normal 4 4 2 5 2 3" xfId="11593" xr:uid="{9E947A01-EBB4-4F8F-8D34-3CE65EB4E54D}"/>
    <cellStyle name="Normal 4 4 2 5 3" xfId="5166" xr:uid="{00000000-0005-0000-0000-000055150000}"/>
    <cellStyle name="Normal 4 4 2 5 3 2" xfId="13661" xr:uid="{39E0B6DC-CA6B-4A18-808F-E507274928E1}"/>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2 2 2" xfId="16219" xr:uid="{FC0025C8-D8A3-4C24-8A8B-E9E4B1C9F08F}"/>
    <cellStyle name="Normal 4 4 2 6 2 3" xfId="12006" xr:uid="{E3014944-5803-4F0E-83CA-33E852D51220}"/>
    <cellStyle name="Normal 4 4 2 6 3" xfId="5579" xr:uid="{00000000-0005-0000-0000-000059150000}"/>
    <cellStyle name="Normal 4 4 2 6 3 2" xfId="14074" xr:uid="{E10A0B89-1980-4BB5-88F4-D93FB8A7C96D}"/>
    <cellStyle name="Normal 4 4 2 6 4" xfId="9861" xr:uid="{80E1EAE8-03D9-42CD-895E-15CBD0EBCE52}"/>
    <cellStyle name="Normal 4 4 2 7" xfId="1685" xr:uid="{00000000-0005-0000-0000-00005A150000}"/>
    <cellStyle name="Normal 4 4 2 7 2" xfId="3915" xr:uid="{00000000-0005-0000-0000-00005B150000}"/>
    <cellStyle name="Normal 4 4 2 7 2 2" xfId="8137" xr:uid="{00000000-0005-0000-0000-00005C150000}"/>
    <cellStyle name="Normal 4 4 2 7 2 2 2" xfId="16632" xr:uid="{BB7A9685-9414-41FB-83F6-CC8C196E9EF8}"/>
    <cellStyle name="Normal 4 4 2 7 2 3" xfId="12419" xr:uid="{43B1B914-9931-4161-A63C-416DEE4E7AB9}"/>
    <cellStyle name="Normal 4 4 2 7 3" xfId="5992" xr:uid="{00000000-0005-0000-0000-00005D150000}"/>
    <cellStyle name="Normal 4 4 2 7 3 2" xfId="14487" xr:uid="{31434DAF-640E-4C23-826A-BDE357A6FE60}"/>
    <cellStyle name="Normal 4 4 2 7 4" xfId="10274" xr:uid="{F2BF647E-8C41-4433-9B05-47590FDEB7F2}"/>
    <cellStyle name="Normal 4 4 2 8" xfId="2099" xr:uid="{00000000-0005-0000-0000-00005E150000}"/>
    <cellStyle name="Normal 4 4 2 8 2" xfId="4328" xr:uid="{00000000-0005-0000-0000-00005F150000}"/>
    <cellStyle name="Normal 4 4 2 8 2 2" xfId="8550" xr:uid="{00000000-0005-0000-0000-000060150000}"/>
    <cellStyle name="Normal 4 4 2 8 2 2 2" xfId="17045" xr:uid="{A9B5D858-849C-41FE-AFA1-1E41D0BD3B15}"/>
    <cellStyle name="Normal 4 4 2 8 2 3" xfId="12832" xr:uid="{578399C4-68E6-4443-9F05-38DA5549DA94}"/>
    <cellStyle name="Normal 4 4 2 8 3" xfId="6405" xr:uid="{00000000-0005-0000-0000-000061150000}"/>
    <cellStyle name="Normal 4 4 2 8 3 2" xfId="14900" xr:uid="{62820D17-ECA1-48F5-98D6-3C841D53FC52}"/>
    <cellStyle name="Normal 4 4 2 8 4" xfId="10687" xr:uid="{863999D6-5779-40AC-BBD1-D640B654E6FB}"/>
    <cellStyle name="Normal 4 4 2 9" xfId="2535" xr:uid="{00000000-0005-0000-0000-000062150000}"/>
    <cellStyle name="Normal 4 4 2 9 2" xfId="6818" xr:uid="{00000000-0005-0000-0000-000063150000}"/>
    <cellStyle name="Normal 4 4 2 9 2 2" xfId="15313" xr:uid="{ADEB03EE-23DB-42AF-8456-5F4618D665EE}"/>
    <cellStyle name="Normal 4 4 2 9 3" xfId="11100" xr:uid="{6A99E100-3DB5-436E-B77F-BE75968B0B09}"/>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5816" xr:uid="{0F2D5EF3-3FB7-49F0-BC0B-8A2BBE14A67C}"/>
    <cellStyle name="Normal 4 4 3 2 2 2 2 3" xfId="11603" xr:uid="{102FE962-82EE-4900-9367-C3F339D260B6}"/>
    <cellStyle name="Normal 4 4 3 2 2 2 3" xfId="5176" xr:uid="{00000000-0005-0000-0000-00006A150000}"/>
    <cellStyle name="Normal 4 4 3 2 2 2 3 2" xfId="13671" xr:uid="{06A53DE3-D7C2-4C0B-8306-B9AF1D303CB8}"/>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6229" xr:uid="{A791F780-6763-488D-B933-DFA3A7EB71A4}"/>
    <cellStyle name="Normal 4 4 3 2 2 3 2 3" xfId="12016" xr:uid="{A575BC81-54EC-492C-BA18-1A8B40FEE415}"/>
    <cellStyle name="Normal 4 4 3 2 2 3 3" xfId="5589" xr:uid="{00000000-0005-0000-0000-00006E150000}"/>
    <cellStyle name="Normal 4 4 3 2 2 3 3 2" xfId="14084" xr:uid="{1A84F053-7DB3-493A-A633-BB4DBA873B50}"/>
    <cellStyle name="Normal 4 4 3 2 2 3 4" xfId="9871" xr:uid="{D38876A9-E012-4F49-89A3-16C6D35BEAB4}"/>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6642" xr:uid="{2ED1452B-6D61-4BAF-A963-9BEE516B6997}"/>
    <cellStyle name="Normal 4 4 3 2 2 4 2 3" xfId="12429" xr:uid="{9B74F980-91B2-4AEE-BFA1-4050D0EE0C1B}"/>
    <cellStyle name="Normal 4 4 3 2 2 4 3" xfId="6002" xr:uid="{00000000-0005-0000-0000-000072150000}"/>
    <cellStyle name="Normal 4 4 3 2 2 4 3 2" xfId="14497" xr:uid="{1580852F-CFF9-4A3E-8AA1-6773116D318D}"/>
    <cellStyle name="Normal 4 4 3 2 2 4 4" xfId="10284" xr:uid="{A7BEF631-5F85-4710-8815-C19A616E59B1}"/>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055" xr:uid="{518CC7A9-C3FB-4D61-B480-D1A34DB2729F}"/>
    <cellStyle name="Normal 4 4 3 2 2 5 2 3" xfId="12842" xr:uid="{F22AE46B-14CC-492B-8F73-A48F2EB89A78}"/>
    <cellStyle name="Normal 4 4 3 2 2 5 3" xfId="6415" xr:uid="{00000000-0005-0000-0000-000076150000}"/>
    <cellStyle name="Normal 4 4 3 2 2 5 3 2" xfId="14910" xr:uid="{AE6C4733-41E8-43C0-B14C-324D730E8EE3}"/>
    <cellStyle name="Normal 4 4 3 2 2 5 4" xfId="10697" xr:uid="{6C05F879-5D2D-4389-86D6-94B916BD428B}"/>
    <cellStyle name="Normal 4 4 3 2 2 6" xfId="2545" xr:uid="{00000000-0005-0000-0000-000077150000}"/>
    <cellStyle name="Normal 4 4 3 2 2 6 2" xfId="6828" xr:uid="{00000000-0005-0000-0000-000078150000}"/>
    <cellStyle name="Normal 4 4 3 2 2 6 2 2" xfId="15323" xr:uid="{BCF93DBB-1C19-4DB0-AD78-CC0380725AA0}"/>
    <cellStyle name="Normal 4 4 3 2 2 6 3" xfId="11110" xr:uid="{39928096-36F3-4908-A131-3D3475D1147F}"/>
    <cellStyle name="Normal 4 4 3 2 2 7" xfId="4763" xr:uid="{00000000-0005-0000-0000-000079150000}"/>
    <cellStyle name="Normal 4 4 3 2 2 7 2" xfId="13258" xr:uid="{3CF459CC-015C-4619-A8BD-EA54C3A15E9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5815" xr:uid="{1265B425-86F0-4D65-AD3F-8BF433B8E0F2}"/>
    <cellStyle name="Normal 4 4 3 2 3 2 3" xfId="11602" xr:uid="{AD0971F0-AA25-43BA-B930-F9CC473E74E2}"/>
    <cellStyle name="Normal 4 4 3 2 3 3" xfId="5175" xr:uid="{00000000-0005-0000-0000-00007D150000}"/>
    <cellStyle name="Normal 4 4 3 2 3 3 2" xfId="13670" xr:uid="{54A91560-230A-4909-AEB5-6336722D4178}"/>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6228" xr:uid="{8E1A84E6-7CBF-41BD-8D53-0153BD878834}"/>
    <cellStyle name="Normal 4 4 3 2 4 2 3" xfId="12015" xr:uid="{1FEBB6E9-EB5A-410A-89A1-BCBD75D7BE1E}"/>
    <cellStyle name="Normal 4 4 3 2 4 3" xfId="5588" xr:uid="{00000000-0005-0000-0000-000081150000}"/>
    <cellStyle name="Normal 4 4 3 2 4 3 2" xfId="14083" xr:uid="{243E9108-4477-4AFB-86C0-F4AA56D0F60A}"/>
    <cellStyle name="Normal 4 4 3 2 4 4" xfId="9870" xr:uid="{208DD00E-5ADD-45B3-9181-221B08E72997}"/>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6641" xr:uid="{DDAF532D-70ED-4942-B32A-411AD7CA3582}"/>
    <cellStyle name="Normal 4 4 3 2 5 2 3" xfId="12428" xr:uid="{F2954970-0B55-4DF2-9918-86FE1E986E2F}"/>
    <cellStyle name="Normal 4 4 3 2 5 3" xfId="6001" xr:uid="{00000000-0005-0000-0000-000085150000}"/>
    <cellStyle name="Normal 4 4 3 2 5 3 2" xfId="14496" xr:uid="{2D965153-D088-499A-8512-8A63DB327D53}"/>
    <cellStyle name="Normal 4 4 3 2 5 4" xfId="10283" xr:uid="{34C9B43A-5B67-4EED-A950-FC87AE1E7E08}"/>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054" xr:uid="{E4139605-1E34-4F29-A224-AF085FBA4245}"/>
    <cellStyle name="Normal 4 4 3 2 6 2 3" xfId="12841" xr:uid="{FF2334E8-441D-4CAD-878C-B0A3DE5A4F36}"/>
    <cellStyle name="Normal 4 4 3 2 6 3" xfId="6414" xr:uid="{00000000-0005-0000-0000-000089150000}"/>
    <cellStyle name="Normal 4 4 3 2 6 3 2" xfId="14909" xr:uid="{BDF679EB-CBCE-4E06-9C5F-10F74F98EC6D}"/>
    <cellStyle name="Normal 4 4 3 2 6 4" xfId="10696" xr:uid="{5152968B-D89C-48B9-81B2-31E32B055FA8}"/>
    <cellStyle name="Normal 4 4 3 2 7" xfId="2544" xr:uid="{00000000-0005-0000-0000-00008A150000}"/>
    <cellStyle name="Normal 4 4 3 2 7 2" xfId="6827" xr:uid="{00000000-0005-0000-0000-00008B150000}"/>
    <cellStyle name="Normal 4 4 3 2 7 2 2" xfId="15322" xr:uid="{CD103762-0E1A-40F1-B933-330233289C89}"/>
    <cellStyle name="Normal 4 4 3 2 7 3" xfId="11109" xr:uid="{B3DA3C10-A9A8-4248-B18B-CEF719C960D2}"/>
    <cellStyle name="Normal 4 4 3 2 8" xfId="4762" xr:uid="{00000000-0005-0000-0000-00008C150000}"/>
    <cellStyle name="Normal 4 4 3 2 8 2" xfId="13257" xr:uid="{6CBF0530-12AD-4561-A6B6-18AB314943C5}"/>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5817" xr:uid="{3928E921-91AC-4DD4-BE6C-28D41866B870}"/>
    <cellStyle name="Normal 4 4 3 3 2 2 3" xfId="11604" xr:uid="{59396C4F-9E50-4012-A74F-9B189EE3EEEC}"/>
    <cellStyle name="Normal 4 4 3 3 2 3" xfId="5177" xr:uid="{00000000-0005-0000-0000-000091150000}"/>
    <cellStyle name="Normal 4 4 3 3 2 3 2" xfId="13672" xr:uid="{9A4A3BC7-A522-4A17-817D-E77FC493867F}"/>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6230" xr:uid="{8CE24B63-5811-4D64-A614-4BBEC1286A5D}"/>
    <cellStyle name="Normal 4 4 3 3 3 2 3" xfId="12017" xr:uid="{A97515CB-F4B2-4721-A432-6360EE4ABE9F}"/>
    <cellStyle name="Normal 4 4 3 3 3 3" xfId="5590" xr:uid="{00000000-0005-0000-0000-000095150000}"/>
    <cellStyle name="Normal 4 4 3 3 3 3 2" xfId="14085" xr:uid="{31EEF4D5-1CF0-443B-85E1-B4E3BB4980F2}"/>
    <cellStyle name="Normal 4 4 3 3 3 4" xfId="9872" xr:uid="{98E693FE-733C-4D0B-879E-2E1D11BE3A82}"/>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6643" xr:uid="{B6CC5D22-8719-4CD5-A89B-1EF5F8D32AAB}"/>
    <cellStyle name="Normal 4 4 3 3 4 2 3" xfId="12430" xr:uid="{812A607C-437E-46F1-8F0C-4FF5EF6A81FB}"/>
    <cellStyle name="Normal 4 4 3 3 4 3" xfId="6003" xr:uid="{00000000-0005-0000-0000-000099150000}"/>
    <cellStyle name="Normal 4 4 3 3 4 3 2" xfId="14498" xr:uid="{CF43E14D-4C3B-4140-B25A-0E8F77367568}"/>
    <cellStyle name="Normal 4 4 3 3 4 4" xfId="10285" xr:uid="{62D9C574-DEE5-43A5-8782-F937BCDF0799}"/>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056" xr:uid="{9F85E0AC-F048-4940-8637-D4B5BB3D2A53}"/>
    <cellStyle name="Normal 4 4 3 3 5 2 3" xfId="12843" xr:uid="{A29E76BE-F73A-4D92-B910-FD1FA7F561F8}"/>
    <cellStyle name="Normal 4 4 3 3 5 3" xfId="6416" xr:uid="{00000000-0005-0000-0000-00009D150000}"/>
    <cellStyle name="Normal 4 4 3 3 5 3 2" xfId="14911" xr:uid="{68D64B30-C976-43D9-B67F-81D049EFF2E1}"/>
    <cellStyle name="Normal 4 4 3 3 5 4" xfId="10698" xr:uid="{C8A8A36D-220D-41E9-A71D-4DE003F3AE01}"/>
    <cellStyle name="Normal 4 4 3 3 6" xfId="2546" xr:uid="{00000000-0005-0000-0000-00009E150000}"/>
    <cellStyle name="Normal 4 4 3 3 6 2" xfId="6829" xr:uid="{00000000-0005-0000-0000-00009F150000}"/>
    <cellStyle name="Normal 4 4 3 3 6 2 2" xfId="15324" xr:uid="{81AF71BA-BC06-4577-95C6-20EB65C7BD0C}"/>
    <cellStyle name="Normal 4 4 3 3 6 3" xfId="11111" xr:uid="{B3F9A777-777E-4967-B8BB-55100AA54B4B}"/>
    <cellStyle name="Normal 4 4 3 3 7" xfId="4764" xr:uid="{00000000-0005-0000-0000-0000A0150000}"/>
    <cellStyle name="Normal 4 4 3 3 7 2" xfId="13259" xr:uid="{B5DE2751-83D3-473D-89B3-721FF350D37B}"/>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2 2 2" xfId="15814" xr:uid="{01169303-2290-4006-A72B-87FF44324ACE}"/>
    <cellStyle name="Normal 4 4 3 4 2 3" xfId="11601" xr:uid="{1B07AEC2-F9F4-4054-A6BB-6D614677B66C}"/>
    <cellStyle name="Normal 4 4 3 4 3" xfId="5174" xr:uid="{00000000-0005-0000-0000-0000A4150000}"/>
    <cellStyle name="Normal 4 4 3 4 3 2" xfId="13669" xr:uid="{371EB227-5F09-4D79-B6D9-BC6319A37EAA}"/>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2 2 2" xfId="16227" xr:uid="{C11C9398-7DC0-4A11-B150-ED8E960DF30D}"/>
    <cellStyle name="Normal 4 4 3 5 2 3" xfId="12014" xr:uid="{38660499-8343-4F10-8FF2-12556BB62F0F}"/>
    <cellStyle name="Normal 4 4 3 5 3" xfId="5587" xr:uid="{00000000-0005-0000-0000-0000A8150000}"/>
    <cellStyle name="Normal 4 4 3 5 3 2" xfId="14082" xr:uid="{13F8DA95-3B9A-4D85-829C-2454D498898E}"/>
    <cellStyle name="Normal 4 4 3 5 4" xfId="9869" xr:uid="{18DFC1DE-D735-47BD-8A3E-6AF1E2372980}"/>
    <cellStyle name="Normal 4 4 3 6" xfId="1693" xr:uid="{00000000-0005-0000-0000-0000A9150000}"/>
    <cellStyle name="Normal 4 4 3 6 2" xfId="3923" xr:uid="{00000000-0005-0000-0000-0000AA150000}"/>
    <cellStyle name="Normal 4 4 3 6 2 2" xfId="8145" xr:uid="{00000000-0005-0000-0000-0000AB150000}"/>
    <cellStyle name="Normal 4 4 3 6 2 2 2" xfId="16640" xr:uid="{3F590379-F395-4313-9BD4-085B8226AC7D}"/>
    <cellStyle name="Normal 4 4 3 6 2 3" xfId="12427" xr:uid="{9B553529-EF95-4110-BD08-E6754A7D027D}"/>
    <cellStyle name="Normal 4 4 3 6 3" xfId="6000" xr:uid="{00000000-0005-0000-0000-0000AC150000}"/>
    <cellStyle name="Normal 4 4 3 6 3 2" xfId="14495" xr:uid="{DFCD38EB-4A0A-47FE-B0D5-2A5103438046}"/>
    <cellStyle name="Normal 4 4 3 6 4" xfId="10282" xr:uid="{065A5C55-4107-459B-9F32-892482DD39EE}"/>
    <cellStyle name="Normal 4 4 3 7" xfId="2107" xr:uid="{00000000-0005-0000-0000-0000AD150000}"/>
    <cellStyle name="Normal 4 4 3 7 2" xfId="4336" xr:uid="{00000000-0005-0000-0000-0000AE150000}"/>
    <cellStyle name="Normal 4 4 3 7 2 2" xfId="8558" xr:uid="{00000000-0005-0000-0000-0000AF150000}"/>
    <cellStyle name="Normal 4 4 3 7 2 2 2" xfId="17053" xr:uid="{00F36A34-A7A3-4412-990D-3D29A50A86FD}"/>
    <cellStyle name="Normal 4 4 3 7 2 3" xfId="12840" xr:uid="{832E2762-1512-4A93-9F68-5EB7530F4092}"/>
    <cellStyle name="Normal 4 4 3 7 3" xfId="6413" xr:uid="{00000000-0005-0000-0000-0000B0150000}"/>
    <cellStyle name="Normal 4 4 3 7 3 2" xfId="14908" xr:uid="{596C365C-9646-4EF4-BB27-DFE8AAC9134B}"/>
    <cellStyle name="Normal 4 4 3 7 4" xfId="10695" xr:uid="{75412B73-9531-46B9-AD84-D64FDC74F828}"/>
    <cellStyle name="Normal 4 4 3 8" xfId="2543" xr:uid="{00000000-0005-0000-0000-0000B1150000}"/>
    <cellStyle name="Normal 4 4 3 8 2" xfId="6826" xr:uid="{00000000-0005-0000-0000-0000B2150000}"/>
    <cellStyle name="Normal 4 4 3 8 2 2" xfId="15321" xr:uid="{4DD70705-6579-4DA2-82C4-73CE1492503D}"/>
    <cellStyle name="Normal 4 4 3 8 3" xfId="11108" xr:uid="{B52B35E2-1213-488A-90FE-C2085616CB41}"/>
    <cellStyle name="Normal 4 4 3 9" xfId="4761" xr:uid="{00000000-0005-0000-0000-0000B3150000}"/>
    <cellStyle name="Normal 4 4 3 9 2" xfId="13256" xr:uid="{24ABBFD9-CFB4-4AD7-8A16-7FC9F8F84E0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5819" xr:uid="{2AE75239-5EB6-44B9-A1DC-2A3F07615DAF}"/>
    <cellStyle name="Normal 4 4 4 2 2 2 3" xfId="11606" xr:uid="{F4EF36A4-4434-43B0-8038-8F2BBE8A3C2B}"/>
    <cellStyle name="Normal 4 4 4 2 2 3" xfId="5179" xr:uid="{00000000-0005-0000-0000-0000B9150000}"/>
    <cellStyle name="Normal 4 4 4 2 2 3 2" xfId="13674" xr:uid="{141831B3-37AE-408D-9104-BA6C65AF4C36}"/>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6232" xr:uid="{8DD98C21-617C-40B7-8FCA-7F06F0FE6C17}"/>
    <cellStyle name="Normal 4 4 4 2 3 2 3" xfId="12019" xr:uid="{68A6C69C-C9C6-44C7-A0DA-60DA7BE6A23E}"/>
    <cellStyle name="Normal 4 4 4 2 3 3" xfId="5592" xr:uid="{00000000-0005-0000-0000-0000BD150000}"/>
    <cellStyle name="Normal 4 4 4 2 3 3 2" xfId="14087" xr:uid="{2F3DD245-EE89-4194-A588-2C20BA8E8453}"/>
    <cellStyle name="Normal 4 4 4 2 3 4" xfId="9874" xr:uid="{EB50ED05-2538-45AD-8550-C158C3AA6F7C}"/>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6645" xr:uid="{AFB29E1C-DB32-4FD9-9A4D-8BA7B9728583}"/>
    <cellStyle name="Normal 4 4 4 2 4 2 3" xfId="12432" xr:uid="{52F46DF3-6ED1-4C6F-8E15-EADB4D31AF21}"/>
    <cellStyle name="Normal 4 4 4 2 4 3" xfId="6005" xr:uid="{00000000-0005-0000-0000-0000C1150000}"/>
    <cellStyle name="Normal 4 4 4 2 4 3 2" xfId="14500" xr:uid="{9FBFC507-AC02-4611-A2FD-54036FF22D3C}"/>
    <cellStyle name="Normal 4 4 4 2 4 4" xfId="10287" xr:uid="{C664F3E8-8993-4B62-9104-3AC366EC0034}"/>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058" xr:uid="{D5419A72-D6ED-4649-81D5-A62E6101A6EB}"/>
    <cellStyle name="Normal 4 4 4 2 5 2 3" xfId="12845" xr:uid="{20DA4AE6-0829-44D2-9213-718175AEB903}"/>
    <cellStyle name="Normal 4 4 4 2 5 3" xfId="6418" xr:uid="{00000000-0005-0000-0000-0000C5150000}"/>
    <cellStyle name="Normal 4 4 4 2 5 3 2" xfId="14913" xr:uid="{8CDB721E-90D4-4A50-83CF-41F8D73E5851}"/>
    <cellStyle name="Normal 4 4 4 2 5 4" xfId="10700" xr:uid="{3AB6E88A-5940-4DAB-9B7F-CCB5141E214A}"/>
    <cellStyle name="Normal 4 4 4 2 6" xfId="2548" xr:uid="{00000000-0005-0000-0000-0000C6150000}"/>
    <cellStyle name="Normal 4 4 4 2 6 2" xfId="6831" xr:uid="{00000000-0005-0000-0000-0000C7150000}"/>
    <cellStyle name="Normal 4 4 4 2 6 2 2" xfId="15326" xr:uid="{82FE8F96-9DED-465E-9E77-93A3EE56B9A1}"/>
    <cellStyle name="Normal 4 4 4 2 6 3" xfId="11113" xr:uid="{92D14859-EBF8-4C1A-A03A-ADEB819161EC}"/>
    <cellStyle name="Normal 4 4 4 2 7" xfId="4766" xr:uid="{00000000-0005-0000-0000-0000C8150000}"/>
    <cellStyle name="Normal 4 4 4 2 7 2" xfId="13261" xr:uid="{2A569A2E-EB6D-4D05-8383-D412D9FD18B3}"/>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2 2 2" xfId="15818" xr:uid="{24658EB6-182C-4AB4-8251-E102126BD5BE}"/>
    <cellStyle name="Normal 4 4 4 3 2 3" xfId="11605" xr:uid="{0AD38AA7-7495-40B8-B069-9A7D96731DB6}"/>
    <cellStyle name="Normal 4 4 4 3 3" xfId="5178" xr:uid="{00000000-0005-0000-0000-0000CC150000}"/>
    <cellStyle name="Normal 4 4 4 3 3 2" xfId="13673" xr:uid="{CF518639-C534-4FA9-8F11-7F094B736A49}"/>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2 2 2" xfId="16231" xr:uid="{BD6397E9-D45B-46DD-9D9F-7F451412FF94}"/>
    <cellStyle name="Normal 4 4 4 4 2 3" xfId="12018" xr:uid="{9C3D394F-9796-4B57-A0D6-E9DF6067380E}"/>
    <cellStyle name="Normal 4 4 4 4 3" xfId="5591" xr:uid="{00000000-0005-0000-0000-0000D0150000}"/>
    <cellStyle name="Normal 4 4 4 4 3 2" xfId="14086" xr:uid="{06D49C27-B90B-4A66-A86C-A114AF3FD954}"/>
    <cellStyle name="Normal 4 4 4 4 4" xfId="9873" xr:uid="{2CD2E8BC-776F-4D99-A852-87DC12BD1373}"/>
    <cellStyle name="Normal 4 4 4 5" xfId="1697" xr:uid="{00000000-0005-0000-0000-0000D1150000}"/>
    <cellStyle name="Normal 4 4 4 5 2" xfId="3927" xr:uid="{00000000-0005-0000-0000-0000D2150000}"/>
    <cellStyle name="Normal 4 4 4 5 2 2" xfId="8149" xr:uid="{00000000-0005-0000-0000-0000D3150000}"/>
    <cellStyle name="Normal 4 4 4 5 2 2 2" xfId="16644" xr:uid="{5573AB0D-D898-4A6C-8780-01177828E897}"/>
    <cellStyle name="Normal 4 4 4 5 2 3" xfId="12431" xr:uid="{CA06C23F-C2F2-45C7-817F-581B9354ACCE}"/>
    <cellStyle name="Normal 4 4 4 5 3" xfId="6004" xr:uid="{00000000-0005-0000-0000-0000D4150000}"/>
    <cellStyle name="Normal 4 4 4 5 3 2" xfId="14499" xr:uid="{99819A4D-267C-446C-857D-A1FDC186EBCB}"/>
    <cellStyle name="Normal 4 4 4 5 4" xfId="10286" xr:uid="{2FFB611E-2D79-4175-AEF2-EDC09E4B6D79}"/>
    <cellStyle name="Normal 4 4 4 6" xfId="2111" xr:uid="{00000000-0005-0000-0000-0000D5150000}"/>
    <cellStyle name="Normal 4 4 4 6 2" xfId="4340" xr:uid="{00000000-0005-0000-0000-0000D6150000}"/>
    <cellStyle name="Normal 4 4 4 6 2 2" xfId="8562" xr:uid="{00000000-0005-0000-0000-0000D7150000}"/>
    <cellStyle name="Normal 4 4 4 6 2 2 2" xfId="17057" xr:uid="{0D02EC6C-4B4C-4AB9-833F-94D9D53B625D}"/>
    <cellStyle name="Normal 4 4 4 6 2 3" xfId="12844" xr:uid="{FE2331F5-5CC8-439A-B8ED-02F89787D56D}"/>
    <cellStyle name="Normal 4 4 4 6 3" xfId="6417" xr:uid="{00000000-0005-0000-0000-0000D8150000}"/>
    <cellStyle name="Normal 4 4 4 6 3 2" xfId="14912" xr:uid="{1DC03A85-BCD6-48F8-8F43-65346F6B8345}"/>
    <cellStyle name="Normal 4 4 4 6 4" xfId="10699" xr:uid="{BEF9CC8B-D692-405E-8FA0-633E4BF803EB}"/>
    <cellStyle name="Normal 4 4 4 7" xfId="2547" xr:uid="{00000000-0005-0000-0000-0000D9150000}"/>
    <cellStyle name="Normal 4 4 4 7 2" xfId="6830" xr:uid="{00000000-0005-0000-0000-0000DA150000}"/>
    <cellStyle name="Normal 4 4 4 7 2 2" xfId="15325" xr:uid="{51D6F232-0750-489A-A164-C8F15CD068DB}"/>
    <cellStyle name="Normal 4 4 4 7 3" xfId="11112" xr:uid="{3C652EBA-2E90-4B10-B212-8EF746E234D4}"/>
    <cellStyle name="Normal 4 4 4 8" xfId="4765" xr:uid="{00000000-0005-0000-0000-0000DB150000}"/>
    <cellStyle name="Normal 4 4 4 8 2" xfId="13260" xr:uid="{1EF15C62-7521-4ADF-A62E-6E7F0D54FD45}"/>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5820" xr:uid="{1962081B-F42E-4D81-9A5A-ABE07C5F28D6}"/>
    <cellStyle name="Normal 4 4 5 2 2 3" xfId="11607" xr:uid="{25233F16-CC06-4070-9785-06C355182A4E}"/>
    <cellStyle name="Normal 4 4 5 2 3" xfId="5180" xr:uid="{00000000-0005-0000-0000-0000E0150000}"/>
    <cellStyle name="Normal 4 4 5 2 3 2" xfId="13675" xr:uid="{82C2EEF4-2DF3-41AB-B9B8-935AF96FEC17}"/>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2 2 2" xfId="16233" xr:uid="{05B1C5FF-2E57-4D2D-AF99-21D1F92A85BC}"/>
    <cellStyle name="Normal 4 4 5 3 2 3" xfId="12020" xr:uid="{52FE58E5-6CED-46BB-A669-A6A413A36753}"/>
    <cellStyle name="Normal 4 4 5 3 3" xfId="5593" xr:uid="{00000000-0005-0000-0000-0000E4150000}"/>
    <cellStyle name="Normal 4 4 5 3 3 2" xfId="14088" xr:uid="{E31F7116-FECB-4162-AF59-74EFF440D416}"/>
    <cellStyle name="Normal 4 4 5 3 4" xfId="9875" xr:uid="{F3898C96-7F72-45BA-B0B7-9531DB485587}"/>
    <cellStyle name="Normal 4 4 5 4" xfId="1699" xr:uid="{00000000-0005-0000-0000-0000E5150000}"/>
    <cellStyle name="Normal 4 4 5 4 2" xfId="3929" xr:uid="{00000000-0005-0000-0000-0000E6150000}"/>
    <cellStyle name="Normal 4 4 5 4 2 2" xfId="8151" xr:uid="{00000000-0005-0000-0000-0000E7150000}"/>
    <cellStyle name="Normal 4 4 5 4 2 2 2" xfId="16646" xr:uid="{050C76AD-D820-42CA-A426-8C8E59F1B349}"/>
    <cellStyle name="Normal 4 4 5 4 2 3" xfId="12433" xr:uid="{C823BDB3-EDEE-4D79-A26A-0AE36C210C95}"/>
    <cellStyle name="Normal 4 4 5 4 3" xfId="6006" xr:uid="{00000000-0005-0000-0000-0000E8150000}"/>
    <cellStyle name="Normal 4 4 5 4 3 2" xfId="14501" xr:uid="{7B84155A-5132-414B-ABC5-A91589192F03}"/>
    <cellStyle name="Normal 4 4 5 4 4" xfId="10288" xr:uid="{93024F88-4F0F-4B26-B70B-378BBB0A872F}"/>
    <cellStyle name="Normal 4 4 5 5" xfId="2113" xr:uid="{00000000-0005-0000-0000-0000E9150000}"/>
    <cellStyle name="Normal 4 4 5 5 2" xfId="4342" xr:uid="{00000000-0005-0000-0000-0000EA150000}"/>
    <cellStyle name="Normal 4 4 5 5 2 2" xfId="8564" xr:uid="{00000000-0005-0000-0000-0000EB150000}"/>
    <cellStyle name="Normal 4 4 5 5 2 2 2" xfId="17059" xr:uid="{1B81D211-97EB-4187-8E77-91E52DFB17FF}"/>
    <cellStyle name="Normal 4 4 5 5 2 3" xfId="12846" xr:uid="{FC8D655B-B9D5-4287-AEE6-4C44412F1F89}"/>
    <cellStyle name="Normal 4 4 5 5 3" xfId="6419" xr:uid="{00000000-0005-0000-0000-0000EC150000}"/>
    <cellStyle name="Normal 4 4 5 5 3 2" xfId="14914" xr:uid="{A03928D0-A55D-4535-B9CF-D8CBEAFFA2D4}"/>
    <cellStyle name="Normal 4 4 5 5 4" xfId="10701" xr:uid="{78D269B7-CA0B-40FA-A8E4-2A2F1C899944}"/>
    <cellStyle name="Normal 4 4 5 6" xfId="2549" xr:uid="{00000000-0005-0000-0000-0000ED150000}"/>
    <cellStyle name="Normal 4 4 5 6 2" xfId="6832" xr:uid="{00000000-0005-0000-0000-0000EE150000}"/>
    <cellStyle name="Normal 4 4 5 6 2 2" xfId="15327" xr:uid="{56B9F94F-DDB3-4A6C-9001-F76B51144FEF}"/>
    <cellStyle name="Normal 4 4 5 6 3" xfId="11114" xr:uid="{F7E21677-2C7B-4C4E-B146-AF2A46C851D3}"/>
    <cellStyle name="Normal 4 4 5 7" xfId="4767" xr:uid="{00000000-0005-0000-0000-0000EF150000}"/>
    <cellStyle name="Normal 4 4 5 7 2" xfId="13262" xr:uid="{D0BD6368-61E2-4A16-829E-C93079C2228F}"/>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2 2 2" xfId="15805" xr:uid="{12EF8386-F441-4A02-B5C6-7DA76115CDD4}"/>
    <cellStyle name="Normal 4 4 6 2 3" xfId="11592" xr:uid="{75EB38C1-2BA6-4420-805F-961F8834EA28}"/>
    <cellStyle name="Normal 4 4 6 3" xfId="5165" xr:uid="{00000000-0005-0000-0000-0000F3150000}"/>
    <cellStyle name="Normal 4 4 6 3 2" xfId="13660" xr:uid="{9E13B7A8-AA99-4D31-8417-A89B35EE74CD}"/>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2 2 2" xfId="16218" xr:uid="{24676B3B-05D5-499C-A544-2AC33DFB1D94}"/>
    <cellStyle name="Normal 4 4 7 2 3" xfId="12005" xr:uid="{DB0C99CB-84BB-447C-AAB0-630C922B9202}"/>
    <cellStyle name="Normal 4 4 7 3" xfId="5578" xr:uid="{00000000-0005-0000-0000-0000F7150000}"/>
    <cellStyle name="Normal 4 4 7 3 2" xfId="14073" xr:uid="{26F359E4-5979-452A-8C4A-449D30DC2795}"/>
    <cellStyle name="Normal 4 4 7 4" xfId="9860" xr:uid="{A242E056-0426-42D8-BC9B-9660F3F8A7D4}"/>
    <cellStyle name="Normal 4 4 8" xfId="1684" xr:uid="{00000000-0005-0000-0000-0000F8150000}"/>
    <cellStyle name="Normal 4 4 8 2" xfId="3914" xr:uid="{00000000-0005-0000-0000-0000F9150000}"/>
    <cellStyle name="Normal 4 4 8 2 2" xfId="8136" xr:uid="{00000000-0005-0000-0000-0000FA150000}"/>
    <cellStyle name="Normal 4 4 8 2 2 2" xfId="16631" xr:uid="{5E530299-82FF-435F-BFA9-BCA489C472B0}"/>
    <cellStyle name="Normal 4 4 8 2 3" xfId="12418" xr:uid="{9F045A7B-4BD0-4924-B739-EC45EA0E86FC}"/>
    <cellStyle name="Normal 4 4 8 3" xfId="5991" xr:uid="{00000000-0005-0000-0000-0000FB150000}"/>
    <cellStyle name="Normal 4 4 8 3 2" xfId="14486" xr:uid="{FEE55C64-C80E-4DA0-A284-F4B5E45D6610}"/>
    <cellStyle name="Normal 4 4 8 4" xfId="10273" xr:uid="{030FDB51-1E2B-46A8-B5B0-3015A666B0E3}"/>
    <cellStyle name="Normal 4 4 9" xfId="2098" xr:uid="{00000000-0005-0000-0000-0000FC150000}"/>
    <cellStyle name="Normal 4 4 9 2" xfId="4327" xr:uid="{00000000-0005-0000-0000-0000FD150000}"/>
    <cellStyle name="Normal 4 4 9 2 2" xfId="8549" xr:uid="{00000000-0005-0000-0000-0000FE150000}"/>
    <cellStyle name="Normal 4 4 9 2 2 2" xfId="17044" xr:uid="{5A33CE3A-5DA8-45FB-B189-09B8EC13BBDE}"/>
    <cellStyle name="Normal 4 4 9 2 3" xfId="12831" xr:uid="{A20D4B0C-964C-42E8-84FE-3CC5D3178F67}"/>
    <cellStyle name="Normal 4 4 9 3" xfId="6404" xr:uid="{00000000-0005-0000-0000-0000FF150000}"/>
    <cellStyle name="Normal 4 4 9 3 2" xfId="14899" xr:uid="{1514FE43-9DAE-4ACE-A84F-03AEC92003A3}"/>
    <cellStyle name="Normal 4 4 9 4" xfId="10686" xr:uid="{16E21E61-273C-408F-BE1F-49185A976103}"/>
    <cellStyle name="Normal 4 5" xfId="394" xr:uid="{00000000-0005-0000-0000-000000160000}"/>
    <cellStyle name="Normal 4 6" xfId="395" xr:uid="{00000000-0005-0000-0000-000001160000}"/>
    <cellStyle name="Normal 4 6 10" xfId="4768" xr:uid="{00000000-0005-0000-0000-000002160000}"/>
    <cellStyle name="Normal 4 6 10 2" xfId="13263" xr:uid="{39E29C9D-1CC5-48D4-995E-96FEBDCD53CD}"/>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5824" xr:uid="{AB8A8BCE-4F5D-4A6B-84B7-A3EC61F50314}"/>
    <cellStyle name="Normal 4 6 2 2 2 2 2 3" xfId="11611" xr:uid="{C41C7681-55EE-4B3A-A002-62F2AC46B7C7}"/>
    <cellStyle name="Normal 4 6 2 2 2 2 3" xfId="5184" xr:uid="{00000000-0005-0000-0000-000009160000}"/>
    <cellStyle name="Normal 4 6 2 2 2 2 3 2" xfId="13679" xr:uid="{33D97CD0-9A4A-419C-8124-15D5685DDB09}"/>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6237" xr:uid="{34B33666-2AA5-48F4-8E18-6758FFCF1CD6}"/>
    <cellStyle name="Normal 4 6 2 2 2 3 2 3" xfId="12024" xr:uid="{37C65506-6C0E-409E-AB28-1FFBB59D03D9}"/>
    <cellStyle name="Normal 4 6 2 2 2 3 3" xfId="5597" xr:uid="{00000000-0005-0000-0000-00000D160000}"/>
    <cellStyle name="Normal 4 6 2 2 2 3 3 2" xfId="14092" xr:uid="{7C872F6B-8281-43CD-A8C7-6B66C58C585F}"/>
    <cellStyle name="Normal 4 6 2 2 2 3 4" xfId="9879" xr:uid="{6D3EBAF6-D70B-4F5F-AEEA-0774EE168EB2}"/>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6650" xr:uid="{D4822F84-0A05-46B0-AF4D-E99B8BB979D1}"/>
    <cellStyle name="Normal 4 6 2 2 2 4 2 3" xfId="12437" xr:uid="{F9D4F9EB-D4D5-4273-B338-FDE028C424DC}"/>
    <cellStyle name="Normal 4 6 2 2 2 4 3" xfId="6010" xr:uid="{00000000-0005-0000-0000-000011160000}"/>
    <cellStyle name="Normal 4 6 2 2 2 4 3 2" xfId="14505" xr:uid="{94CA09AB-3253-4E3D-A367-D1096E4167A4}"/>
    <cellStyle name="Normal 4 6 2 2 2 4 4" xfId="10292" xr:uid="{5731533D-BFDF-4B5D-95AF-DC3106293EEF}"/>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063" xr:uid="{7D299D0E-DD49-4D91-B368-1492EA2F9D6B}"/>
    <cellStyle name="Normal 4 6 2 2 2 5 2 3" xfId="12850" xr:uid="{147016E2-0B29-4885-A25D-270F56950648}"/>
    <cellStyle name="Normal 4 6 2 2 2 5 3" xfId="6423" xr:uid="{00000000-0005-0000-0000-000015160000}"/>
    <cellStyle name="Normal 4 6 2 2 2 5 3 2" xfId="14918" xr:uid="{E822F1F5-2B73-4DE4-A605-B95C3FB08F98}"/>
    <cellStyle name="Normal 4 6 2 2 2 5 4" xfId="10705" xr:uid="{E6192F8E-B6D8-4A7C-8629-864AAAE14895}"/>
    <cellStyle name="Normal 4 6 2 2 2 6" xfId="2553" xr:uid="{00000000-0005-0000-0000-000016160000}"/>
    <cellStyle name="Normal 4 6 2 2 2 6 2" xfId="6836" xr:uid="{00000000-0005-0000-0000-000017160000}"/>
    <cellStyle name="Normal 4 6 2 2 2 6 2 2" xfId="15331" xr:uid="{58F959B4-C68B-4DCE-B621-F4B2653C7B8E}"/>
    <cellStyle name="Normal 4 6 2 2 2 6 3" xfId="11118" xr:uid="{2CB13528-AF77-4E34-A41A-6579F4768A3C}"/>
    <cellStyle name="Normal 4 6 2 2 2 7" xfId="4771" xr:uid="{00000000-0005-0000-0000-000018160000}"/>
    <cellStyle name="Normal 4 6 2 2 2 7 2" xfId="13266" xr:uid="{13FC6CCA-20CD-4C8D-B520-F6042E62B3FD}"/>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5823" xr:uid="{4B73937A-AB9C-435A-86F1-19B5BE0468AC}"/>
    <cellStyle name="Normal 4 6 2 2 3 2 3" xfId="11610" xr:uid="{8A4749F4-A14E-48CB-9D4D-3BD4EEE3D58B}"/>
    <cellStyle name="Normal 4 6 2 2 3 3" xfId="5183" xr:uid="{00000000-0005-0000-0000-00001C160000}"/>
    <cellStyle name="Normal 4 6 2 2 3 3 2" xfId="13678" xr:uid="{5D70274B-A06F-4B49-89EA-C087BE2D2DCB}"/>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6236" xr:uid="{2F00CEC3-341A-4894-9797-0D630FF4B91E}"/>
    <cellStyle name="Normal 4 6 2 2 4 2 3" xfId="12023" xr:uid="{3014E2B4-99B9-4E36-8556-5037B1672915}"/>
    <cellStyle name="Normal 4 6 2 2 4 3" xfId="5596" xr:uid="{00000000-0005-0000-0000-000020160000}"/>
    <cellStyle name="Normal 4 6 2 2 4 3 2" xfId="14091" xr:uid="{4151B9C4-6DA7-413D-9E76-AD115F44CE2E}"/>
    <cellStyle name="Normal 4 6 2 2 4 4" xfId="9878" xr:uid="{C48D25EF-CCD2-4C4C-B08D-FC96004F9B1D}"/>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6649" xr:uid="{D61B1C17-FA22-4C2D-9CFD-DA976E75B210}"/>
    <cellStyle name="Normal 4 6 2 2 5 2 3" xfId="12436" xr:uid="{C8BC979E-FDBE-4014-879D-302EE2FD4597}"/>
    <cellStyle name="Normal 4 6 2 2 5 3" xfId="6009" xr:uid="{00000000-0005-0000-0000-000024160000}"/>
    <cellStyle name="Normal 4 6 2 2 5 3 2" xfId="14504" xr:uid="{61047045-1C90-410D-BDD0-D8DBCEFDB42B}"/>
    <cellStyle name="Normal 4 6 2 2 5 4" xfId="10291" xr:uid="{20E575AF-4284-43E2-87AC-655E42C003BE}"/>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062" xr:uid="{CF77AE5D-326E-47B9-B1CF-E0D819B7DA5D}"/>
    <cellStyle name="Normal 4 6 2 2 6 2 3" xfId="12849" xr:uid="{C41EAD06-B432-42F0-8549-DD2AD05644AA}"/>
    <cellStyle name="Normal 4 6 2 2 6 3" xfId="6422" xr:uid="{00000000-0005-0000-0000-000028160000}"/>
    <cellStyle name="Normal 4 6 2 2 6 3 2" xfId="14917" xr:uid="{9F03ACE8-5817-4DF9-B096-D64D7567A132}"/>
    <cellStyle name="Normal 4 6 2 2 6 4" xfId="10704" xr:uid="{72C81A0A-1745-4F6C-93CA-13633A75A612}"/>
    <cellStyle name="Normal 4 6 2 2 7" xfId="2552" xr:uid="{00000000-0005-0000-0000-000029160000}"/>
    <cellStyle name="Normal 4 6 2 2 7 2" xfId="6835" xr:uid="{00000000-0005-0000-0000-00002A160000}"/>
    <cellStyle name="Normal 4 6 2 2 7 2 2" xfId="15330" xr:uid="{183493B5-E2CF-4D2C-9717-43F50673F201}"/>
    <cellStyle name="Normal 4 6 2 2 7 3" xfId="11117" xr:uid="{F14DD56D-C08D-4AB3-B96A-6CDD7B26A0D4}"/>
    <cellStyle name="Normal 4 6 2 2 8" xfId="4770" xr:uid="{00000000-0005-0000-0000-00002B160000}"/>
    <cellStyle name="Normal 4 6 2 2 8 2" xfId="13265" xr:uid="{57A257FF-A84B-4943-A07B-AE24A35B267C}"/>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5825" xr:uid="{F6CE8185-83CD-4932-B0F7-A5557DB44A79}"/>
    <cellStyle name="Normal 4 6 2 3 2 2 3" xfId="11612" xr:uid="{2360E59E-5F83-4EE3-B5B4-34570FDC98F4}"/>
    <cellStyle name="Normal 4 6 2 3 2 3" xfId="5185" xr:uid="{00000000-0005-0000-0000-000030160000}"/>
    <cellStyle name="Normal 4 6 2 3 2 3 2" xfId="13680" xr:uid="{DCA53DCB-6D20-4BAD-8BC7-4B0496F2B8BD}"/>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6238" xr:uid="{69902F79-391C-424B-9B25-8421FFDF2D32}"/>
    <cellStyle name="Normal 4 6 2 3 3 2 3" xfId="12025" xr:uid="{6B6C9867-7E0D-418E-81B5-5ED2362B74A4}"/>
    <cellStyle name="Normal 4 6 2 3 3 3" xfId="5598" xr:uid="{00000000-0005-0000-0000-000034160000}"/>
    <cellStyle name="Normal 4 6 2 3 3 3 2" xfId="14093" xr:uid="{13E81560-FB88-447D-B421-66BDA2FDEC02}"/>
    <cellStyle name="Normal 4 6 2 3 3 4" xfId="9880" xr:uid="{E01CBB9A-A581-4281-8CA5-B9F0EA0C0A43}"/>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6651" xr:uid="{40C97A9B-5A60-42D2-AB62-966D4A135B43}"/>
    <cellStyle name="Normal 4 6 2 3 4 2 3" xfId="12438" xr:uid="{4432795D-B3B7-414C-A139-2757D58FB0CB}"/>
    <cellStyle name="Normal 4 6 2 3 4 3" xfId="6011" xr:uid="{00000000-0005-0000-0000-000038160000}"/>
    <cellStyle name="Normal 4 6 2 3 4 3 2" xfId="14506" xr:uid="{4DE4CCB7-1B48-408F-BBA2-447C678782D8}"/>
    <cellStyle name="Normal 4 6 2 3 4 4" xfId="10293" xr:uid="{E3A1386E-7E1D-4BC7-AF82-52CC15EB6C92}"/>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064" xr:uid="{835AD8F4-F2A2-4FF5-B89C-FB10409FEE66}"/>
    <cellStyle name="Normal 4 6 2 3 5 2 3" xfId="12851" xr:uid="{2B2CAF58-821F-45A3-ADCB-79B67ED9DDC6}"/>
    <cellStyle name="Normal 4 6 2 3 5 3" xfId="6424" xr:uid="{00000000-0005-0000-0000-00003C160000}"/>
    <cellStyle name="Normal 4 6 2 3 5 3 2" xfId="14919" xr:uid="{AB90C97D-90D7-4CE3-AAA7-87FAA398D14E}"/>
    <cellStyle name="Normal 4 6 2 3 5 4" xfId="10706" xr:uid="{63722A18-D699-4CCC-87AC-74DD13D96621}"/>
    <cellStyle name="Normal 4 6 2 3 6" xfId="2554" xr:uid="{00000000-0005-0000-0000-00003D160000}"/>
    <cellStyle name="Normal 4 6 2 3 6 2" xfId="6837" xr:uid="{00000000-0005-0000-0000-00003E160000}"/>
    <cellStyle name="Normal 4 6 2 3 6 2 2" xfId="15332" xr:uid="{E1EFC4B5-DE93-4CA2-89BC-7D0D4D1F7B9D}"/>
    <cellStyle name="Normal 4 6 2 3 6 3" xfId="11119" xr:uid="{32EB0060-E8A7-4F2B-9CA4-9F8A9EC20775}"/>
    <cellStyle name="Normal 4 6 2 3 7" xfId="4772" xr:uid="{00000000-0005-0000-0000-00003F160000}"/>
    <cellStyle name="Normal 4 6 2 3 7 2" xfId="13267" xr:uid="{65495D33-1114-4999-8A55-4F2EA6EEB9E1}"/>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2 2 2" xfId="15822" xr:uid="{23FC781D-E2BD-40A1-85A8-84A0DE72690C}"/>
    <cellStyle name="Normal 4 6 2 4 2 3" xfId="11609" xr:uid="{9BF294DE-F0C0-4BA0-96EC-97246EF21836}"/>
    <cellStyle name="Normal 4 6 2 4 3" xfId="5182" xr:uid="{00000000-0005-0000-0000-000043160000}"/>
    <cellStyle name="Normal 4 6 2 4 3 2" xfId="13677" xr:uid="{9FBD1313-6087-46B7-8F68-1A9B1FB8095F}"/>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2 2 2" xfId="16235" xr:uid="{CC5061F7-5D63-479B-8A15-6C8F138B1735}"/>
    <cellStyle name="Normal 4 6 2 5 2 3" xfId="12022" xr:uid="{D51056C5-20EF-4EF4-A2B1-DB373D54D2C3}"/>
    <cellStyle name="Normal 4 6 2 5 3" xfId="5595" xr:uid="{00000000-0005-0000-0000-000047160000}"/>
    <cellStyle name="Normal 4 6 2 5 3 2" xfId="14090" xr:uid="{65D37243-334B-44B4-B8F1-24D76F94820C}"/>
    <cellStyle name="Normal 4 6 2 5 4" xfId="9877" xr:uid="{328916FB-F6DF-42CA-BA21-631D07D233CF}"/>
    <cellStyle name="Normal 4 6 2 6" xfId="1701" xr:uid="{00000000-0005-0000-0000-000048160000}"/>
    <cellStyle name="Normal 4 6 2 6 2" xfId="3931" xr:uid="{00000000-0005-0000-0000-000049160000}"/>
    <cellStyle name="Normal 4 6 2 6 2 2" xfId="8153" xr:uid="{00000000-0005-0000-0000-00004A160000}"/>
    <cellStyle name="Normal 4 6 2 6 2 2 2" xfId="16648" xr:uid="{BA7676D0-0103-4FF8-B580-7C5425748C52}"/>
    <cellStyle name="Normal 4 6 2 6 2 3" xfId="12435" xr:uid="{42E2A8B1-5134-41EC-A7C2-7ED7A91C87F4}"/>
    <cellStyle name="Normal 4 6 2 6 3" xfId="6008" xr:uid="{00000000-0005-0000-0000-00004B160000}"/>
    <cellStyle name="Normal 4 6 2 6 3 2" xfId="14503" xr:uid="{B6778F7B-E5DB-4C57-A1E1-0DE09084388C}"/>
    <cellStyle name="Normal 4 6 2 6 4" xfId="10290" xr:uid="{21AF0D02-A250-4E38-994D-38CA0085B559}"/>
    <cellStyle name="Normal 4 6 2 7" xfId="2115" xr:uid="{00000000-0005-0000-0000-00004C160000}"/>
    <cellStyle name="Normal 4 6 2 7 2" xfId="4344" xr:uid="{00000000-0005-0000-0000-00004D160000}"/>
    <cellStyle name="Normal 4 6 2 7 2 2" xfId="8566" xr:uid="{00000000-0005-0000-0000-00004E160000}"/>
    <cellStyle name="Normal 4 6 2 7 2 2 2" xfId="17061" xr:uid="{57FEE573-FC0F-4FAF-9EDB-65BC332DD42D}"/>
    <cellStyle name="Normal 4 6 2 7 2 3" xfId="12848" xr:uid="{370811D1-EC3E-4B52-ACDF-AA7E16EC0882}"/>
    <cellStyle name="Normal 4 6 2 7 3" xfId="6421" xr:uid="{00000000-0005-0000-0000-00004F160000}"/>
    <cellStyle name="Normal 4 6 2 7 3 2" xfId="14916" xr:uid="{B4348437-EB4F-458A-AB19-2F08E161B05A}"/>
    <cellStyle name="Normal 4 6 2 7 4" xfId="10703" xr:uid="{02071638-4B98-4E75-9199-EDB92EE7B4DB}"/>
    <cellStyle name="Normal 4 6 2 8" xfId="2551" xr:uid="{00000000-0005-0000-0000-000050160000}"/>
    <cellStyle name="Normal 4 6 2 8 2" xfId="6834" xr:uid="{00000000-0005-0000-0000-000051160000}"/>
    <cellStyle name="Normal 4 6 2 8 2 2" xfId="15329" xr:uid="{627E2DFC-AA9F-48B2-98D3-D3B5B73AA015}"/>
    <cellStyle name="Normal 4 6 2 8 3" xfId="11116" xr:uid="{E3537BD5-61D7-4B77-A1CD-888C830D1C66}"/>
    <cellStyle name="Normal 4 6 2 9" xfId="4769" xr:uid="{00000000-0005-0000-0000-000052160000}"/>
    <cellStyle name="Normal 4 6 2 9 2" xfId="13264" xr:uid="{55D8B6F2-994B-4605-97BA-1AA31C05C668}"/>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5827" xr:uid="{7C73885C-9308-415D-8E0F-20D357863502}"/>
    <cellStyle name="Normal 4 6 3 2 2 2 3" xfId="11614" xr:uid="{D30CDA3C-75D7-47FA-8507-98BB4F648A0A}"/>
    <cellStyle name="Normal 4 6 3 2 2 3" xfId="5187" xr:uid="{00000000-0005-0000-0000-000058160000}"/>
    <cellStyle name="Normal 4 6 3 2 2 3 2" xfId="13682" xr:uid="{D1848266-2029-409C-A61E-0A28E8B705EB}"/>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6240" xr:uid="{D7A6C64E-E0ED-4BDD-B807-5F86D6496403}"/>
    <cellStyle name="Normal 4 6 3 2 3 2 3" xfId="12027" xr:uid="{E3F69DAB-6CE8-458A-BA83-F9F66BC3BF47}"/>
    <cellStyle name="Normal 4 6 3 2 3 3" xfId="5600" xr:uid="{00000000-0005-0000-0000-00005C160000}"/>
    <cellStyle name="Normal 4 6 3 2 3 3 2" xfId="14095" xr:uid="{0F0AF162-1CC3-48D1-948B-A3A80563B2D0}"/>
    <cellStyle name="Normal 4 6 3 2 3 4" xfId="9882" xr:uid="{CC6EB251-D9FE-47BD-ADF0-C1C5D0ECC078}"/>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6653" xr:uid="{3FF0E4CD-0D54-441E-848A-DB3BFC9087B6}"/>
    <cellStyle name="Normal 4 6 3 2 4 2 3" xfId="12440" xr:uid="{684E0B7C-E602-4E2D-A58F-5748461725EC}"/>
    <cellStyle name="Normal 4 6 3 2 4 3" xfId="6013" xr:uid="{00000000-0005-0000-0000-000060160000}"/>
    <cellStyle name="Normal 4 6 3 2 4 3 2" xfId="14508" xr:uid="{BA98641F-EA55-4E1C-A6B3-871F19ECFB2D}"/>
    <cellStyle name="Normal 4 6 3 2 4 4" xfId="10295" xr:uid="{CEA53D3D-B38E-4890-8AC1-6A845218EDFD}"/>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066" xr:uid="{9464181F-8E1B-4104-A7BA-8B8E5D5103C3}"/>
    <cellStyle name="Normal 4 6 3 2 5 2 3" xfId="12853" xr:uid="{8BB924B3-3EE3-4A0C-8763-F3B7EB74D2AD}"/>
    <cellStyle name="Normal 4 6 3 2 5 3" xfId="6426" xr:uid="{00000000-0005-0000-0000-000064160000}"/>
    <cellStyle name="Normal 4 6 3 2 5 3 2" xfId="14921" xr:uid="{22F0B1C3-88EE-4C61-B34C-CA48BCB63B3D}"/>
    <cellStyle name="Normal 4 6 3 2 5 4" xfId="10708" xr:uid="{9D313800-843F-4524-BA9B-5838808F4E66}"/>
    <cellStyle name="Normal 4 6 3 2 6" xfId="2556" xr:uid="{00000000-0005-0000-0000-000065160000}"/>
    <cellStyle name="Normal 4 6 3 2 6 2" xfId="6839" xr:uid="{00000000-0005-0000-0000-000066160000}"/>
    <cellStyle name="Normal 4 6 3 2 6 2 2" xfId="15334" xr:uid="{9006B279-5A92-46A2-8426-BC325230644B}"/>
    <cellStyle name="Normal 4 6 3 2 6 3" xfId="11121" xr:uid="{E738008E-3B84-4945-A096-D4B5DE0BB598}"/>
    <cellStyle name="Normal 4 6 3 2 7" xfId="4774" xr:uid="{00000000-0005-0000-0000-000067160000}"/>
    <cellStyle name="Normal 4 6 3 2 7 2" xfId="13269" xr:uid="{99A4AFC4-75A6-4D47-B481-628CA4814A1D}"/>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2 2 2" xfId="15826" xr:uid="{FD3EEE35-CFAC-4CC7-9401-10A342839D46}"/>
    <cellStyle name="Normal 4 6 3 3 2 3" xfId="11613" xr:uid="{CFB92993-06EA-4BDF-B83A-A2A517E24972}"/>
    <cellStyle name="Normal 4 6 3 3 3" xfId="5186" xr:uid="{00000000-0005-0000-0000-00006B160000}"/>
    <cellStyle name="Normal 4 6 3 3 3 2" xfId="13681" xr:uid="{D52C2EA5-4B0B-4A98-97B1-5958CE359BF7}"/>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2 2 2" xfId="16239" xr:uid="{309BEE4A-C615-4552-93FA-EDD66DFAD8CA}"/>
    <cellStyle name="Normal 4 6 3 4 2 3" xfId="12026" xr:uid="{5A2C6D15-2CA2-494A-BC2D-37DA69975D61}"/>
    <cellStyle name="Normal 4 6 3 4 3" xfId="5599" xr:uid="{00000000-0005-0000-0000-00006F160000}"/>
    <cellStyle name="Normal 4 6 3 4 3 2" xfId="14094" xr:uid="{863F2450-A3A5-468F-9890-C73E37AF4EFC}"/>
    <cellStyle name="Normal 4 6 3 4 4" xfId="9881" xr:uid="{7E0D3E4D-AC8A-4B97-A78C-D9543251EAE1}"/>
    <cellStyle name="Normal 4 6 3 5" xfId="1705" xr:uid="{00000000-0005-0000-0000-000070160000}"/>
    <cellStyle name="Normal 4 6 3 5 2" xfId="3935" xr:uid="{00000000-0005-0000-0000-000071160000}"/>
    <cellStyle name="Normal 4 6 3 5 2 2" xfId="8157" xr:uid="{00000000-0005-0000-0000-000072160000}"/>
    <cellStyle name="Normal 4 6 3 5 2 2 2" xfId="16652" xr:uid="{167E50AF-7D48-4A46-B59B-1BC92F25C201}"/>
    <cellStyle name="Normal 4 6 3 5 2 3" xfId="12439" xr:uid="{57C6F981-10A4-4264-92E2-5E8EAA3617F8}"/>
    <cellStyle name="Normal 4 6 3 5 3" xfId="6012" xr:uid="{00000000-0005-0000-0000-000073160000}"/>
    <cellStyle name="Normal 4 6 3 5 3 2" xfId="14507" xr:uid="{B4A89178-7AEB-4755-9184-51E2673DB620}"/>
    <cellStyle name="Normal 4 6 3 5 4" xfId="10294" xr:uid="{509EE360-876F-40CA-B865-D5BCD0E02832}"/>
    <cellStyle name="Normal 4 6 3 6" xfId="2119" xr:uid="{00000000-0005-0000-0000-000074160000}"/>
    <cellStyle name="Normal 4 6 3 6 2" xfId="4348" xr:uid="{00000000-0005-0000-0000-000075160000}"/>
    <cellStyle name="Normal 4 6 3 6 2 2" xfId="8570" xr:uid="{00000000-0005-0000-0000-000076160000}"/>
    <cellStyle name="Normal 4 6 3 6 2 2 2" xfId="17065" xr:uid="{4E7471D6-F3CD-4EF1-AB68-63648213E050}"/>
    <cellStyle name="Normal 4 6 3 6 2 3" xfId="12852" xr:uid="{2521A46F-AA5F-482A-8B38-B1D5B3CDE7C2}"/>
    <cellStyle name="Normal 4 6 3 6 3" xfId="6425" xr:uid="{00000000-0005-0000-0000-000077160000}"/>
    <cellStyle name="Normal 4 6 3 6 3 2" xfId="14920" xr:uid="{F5321B8D-691B-4F98-8465-473A5E55A32F}"/>
    <cellStyle name="Normal 4 6 3 6 4" xfId="10707" xr:uid="{11AF23A2-8E02-4A89-9887-7EA63B4D87A4}"/>
    <cellStyle name="Normal 4 6 3 7" xfId="2555" xr:uid="{00000000-0005-0000-0000-000078160000}"/>
    <cellStyle name="Normal 4 6 3 7 2" xfId="6838" xr:uid="{00000000-0005-0000-0000-000079160000}"/>
    <cellStyle name="Normal 4 6 3 7 2 2" xfId="15333" xr:uid="{22B26DB6-94F1-4AAF-B00B-AEF223D5BC8E}"/>
    <cellStyle name="Normal 4 6 3 7 3" xfId="11120" xr:uid="{E54D5990-204D-4E57-8928-86350BC669A0}"/>
    <cellStyle name="Normal 4 6 3 8" xfId="4773" xr:uid="{00000000-0005-0000-0000-00007A160000}"/>
    <cellStyle name="Normal 4 6 3 8 2" xfId="13268" xr:uid="{AACA79A1-E780-42EF-BC91-2312929CC6C3}"/>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5828" xr:uid="{E223644D-AC4B-4192-8BBB-EDC7C77C03BB}"/>
    <cellStyle name="Normal 4 6 4 2 2 3" xfId="11615" xr:uid="{09B5306C-E951-4780-AF76-053628930EE5}"/>
    <cellStyle name="Normal 4 6 4 2 3" xfId="5188" xr:uid="{00000000-0005-0000-0000-00007F160000}"/>
    <cellStyle name="Normal 4 6 4 2 3 2" xfId="13683" xr:uid="{769611FE-B0E0-41EF-BF3C-D028FE644591}"/>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2 2 2" xfId="16241" xr:uid="{B73139E5-8C26-4C19-9A6D-2F9F3EF87C0D}"/>
    <cellStyle name="Normal 4 6 4 3 2 3" xfId="12028" xr:uid="{BF837445-AC42-49F5-A9F4-3B65CC63EFE0}"/>
    <cellStyle name="Normal 4 6 4 3 3" xfId="5601" xr:uid="{00000000-0005-0000-0000-000083160000}"/>
    <cellStyle name="Normal 4 6 4 3 3 2" xfId="14096" xr:uid="{3FDE6AA4-341C-4863-BDF4-A291CA534522}"/>
    <cellStyle name="Normal 4 6 4 3 4" xfId="9883" xr:uid="{030DE87F-22FE-46F9-9CBD-876738913786}"/>
    <cellStyle name="Normal 4 6 4 4" xfId="1707" xr:uid="{00000000-0005-0000-0000-000084160000}"/>
    <cellStyle name="Normal 4 6 4 4 2" xfId="3937" xr:uid="{00000000-0005-0000-0000-000085160000}"/>
    <cellStyle name="Normal 4 6 4 4 2 2" xfId="8159" xr:uid="{00000000-0005-0000-0000-000086160000}"/>
    <cellStyle name="Normal 4 6 4 4 2 2 2" xfId="16654" xr:uid="{9ECF8772-3DDD-413C-8D35-16823E4694A1}"/>
    <cellStyle name="Normal 4 6 4 4 2 3" xfId="12441" xr:uid="{915BB003-C825-42C6-8D0C-036168E59EB2}"/>
    <cellStyle name="Normal 4 6 4 4 3" xfId="6014" xr:uid="{00000000-0005-0000-0000-000087160000}"/>
    <cellStyle name="Normal 4 6 4 4 3 2" xfId="14509" xr:uid="{82391D20-4A61-45FE-97A3-1BDD461DC935}"/>
    <cellStyle name="Normal 4 6 4 4 4" xfId="10296" xr:uid="{48A157CE-0EA5-4E17-972C-90741C7212F1}"/>
    <cellStyle name="Normal 4 6 4 5" xfId="2121" xr:uid="{00000000-0005-0000-0000-000088160000}"/>
    <cellStyle name="Normal 4 6 4 5 2" xfId="4350" xr:uid="{00000000-0005-0000-0000-000089160000}"/>
    <cellStyle name="Normal 4 6 4 5 2 2" xfId="8572" xr:uid="{00000000-0005-0000-0000-00008A160000}"/>
    <cellStyle name="Normal 4 6 4 5 2 2 2" xfId="17067" xr:uid="{5D7D4C8C-C127-4CC9-9F42-911DA91BA6E9}"/>
    <cellStyle name="Normal 4 6 4 5 2 3" xfId="12854" xr:uid="{9A4290CD-0AED-447C-8558-445684AAB622}"/>
    <cellStyle name="Normal 4 6 4 5 3" xfId="6427" xr:uid="{00000000-0005-0000-0000-00008B160000}"/>
    <cellStyle name="Normal 4 6 4 5 3 2" xfId="14922" xr:uid="{D321DE3C-6BD6-4D0A-9977-3177ED9AF792}"/>
    <cellStyle name="Normal 4 6 4 5 4" xfId="10709" xr:uid="{2054BC80-A755-4101-8A4E-A9FE208D818A}"/>
    <cellStyle name="Normal 4 6 4 6" xfId="2557" xr:uid="{00000000-0005-0000-0000-00008C160000}"/>
    <cellStyle name="Normal 4 6 4 6 2" xfId="6840" xr:uid="{00000000-0005-0000-0000-00008D160000}"/>
    <cellStyle name="Normal 4 6 4 6 2 2" xfId="15335" xr:uid="{2092AC8E-F9E4-401B-9E64-1ADAE524B0B6}"/>
    <cellStyle name="Normal 4 6 4 6 3" xfId="11122" xr:uid="{DC15D852-74B1-4CEC-80CC-FD0C162BFBF7}"/>
    <cellStyle name="Normal 4 6 4 7" xfId="4775" xr:uid="{00000000-0005-0000-0000-00008E160000}"/>
    <cellStyle name="Normal 4 6 4 7 2" xfId="13270" xr:uid="{59AEBFCB-2013-420F-A589-2000B3183F68}"/>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2 2 2" xfId="15821" xr:uid="{61593012-8578-4993-B111-40DA21F4349F}"/>
    <cellStyle name="Normal 4 6 5 2 3" xfId="11608" xr:uid="{7291BFA6-05BA-439E-BF2A-6E2364F9F5F5}"/>
    <cellStyle name="Normal 4 6 5 3" xfId="5181" xr:uid="{00000000-0005-0000-0000-000092160000}"/>
    <cellStyle name="Normal 4 6 5 3 2" xfId="13676" xr:uid="{8B5FB3D3-4D63-4517-AC01-2356B5959D56}"/>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2 2 2" xfId="16234" xr:uid="{050157CD-5A41-46FB-9BD5-EC636942DA16}"/>
    <cellStyle name="Normal 4 6 6 2 3" xfId="12021" xr:uid="{99D61A14-1A71-4FEE-B384-705FAA4CFB4B}"/>
    <cellStyle name="Normal 4 6 6 3" xfId="5594" xr:uid="{00000000-0005-0000-0000-000096160000}"/>
    <cellStyle name="Normal 4 6 6 3 2" xfId="14089" xr:uid="{262F727A-E4EE-4F51-8EBC-1265E33FCB18}"/>
    <cellStyle name="Normal 4 6 6 4" xfId="9876" xr:uid="{75726318-B940-405B-ADB0-4744744148D4}"/>
    <cellStyle name="Normal 4 6 7" xfId="1700" xr:uid="{00000000-0005-0000-0000-000097160000}"/>
    <cellStyle name="Normal 4 6 7 2" xfId="3930" xr:uid="{00000000-0005-0000-0000-000098160000}"/>
    <cellStyle name="Normal 4 6 7 2 2" xfId="8152" xr:uid="{00000000-0005-0000-0000-000099160000}"/>
    <cellStyle name="Normal 4 6 7 2 2 2" xfId="16647" xr:uid="{2CCBEC0E-EAF0-48C0-8559-FA29F94B5533}"/>
    <cellStyle name="Normal 4 6 7 2 3" xfId="12434" xr:uid="{CE7928CB-70B6-43EA-932F-E0DB659FF1B3}"/>
    <cellStyle name="Normal 4 6 7 3" xfId="6007" xr:uid="{00000000-0005-0000-0000-00009A160000}"/>
    <cellStyle name="Normal 4 6 7 3 2" xfId="14502" xr:uid="{05C9ECDC-C153-4B32-A775-313E8E7021C7}"/>
    <cellStyle name="Normal 4 6 7 4" xfId="10289" xr:uid="{9C641A90-7A86-4037-A92C-A6CB489B5C70}"/>
    <cellStyle name="Normal 4 6 8" xfId="2114" xr:uid="{00000000-0005-0000-0000-00009B160000}"/>
    <cellStyle name="Normal 4 6 8 2" xfId="4343" xr:uid="{00000000-0005-0000-0000-00009C160000}"/>
    <cellStyle name="Normal 4 6 8 2 2" xfId="8565" xr:uid="{00000000-0005-0000-0000-00009D160000}"/>
    <cellStyle name="Normal 4 6 8 2 2 2" xfId="17060" xr:uid="{833A9B29-748B-4BCB-9179-AFA171B293D5}"/>
    <cellStyle name="Normal 4 6 8 2 3" xfId="12847" xr:uid="{991FEB61-E05F-4775-8B72-00F527886FDD}"/>
    <cellStyle name="Normal 4 6 8 3" xfId="6420" xr:uid="{00000000-0005-0000-0000-00009E160000}"/>
    <cellStyle name="Normal 4 6 8 3 2" xfId="14915" xr:uid="{C83B8CEF-835D-457A-A7D2-0E09581ADEBD}"/>
    <cellStyle name="Normal 4 6 8 4" xfId="10702" xr:uid="{1AF4DDED-B715-43A3-8E83-1ACBECB6B1D8}"/>
    <cellStyle name="Normal 4 6 9" xfId="2550" xr:uid="{00000000-0005-0000-0000-00009F160000}"/>
    <cellStyle name="Normal 4 6 9 2" xfId="6833" xr:uid="{00000000-0005-0000-0000-0000A0160000}"/>
    <cellStyle name="Normal 4 6 9 2 2" xfId="15328" xr:uid="{DF44AB90-8E6A-4B0E-95CE-F61D93DD4896}"/>
    <cellStyle name="Normal 4 6 9 3" xfId="11115" xr:uid="{CB5D47A6-9A8D-4025-A29E-B78C9BF5968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5830" xr:uid="{4DAA1F70-5E18-4A7F-B1E9-F97510ABEC00}"/>
    <cellStyle name="Normal 4 7 2 2 2 3" xfId="11617" xr:uid="{6B063B42-E0E9-422F-A45B-C4A777E6915C}"/>
    <cellStyle name="Normal 4 7 2 2 3" xfId="5190" xr:uid="{00000000-0005-0000-0000-0000A6160000}"/>
    <cellStyle name="Normal 4 7 2 2 3 2" xfId="13685" xr:uid="{5E89F3B2-D1E0-4439-9CEC-EC47E3D2AB3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2 2 2" xfId="16243" xr:uid="{2720A07C-36F6-430F-B5FD-37EAE6C2BEB4}"/>
    <cellStyle name="Normal 4 7 2 3 2 3" xfId="12030" xr:uid="{A3897BD0-DE2F-434C-95DB-FDA908E36662}"/>
    <cellStyle name="Normal 4 7 2 3 3" xfId="5603" xr:uid="{00000000-0005-0000-0000-0000AA160000}"/>
    <cellStyle name="Normal 4 7 2 3 3 2" xfId="14098" xr:uid="{29132492-4DE6-42AC-A98E-EFCD5ADC595E}"/>
    <cellStyle name="Normal 4 7 2 3 4" xfId="9885" xr:uid="{CCF39180-FFE8-4DCD-9B3A-6DF7E8D8BA29}"/>
    <cellStyle name="Normal 4 7 2 4" xfId="1709" xr:uid="{00000000-0005-0000-0000-0000AB160000}"/>
    <cellStyle name="Normal 4 7 2 4 2" xfId="3939" xr:uid="{00000000-0005-0000-0000-0000AC160000}"/>
    <cellStyle name="Normal 4 7 2 4 2 2" xfId="8161" xr:uid="{00000000-0005-0000-0000-0000AD160000}"/>
    <cellStyle name="Normal 4 7 2 4 2 2 2" xfId="16656" xr:uid="{FADBA010-26D6-48AC-92DE-9A821E8E165A}"/>
    <cellStyle name="Normal 4 7 2 4 2 3" xfId="12443" xr:uid="{8185F736-922D-4269-A240-7F1E59211E3B}"/>
    <cellStyle name="Normal 4 7 2 4 3" xfId="6016" xr:uid="{00000000-0005-0000-0000-0000AE160000}"/>
    <cellStyle name="Normal 4 7 2 4 3 2" xfId="14511" xr:uid="{ED319ED0-6684-4DE0-B14B-45A12952A855}"/>
    <cellStyle name="Normal 4 7 2 4 4" xfId="10298" xr:uid="{73C4E269-1266-4DBD-9CEC-C259DD4C0FA6}"/>
    <cellStyle name="Normal 4 7 2 5" xfId="2123" xr:uid="{00000000-0005-0000-0000-0000AF160000}"/>
    <cellStyle name="Normal 4 7 2 5 2" xfId="4352" xr:uid="{00000000-0005-0000-0000-0000B0160000}"/>
    <cellStyle name="Normal 4 7 2 5 2 2" xfId="8574" xr:uid="{00000000-0005-0000-0000-0000B1160000}"/>
    <cellStyle name="Normal 4 7 2 5 2 2 2" xfId="17069" xr:uid="{49C06422-E80B-4F37-ACE7-ABBBD617BB23}"/>
    <cellStyle name="Normal 4 7 2 5 2 3" xfId="12856" xr:uid="{16A0EE58-CD76-4186-899A-7B6EB19B3A70}"/>
    <cellStyle name="Normal 4 7 2 5 3" xfId="6429" xr:uid="{00000000-0005-0000-0000-0000B2160000}"/>
    <cellStyle name="Normal 4 7 2 5 3 2" xfId="14924" xr:uid="{258CE4E7-E5F0-42B6-B8D1-1DD4E9F91ED0}"/>
    <cellStyle name="Normal 4 7 2 5 4" xfId="10711" xr:uid="{2FA329B8-8E50-43AA-A211-7A21F54F16E3}"/>
    <cellStyle name="Normal 4 7 2 6" xfId="2559" xr:uid="{00000000-0005-0000-0000-0000B3160000}"/>
    <cellStyle name="Normal 4 7 2 6 2" xfId="6842" xr:uid="{00000000-0005-0000-0000-0000B4160000}"/>
    <cellStyle name="Normal 4 7 2 6 2 2" xfId="15337" xr:uid="{5E11F1C4-60BF-40D9-9CD0-7A4E6A8D11D5}"/>
    <cellStyle name="Normal 4 7 2 6 3" xfId="11124" xr:uid="{FD72A27A-1F65-4779-93FC-92E5A3B2DC7A}"/>
    <cellStyle name="Normal 4 7 2 7" xfId="4777" xr:uid="{00000000-0005-0000-0000-0000B5160000}"/>
    <cellStyle name="Normal 4 7 2 7 2" xfId="13272" xr:uid="{649D246A-498A-425E-A967-D0A04E5E7D77}"/>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2 2 2" xfId="15829" xr:uid="{F1380D7E-500A-41E6-B812-4B142438E38F}"/>
    <cellStyle name="Normal 4 7 3 2 3" xfId="11616" xr:uid="{2FDFC5BB-9A6F-489C-ACF3-A18A54ECF286}"/>
    <cellStyle name="Normal 4 7 3 3" xfId="5189" xr:uid="{00000000-0005-0000-0000-0000B9160000}"/>
    <cellStyle name="Normal 4 7 3 3 2" xfId="13684" xr:uid="{15BA36ED-B4CA-4831-807A-1829CA5D47A4}"/>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2 2 2" xfId="16242" xr:uid="{0B4E43C0-C3DD-4044-89BD-A5C967B51021}"/>
    <cellStyle name="Normal 4 7 4 2 3" xfId="12029" xr:uid="{EA716C32-2AB7-4E20-AF49-00E0AC90944B}"/>
    <cellStyle name="Normal 4 7 4 3" xfId="5602" xr:uid="{00000000-0005-0000-0000-0000BD160000}"/>
    <cellStyle name="Normal 4 7 4 3 2" xfId="14097" xr:uid="{7E7BB34A-9961-44B3-8822-A950AF4336E9}"/>
    <cellStyle name="Normal 4 7 4 4" xfId="9884" xr:uid="{B37AA355-949D-4D75-88E2-05A4CC1CD40D}"/>
    <cellStyle name="Normal 4 7 5" xfId="1708" xr:uid="{00000000-0005-0000-0000-0000BE160000}"/>
    <cellStyle name="Normal 4 7 5 2" xfId="3938" xr:uid="{00000000-0005-0000-0000-0000BF160000}"/>
    <cellStyle name="Normal 4 7 5 2 2" xfId="8160" xr:uid="{00000000-0005-0000-0000-0000C0160000}"/>
    <cellStyle name="Normal 4 7 5 2 2 2" xfId="16655" xr:uid="{0C508EFA-08EB-4B28-B476-FC83673415FC}"/>
    <cellStyle name="Normal 4 7 5 2 3" xfId="12442" xr:uid="{06DC2129-8503-48AF-91A1-D787D6E4F5DC}"/>
    <cellStyle name="Normal 4 7 5 3" xfId="6015" xr:uid="{00000000-0005-0000-0000-0000C1160000}"/>
    <cellStyle name="Normal 4 7 5 3 2" xfId="14510" xr:uid="{729AFB45-58AA-468B-ABD9-E8ACBFB5ED18}"/>
    <cellStyle name="Normal 4 7 5 4" xfId="10297" xr:uid="{4DDFB609-8872-4275-9535-B7265BC6AA8B}"/>
    <cellStyle name="Normal 4 7 6" xfId="2122" xr:uid="{00000000-0005-0000-0000-0000C2160000}"/>
    <cellStyle name="Normal 4 7 6 2" xfId="4351" xr:uid="{00000000-0005-0000-0000-0000C3160000}"/>
    <cellStyle name="Normal 4 7 6 2 2" xfId="8573" xr:uid="{00000000-0005-0000-0000-0000C4160000}"/>
    <cellStyle name="Normal 4 7 6 2 2 2" xfId="17068" xr:uid="{DD1A4CDB-E51C-411E-BA5C-3187398AFCE2}"/>
    <cellStyle name="Normal 4 7 6 2 3" xfId="12855" xr:uid="{8DE0E4AB-B1F6-4A94-89A6-5BB911AB74AD}"/>
    <cellStyle name="Normal 4 7 6 3" xfId="6428" xr:uid="{00000000-0005-0000-0000-0000C5160000}"/>
    <cellStyle name="Normal 4 7 6 3 2" xfId="14923" xr:uid="{E05911E9-480F-4B48-BDD9-4A4723E3B7A4}"/>
    <cellStyle name="Normal 4 7 6 4" xfId="10710" xr:uid="{FB404A76-4DF1-4A84-9FEF-F03401445433}"/>
    <cellStyle name="Normal 4 7 7" xfId="2558" xr:uid="{00000000-0005-0000-0000-0000C6160000}"/>
    <cellStyle name="Normal 4 7 7 2" xfId="6841" xr:uid="{00000000-0005-0000-0000-0000C7160000}"/>
    <cellStyle name="Normal 4 7 7 2 2" xfId="15336" xr:uid="{7D9A8B9C-8E18-40D6-AB3B-E69A50FE2A31}"/>
    <cellStyle name="Normal 4 7 7 3" xfId="11123" xr:uid="{B4639DCC-D763-46C7-9048-169386C31059}"/>
    <cellStyle name="Normal 4 7 8" xfId="4776" xr:uid="{00000000-0005-0000-0000-0000C8160000}"/>
    <cellStyle name="Normal 4 7 8 2" xfId="13271" xr:uid="{57B2358F-50CF-43F4-8624-AFFAD763ED9D}"/>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5831" xr:uid="{B75E6B81-7AA4-4A07-8773-310921CE6ADD}"/>
    <cellStyle name="Normal 4 8 2 2 3" xfId="11618" xr:uid="{79E6024E-3920-43AA-9D52-B256767B701F}"/>
    <cellStyle name="Normal 4 8 2 3" xfId="5191" xr:uid="{00000000-0005-0000-0000-0000CD160000}"/>
    <cellStyle name="Normal 4 8 2 3 2" xfId="13686" xr:uid="{261E5DE1-E12D-4332-A08F-11DBE09F64BA}"/>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2 2 2" xfId="16244" xr:uid="{67F1E225-D2E2-4164-9EA1-AE2D2D7B9C78}"/>
    <cellStyle name="Normal 4 8 3 2 3" xfId="12031" xr:uid="{1370D356-A787-4DDB-A39F-8E6629132D46}"/>
    <cellStyle name="Normal 4 8 3 3" xfId="5604" xr:uid="{00000000-0005-0000-0000-0000D1160000}"/>
    <cellStyle name="Normal 4 8 3 3 2" xfId="14099" xr:uid="{E633533F-3960-4220-A981-74C55F2634D2}"/>
    <cellStyle name="Normal 4 8 3 4" xfId="9886" xr:uid="{C3A5B6AF-25CB-485A-8311-CE26292DD5DB}"/>
    <cellStyle name="Normal 4 8 4" xfId="1710" xr:uid="{00000000-0005-0000-0000-0000D2160000}"/>
    <cellStyle name="Normal 4 8 4 2" xfId="3940" xr:uid="{00000000-0005-0000-0000-0000D3160000}"/>
    <cellStyle name="Normal 4 8 4 2 2" xfId="8162" xr:uid="{00000000-0005-0000-0000-0000D4160000}"/>
    <cellStyle name="Normal 4 8 4 2 2 2" xfId="16657" xr:uid="{BC2EBD19-8C1E-4882-8298-3DC99696C1DB}"/>
    <cellStyle name="Normal 4 8 4 2 3" xfId="12444" xr:uid="{31820C8E-0053-4868-A334-1C1A31C14166}"/>
    <cellStyle name="Normal 4 8 4 3" xfId="6017" xr:uid="{00000000-0005-0000-0000-0000D5160000}"/>
    <cellStyle name="Normal 4 8 4 3 2" xfId="14512" xr:uid="{9FE65332-9C0D-4095-A240-36470E8ACC8E}"/>
    <cellStyle name="Normal 4 8 4 4" xfId="10299" xr:uid="{ED6C2DC3-67B7-413F-B4C4-C5296A03A713}"/>
    <cellStyle name="Normal 4 8 5" xfId="2124" xr:uid="{00000000-0005-0000-0000-0000D6160000}"/>
    <cellStyle name="Normal 4 8 5 2" xfId="4353" xr:uid="{00000000-0005-0000-0000-0000D7160000}"/>
    <cellStyle name="Normal 4 8 5 2 2" xfId="8575" xr:uid="{00000000-0005-0000-0000-0000D8160000}"/>
    <cellStyle name="Normal 4 8 5 2 2 2" xfId="17070" xr:uid="{2F2058D8-A71F-4A53-B554-228DAB9CDEFE}"/>
    <cellStyle name="Normal 4 8 5 2 3" xfId="12857" xr:uid="{CB210283-D45B-41BD-830B-B1C6A7C28A37}"/>
    <cellStyle name="Normal 4 8 5 3" xfId="6430" xr:uid="{00000000-0005-0000-0000-0000D9160000}"/>
    <cellStyle name="Normal 4 8 5 3 2" xfId="14925" xr:uid="{8FB7C684-474F-4C49-9057-5427C4DFD0DE}"/>
    <cellStyle name="Normal 4 8 5 4" xfId="10712" xr:uid="{2558E270-B61C-4B40-A818-02E509C1F8C3}"/>
    <cellStyle name="Normal 4 8 6" xfId="2560" xr:uid="{00000000-0005-0000-0000-0000DA160000}"/>
    <cellStyle name="Normal 4 8 6 2" xfId="6843" xr:uid="{00000000-0005-0000-0000-0000DB160000}"/>
    <cellStyle name="Normal 4 8 6 2 2" xfId="15338" xr:uid="{2C227C3D-9D5B-4C02-B534-68095968D5F9}"/>
    <cellStyle name="Normal 4 8 6 3" xfId="11125" xr:uid="{56F33363-686A-4FD4-B595-97180928E806}"/>
    <cellStyle name="Normal 4 8 7" xfId="4778" xr:uid="{00000000-0005-0000-0000-0000DC160000}"/>
    <cellStyle name="Normal 4 8 7 2" xfId="13273" xr:uid="{A2CFB0DE-BBCB-404E-9833-90C3ECD12D21}"/>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6658" xr:uid="{CD9369FE-8148-4BED-8418-575B9A604768}"/>
    <cellStyle name="Normal 5 10 2 3" xfId="12445" xr:uid="{B6394781-D833-493E-86A8-2D2EAC029D05}"/>
    <cellStyle name="Normal 5 10 3" xfId="6018" xr:uid="{00000000-0005-0000-0000-0000E2160000}"/>
    <cellStyle name="Normal 5 10 3 2" xfId="14513" xr:uid="{168793F2-1502-4A57-9E37-B1A00A7D7FE8}"/>
    <cellStyle name="Normal 5 10 4" xfId="10300" xr:uid="{AECE5C2F-7CF9-46B5-BF61-A6A02A39AE90}"/>
    <cellStyle name="Normal 5 11" xfId="2125" xr:uid="{00000000-0005-0000-0000-0000E3160000}"/>
    <cellStyle name="Normal 5 11 2" xfId="4354" xr:uid="{00000000-0005-0000-0000-0000E4160000}"/>
    <cellStyle name="Normal 5 11 2 2" xfId="8576" xr:uid="{00000000-0005-0000-0000-0000E5160000}"/>
    <cellStyle name="Normal 5 11 2 2 2" xfId="17071" xr:uid="{B9971F32-F931-496F-B50E-65131116B83C}"/>
    <cellStyle name="Normal 5 11 2 3" xfId="12858" xr:uid="{3C25B9D3-2FCF-4D71-9998-45F4CA58B8EA}"/>
    <cellStyle name="Normal 5 11 3" xfId="6431" xr:uid="{00000000-0005-0000-0000-0000E6160000}"/>
    <cellStyle name="Normal 5 11 3 2" xfId="14926" xr:uid="{0694333A-130C-4E1C-9A8B-9E3E041FB372}"/>
    <cellStyle name="Normal 5 11 4" xfId="10713" xr:uid="{8710B82C-0875-465B-B60C-18460FD7ED78}"/>
    <cellStyle name="Normal 5 12" xfId="2561" xr:uid="{00000000-0005-0000-0000-0000E7160000}"/>
    <cellStyle name="Normal 5 12 2" xfId="6844" xr:uid="{00000000-0005-0000-0000-0000E8160000}"/>
    <cellStyle name="Normal 5 12 2 2" xfId="15339" xr:uid="{71047A34-F464-4F91-A08E-1DF5EEB187F3}"/>
    <cellStyle name="Normal 5 12 3" xfId="11126" xr:uid="{F551C06D-030A-4C24-A87C-8D060DB196DC}"/>
    <cellStyle name="Normal 5 13" xfId="4779" xr:uid="{00000000-0005-0000-0000-0000E9160000}"/>
    <cellStyle name="Normal 5 13 2" xfId="13274" xr:uid="{FE6A64F0-3585-4E36-B9AD-03B5630ED06A}"/>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072" xr:uid="{7EFE1BD5-049C-4DD5-BF24-62943840083E}"/>
    <cellStyle name="Normal 5 2 10 2 3" xfId="12859" xr:uid="{6DB09FDD-9271-4B14-8F65-DF4CA4A77F17}"/>
    <cellStyle name="Normal 5 2 10 3" xfId="6432" xr:uid="{00000000-0005-0000-0000-0000EE160000}"/>
    <cellStyle name="Normal 5 2 10 3 2" xfId="14927" xr:uid="{A52CF4A6-9A15-4B15-90B5-30EE5F9CF859}"/>
    <cellStyle name="Normal 5 2 10 4" xfId="10714" xr:uid="{F69FEC8C-8CC8-4633-B6BE-879C07EAA8E6}"/>
    <cellStyle name="Normal 5 2 11" xfId="2562" xr:uid="{00000000-0005-0000-0000-0000EF160000}"/>
    <cellStyle name="Normal 5 2 11 2" xfId="6845" xr:uid="{00000000-0005-0000-0000-0000F0160000}"/>
    <cellStyle name="Normal 5 2 11 2 2" xfId="15340" xr:uid="{5AD6575C-E952-4298-8CD3-CE0706726A7C}"/>
    <cellStyle name="Normal 5 2 11 3" xfId="11127" xr:uid="{92477E7A-ED63-4EF6-9F7A-E3D17904397E}"/>
    <cellStyle name="Normal 5 2 12" xfId="4780" xr:uid="{00000000-0005-0000-0000-0000F1160000}"/>
    <cellStyle name="Normal 5 2 12 2" xfId="13275" xr:uid="{07DF5398-FB30-4F69-9083-66B465543F13}"/>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0 2 2" xfId="15341" xr:uid="{B4A2347A-9733-4189-A9AF-E631658ACCE1}"/>
    <cellStyle name="Normal 5 2 2 10 3" xfId="11128" xr:uid="{DC34466B-579C-4E5D-AB18-58F6AAABBA1A}"/>
    <cellStyle name="Normal 5 2 2 11" xfId="4781" xr:uid="{00000000-0005-0000-0000-0000F5160000}"/>
    <cellStyle name="Normal 5 2 2 11 2" xfId="13276" xr:uid="{0B2C7DCD-ACA0-4943-B29C-D569CF82FE63}"/>
    <cellStyle name="Normal 5 2 2 12" xfId="8753" xr:uid="{96D04E2F-D92F-448D-9FDA-8261D8BEE094}"/>
    <cellStyle name="Normal 5 2 2 2" xfId="409" xr:uid="{00000000-0005-0000-0000-0000F6160000}"/>
    <cellStyle name="Normal 5 2 2 2 10" xfId="4782" xr:uid="{00000000-0005-0000-0000-0000F7160000}"/>
    <cellStyle name="Normal 5 2 2 2 10 2" xfId="13277" xr:uid="{11B61B69-14DD-44EE-A2FA-B007F807904D}"/>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5838" xr:uid="{C19DEFAD-FD7A-42D7-B2BC-203E1B361DF4}"/>
    <cellStyle name="Normal 5 2 2 2 2 2 2 2 2 3" xfId="11625" xr:uid="{16B794A7-2AB4-4E7E-BB14-2670FC779C2D}"/>
    <cellStyle name="Normal 5 2 2 2 2 2 2 2 3" xfId="5198" xr:uid="{00000000-0005-0000-0000-0000FE160000}"/>
    <cellStyle name="Normal 5 2 2 2 2 2 2 2 3 2" xfId="13693" xr:uid="{B6E9C3DB-D8FB-4A77-B302-ED4956B951D3}"/>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6251" xr:uid="{6D6EE0D5-3D87-4134-B579-D625CB9CAA72}"/>
    <cellStyle name="Normal 5 2 2 2 2 2 2 3 2 3" xfId="12038" xr:uid="{BA206576-9FC5-49DE-B896-20929922B696}"/>
    <cellStyle name="Normal 5 2 2 2 2 2 2 3 3" xfId="5611" xr:uid="{00000000-0005-0000-0000-000002170000}"/>
    <cellStyle name="Normal 5 2 2 2 2 2 2 3 3 2" xfId="14106" xr:uid="{9A1A4588-8AA1-474A-8232-BC2C0A9E3929}"/>
    <cellStyle name="Normal 5 2 2 2 2 2 2 3 4" xfId="9893" xr:uid="{A12C6E23-A56C-4B2D-B519-E7A56ECF041B}"/>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6664" xr:uid="{6A6ACBAF-A917-4D6D-9944-CF3AC2A4A2FA}"/>
    <cellStyle name="Normal 5 2 2 2 2 2 2 4 2 3" xfId="12451" xr:uid="{862C0D49-58C1-4884-BAEF-A72EBDACFD78}"/>
    <cellStyle name="Normal 5 2 2 2 2 2 2 4 3" xfId="6024" xr:uid="{00000000-0005-0000-0000-000006170000}"/>
    <cellStyle name="Normal 5 2 2 2 2 2 2 4 3 2" xfId="14519" xr:uid="{F5D39236-F769-43CA-8D66-65854605285E}"/>
    <cellStyle name="Normal 5 2 2 2 2 2 2 4 4" xfId="10306" xr:uid="{AD287CCC-8B69-4619-87BF-71318EFBCB5A}"/>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077" xr:uid="{A377120E-6549-4292-9A42-E73A5E1630ED}"/>
    <cellStyle name="Normal 5 2 2 2 2 2 2 5 2 3" xfId="12864" xr:uid="{C9120921-6EE1-4E80-B107-EA0A8663E0AD}"/>
    <cellStyle name="Normal 5 2 2 2 2 2 2 5 3" xfId="6437" xr:uid="{00000000-0005-0000-0000-00000A170000}"/>
    <cellStyle name="Normal 5 2 2 2 2 2 2 5 3 2" xfId="14932" xr:uid="{BB7D5838-FA1B-4041-8CCA-FDB1E88F6D43}"/>
    <cellStyle name="Normal 5 2 2 2 2 2 2 5 4" xfId="10719" xr:uid="{E1255C13-494D-4282-A121-7E517E95143B}"/>
    <cellStyle name="Normal 5 2 2 2 2 2 2 6" xfId="2567" xr:uid="{00000000-0005-0000-0000-00000B170000}"/>
    <cellStyle name="Normal 5 2 2 2 2 2 2 6 2" xfId="6850" xr:uid="{00000000-0005-0000-0000-00000C170000}"/>
    <cellStyle name="Normal 5 2 2 2 2 2 2 6 2 2" xfId="15345" xr:uid="{AB6F9536-9FCD-42B3-AB94-47EB73E9FA16}"/>
    <cellStyle name="Normal 5 2 2 2 2 2 2 6 3" xfId="11132" xr:uid="{D616C8A3-0A07-4F35-A26E-F716DBB477A4}"/>
    <cellStyle name="Normal 5 2 2 2 2 2 2 7" xfId="4785" xr:uid="{00000000-0005-0000-0000-00000D170000}"/>
    <cellStyle name="Normal 5 2 2 2 2 2 2 7 2" xfId="13280" xr:uid="{4BB8CE19-AF30-43E8-88FF-C0FBD7AA865B}"/>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5837" xr:uid="{47CEF893-E6BC-4096-A9B6-22460F794B68}"/>
    <cellStyle name="Normal 5 2 2 2 2 2 3 2 3" xfId="11624" xr:uid="{3F23476B-8FD7-4265-B40E-B57487FE7CFF}"/>
    <cellStyle name="Normal 5 2 2 2 2 2 3 3" xfId="5197" xr:uid="{00000000-0005-0000-0000-000011170000}"/>
    <cellStyle name="Normal 5 2 2 2 2 2 3 3 2" xfId="13692" xr:uid="{435AF3DB-35CD-4762-9397-733F071B373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6250" xr:uid="{C9E7A2EB-B24C-4B01-ABEA-1F15516EEFC0}"/>
    <cellStyle name="Normal 5 2 2 2 2 2 4 2 3" xfId="12037" xr:uid="{99C7FEB0-C4D9-4594-937A-4016BA26B295}"/>
    <cellStyle name="Normal 5 2 2 2 2 2 4 3" xfId="5610" xr:uid="{00000000-0005-0000-0000-000015170000}"/>
    <cellStyle name="Normal 5 2 2 2 2 2 4 3 2" xfId="14105" xr:uid="{25CFCA07-98AF-4F81-B232-30D390773FC8}"/>
    <cellStyle name="Normal 5 2 2 2 2 2 4 4" xfId="9892" xr:uid="{285B6E17-39FB-4F89-974C-85D85CE3E54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6663" xr:uid="{0F95758E-520A-4583-B003-C974ED8D8A4D}"/>
    <cellStyle name="Normal 5 2 2 2 2 2 5 2 3" xfId="12450" xr:uid="{C3FE5BA4-4038-494D-9CD2-5B862474F7BD}"/>
    <cellStyle name="Normal 5 2 2 2 2 2 5 3" xfId="6023" xr:uid="{00000000-0005-0000-0000-000019170000}"/>
    <cellStyle name="Normal 5 2 2 2 2 2 5 3 2" xfId="14518" xr:uid="{9AEAFB11-169D-44FB-A099-6C7D355C7EF9}"/>
    <cellStyle name="Normal 5 2 2 2 2 2 5 4" xfId="10305" xr:uid="{211B00AD-A02B-4F16-BCAD-D63D8D491CE8}"/>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076" xr:uid="{6539D87B-2948-4802-85B7-92B0B66EC351}"/>
    <cellStyle name="Normal 5 2 2 2 2 2 6 2 3" xfId="12863" xr:uid="{2293DF80-2494-4829-8307-CA302C0076C4}"/>
    <cellStyle name="Normal 5 2 2 2 2 2 6 3" xfId="6436" xr:uid="{00000000-0005-0000-0000-00001D170000}"/>
    <cellStyle name="Normal 5 2 2 2 2 2 6 3 2" xfId="14931" xr:uid="{68DD1517-05AE-411B-BBDE-EED8DCA1B8A5}"/>
    <cellStyle name="Normal 5 2 2 2 2 2 6 4" xfId="10718" xr:uid="{F45ABB1F-909A-4194-B2FF-64943A6E6048}"/>
    <cellStyle name="Normal 5 2 2 2 2 2 7" xfId="2566" xr:uid="{00000000-0005-0000-0000-00001E170000}"/>
    <cellStyle name="Normal 5 2 2 2 2 2 7 2" xfId="6849" xr:uid="{00000000-0005-0000-0000-00001F170000}"/>
    <cellStyle name="Normal 5 2 2 2 2 2 7 2 2" xfId="15344" xr:uid="{59AC0F75-2171-4ABC-8598-02D0C1488D16}"/>
    <cellStyle name="Normal 5 2 2 2 2 2 7 3" xfId="11131" xr:uid="{5277462F-4F4F-42B9-B795-6394ED847A68}"/>
    <cellStyle name="Normal 5 2 2 2 2 2 8" xfId="4784" xr:uid="{00000000-0005-0000-0000-000020170000}"/>
    <cellStyle name="Normal 5 2 2 2 2 2 8 2" xfId="13279" xr:uid="{C2B5C76C-A6EA-4C56-BA84-8F5D5F52E38E}"/>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5839" xr:uid="{81B8CE1B-0953-4534-9C4D-890AE784B86C}"/>
    <cellStyle name="Normal 5 2 2 2 2 3 2 2 3" xfId="11626" xr:uid="{4FEE5ABE-A83A-4524-8C76-23543820B340}"/>
    <cellStyle name="Normal 5 2 2 2 2 3 2 3" xfId="5199" xr:uid="{00000000-0005-0000-0000-000025170000}"/>
    <cellStyle name="Normal 5 2 2 2 2 3 2 3 2" xfId="13694" xr:uid="{7A5D0CAA-B1CC-4B95-9C12-4071778B9FFE}"/>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6252" xr:uid="{F8E35EA7-F1BC-481B-825F-374488A830C0}"/>
    <cellStyle name="Normal 5 2 2 2 2 3 3 2 3" xfId="12039" xr:uid="{5858CE3F-CD52-4A73-9753-BE78BD87360C}"/>
    <cellStyle name="Normal 5 2 2 2 2 3 3 3" xfId="5612" xr:uid="{00000000-0005-0000-0000-000029170000}"/>
    <cellStyle name="Normal 5 2 2 2 2 3 3 3 2" xfId="14107" xr:uid="{22037C29-78A8-487C-9519-48608A6329BA}"/>
    <cellStyle name="Normal 5 2 2 2 2 3 3 4" xfId="9894" xr:uid="{B59BF3C0-C421-4FAE-B334-8CCDF2A07D41}"/>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6665" xr:uid="{C46496D6-F144-444A-9FEA-F19BFF046165}"/>
    <cellStyle name="Normal 5 2 2 2 2 3 4 2 3" xfId="12452" xr:uid="{14403ECE-B392-4AEC-B9AE-647E33CEEAC3}"/>
    <cellStyle name="Normal 5 2 2 2 2 3 4 3" xfId="6025" xr:uid="{00000000-0005-0000-0000-00002D170000}"/>
    <cellStyle name="Normal 5 2 2 2 2 3 4 3 2" xfId="14520" xr:uid="{34DFBE43-D7E3-4E37-BBE8-8776B1011F94}"/>
    <cellStyle name="Normal 5 2 2 2 2 3 4 4" xfId="10307" xr:uid="{AB17D1B9-7EF1-4882-ADD5-3E7FF19543D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078" xr:uid="{8A016FB0-FB89-4412-AE14-EFD0372BD016}"/>
    <cellStyle name="Normal 5 2 2 2 2 3 5 2 3" xfId="12865" xr:uid="{0930E611-3972-4223-89A3-8D21D3E60CF7}"/>
    <cellStyle name="Normal 5 2 2 2 2 3 5 3" xfId="6438" xr:uid="{00000000-0005-0000-0000-000031170000}"/>
    <cellStyle name="Normal 5 2 2 2 2 3 5 3 2" xfId="14933" xr:uid="{8D8DE189-6527-41C7-A144-85A23DABF5D3}"/>
    <cellStyle name="Normal 5 2 2 2 2 3 5 4" xfId="10720" xr:uid="{5C8F516B-98DE-4734-930A-F55B41162663}"/>
    <cellStyle name="Normal 5 2 2 2 2 3 6" xfId="2568" xr:uid="{00000000-0005-0000-0000-000032170000}"/>
    <cellStyle name="Normal 5 2 2 2 2 3 6 2" xfId="6851" xr:uid="{00000000-0005-0000-0000-000033170000}"/>
    <cellStyle name="Normal 5 2 2 2 2 3 6 2 2" xfId="15346" xr:uid="{0A3E4AFA-53E7-43B7-A49A-DDD40066A0E5}"/>
    <cellStyle name="Normal 5 2 2 2 2 3 6 3" xfId="11133" xr:uid="{4E568C88-4F98-4320-BEC0-793985E964DA}"/>
    <cellStyle name="Normal 5 2 2 2 2 3 7" xfId="4786" xr:uid="{00000000-0005-0000-0000-000034170000}"/>
    <cellStyle name="Normal 5 2 2 2 2 3 7 2" xfId="13281" xr:uid="{B5F8C764-87E6-4001-AB15-E42E9A6DE641}"/>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5836" xr:uid="{484D1D6A-1634-4DD1-B9CD-FA5A818923A7}"/>
    <cellStyle name="Normal 5 2 2 2 2 4 2 3" xfId="11623" xr:uid="{B6D01F03-8506-42D9-9A3D-AA4277904DBB}"/>
    <cellStyle name="Normal 5 2 2 2 2 4 3" xfId="5196" xr:uid="{00000000-0005-0000-0000-000038170000}"/>
    <cellStyle name="Normal 5 2 2 2 2 4 3 2" xfId="13691" xr:uid="{C0B6468A-91E7-43D7-9379-EB07E7296221}"/>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6249" xr:uid="{1D312762-14D7-4202-99A5-42EF3198B783}"/>
    <cellStyle name="Normal 5 2 2 2 2 5 2 3" xfId="12036" xr:uid="{291C7134-7ED1-4EBF-B84C-49F75305D1B6}"/>
    <cellStyle name="Normal 5 2 2 2 2 5 3" xfId="5609" xr:uid="{00000000-0005-0000-0000-00003C170000}"/>
    <cellStyle name="Normal 5 2 2 2 2 5 3 2" xfId="14104" xr:uid="{2EEEF706-FADC-4A0E-B64F-31E37C2D67BA}"/>
    <cellStyle name="Normal 5 2 2 2 2 5 4" xfId="9891" xr:uid="{687969F0-3DC2-4640-9ED0-3B8F96195509}"/>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6662" xr:uid="{2A55B4E7-967E-4A87-860D-937001E60DAD}"/>
    <cellStyle name="Normal 5 2 2 2 2 6 2 3" xfId="12449" xr:uid="{5C8FBB07-5219-488E-8963-D687623E374D}"/>
    <cellStyle name="Normal 5 2 2 2 2 6 3" xfId="6022" xr:uid="{00000000-0005-0000-0000-000040170000}"/>
    <cellStyle name="Normal 5 2 2 2 2 6 3 2" xfId="14517" xr:uid="{0FC15FE5-3DE0-4B79-B9F8-09FECDB2049B}"/>
    <cellStyle name="Normal 5 2 2 2 2 6 4" xfId="10304" xr:uid="{BEC3102F-CEC8-458D-9F75-833E1067CD11}"/>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075" xr:uid="{838D5FD5-215B-4371-8190-4B5255AB610A}"/>
    <cellStyle name="Normal 5 2 2 2 2 7 2 3" xfId="12862" xr:uid="{D0208E7A-765B-4475-89AF-1E902E1A0645}"/>
    <cellStyle name="Normal 5 2 2 2 2 7 3" xfId="6435" xr:uid="{00000000-0005-0000-0000-000044170000}"/>
    <cellStyle name="Normal 5 2 2 2 2 7 3 2" xfId="14930" xr:uid="{21AB2BCB-C75D-4E9F-B854-31C28F1C6095}"/>
    <cellStyle name="Normal 5 2 2 2 2 7 4" xfId="10717" xr:uid="{4B048BB6-6FBD-4390-B271-836DF8001DD0}"/>
    <cellStyle name="Normal 5 2 2 2 2 8" xfId="2565" xr:uid="{00000000-0005-0000-0000-000045170000}"/>
    <cellStyle name="Normal 5 2 2 2 2 8 2" xfId="6848" xr:uid="{00000000-0005-0000-0000-000046170000}"/>
    <cellStyle name="Normal 5 2 2 2 2 8 2 2" xfId="15343" xr:uid="{AED7BF2D-415D-41EB-9323-76CD544B51D5}"/>
    <cellStyle name="Normal 5 2 2 2 2 8 3" xfId="11130" xr:uid="{41CD0A74-DB8D-4E9B-A14C-121DA7711B43}"/>
    <cellStyle name="Normal 5 2 2 2 2 9" xfId="4783" xr:uid="{00000000-0005-0000-0000-000047170000}"/>
    <cellStyle name="Normal 5 2 2 2 2 9 2" xfId="13278" xr:uid="{86BFB685-E088-4EB2-A94E-742D93BAE517}"/>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5841" xr:uid="{A3A40A59-6003-4D82-93EE-DAFDC52A6642}"/>
    <cellStyle name="Normal 5 2 2 2 3 2 2 2 3" xfId="11628" xr:uid="{D71FB622-28AF-4E9C-8C65-6480BA79991A}"/>
    <cellStyle name="Normal 5 2 2 2 3 2 2 3" xfId="5201" xr:uid="{00000000-0005-0000-0000-00004D170000}"/>
    <cellStyle name="Normal 5 2 2 2 3 2 2 3 2" xfId="13696" xr:uid="{92D3355D-37A8-45EE-AD44-CBBE3615C48E}"/>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6254" xr:uid="{9CF44C19-C81D-4DE0-8B73-585A83DCF9CA}"/>
    <cellStyle name="Normal 5 2 2 2 3 2 3 2 3" xfId="12041" xr:uid="{D0220C61-A5BA-41A6-838A-6F37C5CAB66F}"/>
    <cellStyle name="Normal 5 2 2 2 3 2 3 3" xfId="5614" xr:uid="{00000000-0005-0000-0000-000051170000}"/>
    <cellStyle name="Normal 5 2 2 2 3 2 3 3 2" xfId="14109" xr:uid="{81FC404F-CCD2-4D5C-A64E-AA860E294642}"/>
    <cellStyle name="Normal 5 2 2 2 3 2 3 4" xfId="9896" xr:uid="{EB36E5E3-33E2-41BA-B047-0906D826E6F8}"/>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6667" xr:uid="{5A306AF4-D1AD-4771-BBE2-214757C43DC6}"/>
    <cellStyle name="Normal 5 2 2 2 3 2 4 2 3" xfId="12454" xr:uid="{E468C272-9EDD-455A-B304-51A6D2C130AC}"/>
    <cellStyle name="Normal 5 2 2 2 3 2 4 3" xfId="6027" xr:uid="{00000000-0005-0000-0000-000055170000}"/>
    <cellStyle name="Normal 5 2 2 2 3 2 4 3 2" xfId="14522" xr:uid="{02D33323-DBEE-4041-9960-3D782295698F}"/>
    <cellStyle name="Normal 5 2 2 2 3 2 4 4" xfId="10309" xr:uid="{A10132AE-F0C4-47D4-9C33-212B4AF36BC2}"/>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080" xr:uid="{14270783-A248-43CB-ACD6-921AB3C78D65}"/>
    <cellStyle name="Normal 5 2 2 2 3 2 5 2 3" xfId="12867" xr:uid="{C35E5573-A8AC-457F-AB47-EB02301CF25A}"/>
    <cellStyle name="Normal 5 2 2 2 3 2 5 3" xfId="6440" xr:uid="{00000000-0005-0000-0000-000059170000}"/>
    <cellStyle name="Normal 5 2 2 2 3 2 5 3 2" xfId="14935" xr:uid="{E2B84081-BFB3-4BCC-916C-5976DE20C1EC}"/>
    <cellStyle name="Normal 5 2 2 2 3 2 5 4" xfId="10722" xr:uid="{F43C17FB-2366-446F-B8DC-95C90BBBAC00}"/>
    <cellStyle name="Normal 5 2 2 2 3 2 6" xfId="2570" xr:uid="{00000000-0005-0000-0000-00005A170000}"/>
    <cellStyle name="Normal 5 2 2 2 3 2 6 2" xfId="6853" xr:uid="{00000000-0005-0000-0000-00005B170000}"/>
    <cellStyle name="Normal 5 2 2 2 3 2 6 2 2" xfId="15348" xr:uid="{1456A0E1-4836-4515-885D-C2DB32A30418}"/>
    <cellStyle name="Normal 5 2 2 2 3 2 6 3" xfId="11135" xr:uid="{AE166280-91B3-4E91-A3CE-32B39B4A3D4D}"/>
    <cellStyle name="Normal 5 2 2 2 3 2 7" xfId="4788" xr:uid="{00000000-0005-0000-0000-00005C170000}"/>
    <cellStyle name="Normal 5 2 2 2 3 2 7 2" xfId="13283" xr:uid="{FA769687-E463-4508-9968-30C59F35C8DD}"/>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5840" xr:uid="{9F789236-F1AC-4602-BB00-1857CCC23838}"/>
    <cellStyle name="Normal 5 2 2 2 3 3 2 3" xfId="11627" xr:uid="{92C63738-3139-43F0-877A-F30626DD0F67}"/>
    <cellStyle name="Normal 5 2 2 2 3 3 3" xfId="5200" xr:uid="{00000000-0005-0000-0000-000060170000}"/>
    <cellStyle name="Normal 5 2 2 2 3 3 3 2" xfId="13695" xr:uid="{5E2E5A53-7C05-45B6-AB44-78F6407FA749}"/>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6253" xr:uid="{2963C8BC-8934-409B-8C8C-F3D909C0DF27}"/>
    <cellStyle name="Normal 5 2 2 2 3 4 2 3" xfId="12040" xr:uid="{7F0878B2-10D1-40E6-BDF1-B975D6C100B6}"/>
    <cellStyle name="Normal 5 2 2 2 3 4 3" xfId="5613" xr:uid="{00000000-0005-0000-0000-000064170000}"/>
    <cellStyle name="Normal 5 2 2 2 3 4 3 2" xfId="14108" xr:uid="{2246CFAE-2FE3-490A-895B-989179D0AD7B}"/>
    <cellStyle name="Normal 5 2 2 2 3 4 4" xfId="9895" xr:uid="{6476BB1F-CCB3-4DB0-80B8-79DBCDE8D9B7}"/>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6666" xr:uid="{5AC959B1-AA8D-463B-8253-A5B573D251BC}"/>
    <cellStyle name="Normal 5 2 2 2 3 5 2 3" xfId="12453" xr:uid="{EA3B43D8-0A32-46A4-BC24-4881CCCA96C7}"/>
    <cellStyle name="Normal 5 2 2 2 3 5 3" xfId="6026" xr:uid="{00000000-0005-0000-0000-000068170000}"/>
    <cellStyle name="Normal 5 2 2 2 3 5 3 2" xfId="14521" xr:uid="{C04B8EAF-7FE7-4A97-8BD4-552A11A36380}"/>
    <cellStyle name="Normal 5 2 2 2 3 5 4" xfId="10308" xr:uid="{A6090688-D28B-4A2C-A89A-EE66F4B6A69E}"/>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079" xr:uid="{C178A1BF-08B4-4E3A-BA6E-013A78D15C84}"/>
    <cellStyle name="Normal 5 2 2 2 3 6 2 3" xfId="12866" xr:uid="{BB964736-C4FB-40FC-BC10-556C7A699E4C}"/>
    <cellStyle name="Normal 5 2 2 2 3 6 3" xfId="6439" xr:uid="{00000000-0005-0000-0000-00006C170000}"/>
    <cellStyle name="Normal 5 2 2 2 3 6 3 2" xfId="14934" xr:uid="{137510C2-CA57-49E2-8DFA-02F271E993FC}"/>
    <cellStyle name="Normal 5 2 2 2 3 6 4" xfId="10721" xr:uid="{87F7D190-89AE-4CD9-9A4B-ED57193E9AC4}"/>
    <cellStyle name="Normal 5 2 2 2 3 7" xfId="2569" xr:uid="{00000000-0005-0000-0000-00006D170000}"/>
    <cellStyle name="Normal 5 2 2 2 3 7 2" xfId="6852" xr:uid="{00000000-0005-0000-0000-00006E170000}"/>
    <cellStyle name="Normal 5 2 2 2 3 7 2 2" xfId="15347" xr:uid="{FA1CAE2E-E433-4B22-BEBE-5836631FF90C}"/>
    <cellStyle name="Normal 5 2 2 2 3 7 3" xfId="11134" xr:uid="{06FDD9B1-11A7-4FED-9C09-81C159D0E8D0}"/>
    <cellStyle name="Normal 5 2 2 2 3 8" xfId="4787" xr:uid="{00000000-0005-0000-0000-00006F170000}"/>
    <cellStyle name="Normal 5 2 2 2 3 8 2" xfId="13282" xr:uid="{AFB1AA7B-170D-4324-AB40-E52F61F5EFBF}"/>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5842" xr:uid="{BA23D9CE-1176-4BE2-BE24-85078A890EFC}"/>
    <cellStyle name="Normal 5 2 2 2 4 2 2 3" xfId="11629" xr:uid="{712E8613-A6E0-4111-A90E-BD17E09A90D9}"/>
    <cellStyle name="Normal 5 2 2 2 4 2 3" xfId="5202" xr:uid="{00000000-0005-0000-0000-000074170000}"/>
    <cellStyle name="Normal 5 2 2 2 4 2 3 2" xfId="13697" xr:uid="{ECB902E4-A841-4410-BA82-B03874466FB9}"/>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6255" xr:uid="{FE951622-BCCD-4552-84AC-0AAC239EF7E1}"/>
    <cellStyle name="Normal 5 2 2 2 4 3 2 3" xfId="12042" xr:uid="{50388CCC-B0C1-4343-91E7-5CA8BE988C63}"/>
    <cellStyle name="Normal 5 2 2 2 4 3 3" xfId="5615" xr:uid="{00000000-0005-0000-0000-000078170000}"/>
    <cellStyle name="Normal 5 2 2 2 4 3 3 2" xfId="14110" xr:uid="{A3F5FD40-CE7A-46B4-9260-E9652B0E15D5}"/>
    <cellStyle name="Normal 5 2 2 2 4 3 4" xfId="9897" xr:uid="{9AC16780-895F-44E9-91E8-C059C5FBCCFF}"/>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6668" xr:uid="{EFC5DFB6-075F-46E6-BC3A-F7F163B77159}"/>
    <cellStyle name="Normal 5 2 2 2 4 4 2 3" xfId="12455" xr:uid="{7D148863-3231-4C8E-9830-F383FBE53ADA}"/>
    <cellStyle name="Normal 5 2 2 2 4 4 3" xfId="6028" xr:uid="{00000000-0005-0000-0000-00007C170000}"/>
    <cellStyle name="Normal 5 2 2 2 4 4 3 2" xfId="14523" xr:uid="{E884228B-1C88-4B12-8907-C40819446D4A}"/>
    <cellStyle name="Normal 5 2 2 2 4 4 4" xfId="10310" xr:uid="{4578F5C1-45DF-433D-992B-6BC6B72EF71E}"/>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081" xr:uid="{0F7580CC-F003-4A6B-A664-80A20019B41B}"/>
    <cellStyle name="Normal 5 2 2 2 4 5 2 3" xfId="12868" xr:uid="{114E9B06-23C3-49BD-9F86-2E697F0FB598}"/>
    <cellStyle name="Normal 5 2 2 2 4 5 3" xfId="6441" xr:uid="{00000000-0005-0000-0000-000080170000}"/>
    <cellStyle name="Normal 5 2 2 2 4 5 3 2" xfId="14936" xr:uid="{6E3449DE-E7B2-4036-BC3F-BFEF4940E396}"/>
    <cellStyle name="Normal 5 2 2 2 4 5 4" xfId="10723" xr:uid="{325B2863-C950-4C16-85DB-AB76CA098F51}"/>
    <cellStyle name="Normal 5 2 2 2 4 6" xfId="2571" xr:uid="{00000000-0005-0000-0000-000081170000}"/>
    <cellStyle name="Normal 5 2 2 2 4 6 2" xfId="6854" xr:uid="{00000000-0005-0000-0000-000082170000}"/>
    <cellStyle name="Normal 5 2 2 2 4 6 2 2" xfId="15349" xr:uid="{3BCEA2DF-69C6-43DD-B222-686C1DE84277}"/>
    <cellStyle name="Normal 5 2 2 2 4 6 3" xfId="11136" xr:uid="{708758F0-86A6-48B0-95B9-9E21496E7E3A}"/>
    <cellStyle name="Normal 5 2 2 2 4 7" xfId="4789" xr:uid="{00000000-0005-0000-0000-000083170000}"/>
    <cellStyle name="Normal 5 2 2 2 4 7 2" xfId="13284" xr:uid="{C3E6B26C-C6F9-4B69-A13C-B4D4805B148E}"/>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5835" xr:uid="{5D3D1572-C562-4D51-8141-DECD2EAE9AA4}"/>
    <cellStyle name="Normal 5 2 2 2 5 2 3" xfId="11622" xr:uid="{E05D9F0C-7AEC-47D7-9661-B1204A386073}"/>
    <cellStyle name="Normal 5 2 2 2 5 3" xfId="5195" xr:uid="{00000000-0005-0000-0000-000087170000}"/>
    <cellStyle name="Normal 5 2 2 2 5 3 2" xfId="13690" xr:uid="{8DA2C803-49B5-48C7-BBA6-0B4BEFEA52C9}"/>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6248" xr:uid="{AF499C95-59C0-43C3-8ACC-FBDAA1A54AE2}"/>
    <cellStyle name="Normal 5 2 2 2 6 2 3" xfId="12035" xr:uid="{154A54FC-4499-4C0F-81B6-A43206B287EF}"/>
    <cellStyle name="Normal 5 2 2 2 6 3" xfId="5608" xr:uid="{00000000-0005-0000-0000-00008B170000}"/>
    <cellStyle name="Normal 5 2 2 2 6 3 2" xfId="14103" xr:uid="{AD42D412-BC46-468A-8117-816FA3FC05F9}"/>
    <cellStyle name="Normal 5 2 2 2 6 4" xfId="9890" xr:uid="{F4C0C17F-B485-4E7D-B07F-8F331735912F}"/>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6661" xr:uid="{B6FBF4C8-1413-4981-9156-96A797C062CA}"/>
    <cellStyle name="Normal 5 2 2 2 7 2 3" xfId="12448" xr:uid="{D54E923E-2E34-4873-82F0-ED89935F5B13}"/>
    <cellStyle name="Normal 5 2 2 2 7 3" xfId="6021" xr:uid="{00000000-0005-0000-0000-00008F170000}"/>
    <cellStyle name="Normal 5 2 2 2 7 3 2" xfId="14516" xr:uid="{17DE30E9-4ABC-44DC-A57D-697EC6A6A757}"/>
    <cellStyle name="Normal 5 2 2 2 7 4" xfId="10303" xr:uid="{9F58AF21-8DCE-4BBC-9877-95C317764C49}"/>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074" xr:uid="{5CD6D8E0-07D2-4325-B3D9-E0741779FBA6}"/>
    <cellStyle name="Normal 5 2 2 2 8 2 3" xfId="12861" xr:uid="{A864B715-FDD4-4C81-8BFF-529834A451C4}"/>
    <cellStyle name="Normal 5 2 2 2 8 3" xfId="6434" xr:uid="{00000000-0005-0000-0000-000093170000}"/>
    <cellStyle name="Normal 5 2 2 2 8 3 2" xfId="14929" xr:uid="{715785C1-A986-450E-91C8-734133C26D99}"/>
    <cellStyle name="Normal 5 2 2 2 8 4" xfId="10716" xr:uid="{C0425E6F-A7D0-456D-9224-22818FEE7C34}"/>
    <cellStyle name="Normal 5 2 2 2 9" xfId="2564" xr:uid="{00000000-0005-0000-0000-000094170000}"/>
    <cellStyle name="Normal 5 2 2 2 9 2" xfId="6847" xr:uid="{00000000-0005-0000-0000-000095170000}"/>
    <cellStyle name="Normal 5 2 2 2 9 2 2" xfId="15342" xr:uid="{E3534DB7-2414-4209-B1BA-4080EA9CE479}"/>
    <cellStyle name="Normal 5 2 2 2 9 3" xfId="11129" xr:uid="{C9D0C396-C986-4F4B-B3C8-553C3AF4D526}"/>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5845" xr:uid="{00222193-843F-469B-8E65-E1E35795FF9D}"/>
    <cellStyle name="Normal 5 2 2 3 2 2 2 2 3" xfId="11632" xr:uid="{72601C81-74CF-4465-A8E0-7BC99E31FD3A}"/>
    <cellStyle name="Normal 5 2 2 3 2 2 2 3" xfId="5205" xr:uid="{00000000-0005-0000-0000-00009C170000}"/>
    <cellStyle name="Normal 5 2 2 3 2 2 2 3 2" xfId="13700" xr:uid="{7D81FEF4-4D08-42AA-A029-A339F0B8E4C8}"/>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6258" xr:uid="{63F6EEE3-30A0-465B-9FCA-150197B8AA51}"/>
    <cellStyle name="Normal 5 2 2 3 2 2 3 2 3" xfId="12045" xr:uid="{05F68ACC-AE78-4FFE-92FF-C15F66D3D72B}"/>
    <cellStyle name="Normal 5 2 2 3 2 2 3 3" xfId="5618" xr:uid="{00000000-0005-0000-0000-0000A0170000}"/>
    <cellStyle name="Normal 5 2 2 3 2 2 3 3 2" xfId="14113" xr:uid="{D9DE381C-1DFB-443A-86D3-A9B130D87E80}"/>
    <cellStyle name="Normal 5 2 2 3 2 2 3 4" xfId="9900" xr:uid="{C80C5E4F-F208-4FE8-85B5-C48917A011FB}"/>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6671" xr:uid="{858FFD2B-0500-499D-8634-D9D77CD8CF5C}"/>
    <cellStyle name="Normal 5 2 2 3 2 2 4 2 3" xfId="12458" xr:uid="{0D8689D8-F0D9-4578-BFF1-262FF1E1F9F0}"/>
    <cellStyle name="Normal 5 2 2 3 2 2 4 3" xfId="6031" xr:uid="{00000000-0005-0000-0000-0000A4170000}"/>
    <cellStyle name="Normal 5 2 2 3 2 2 4 3 2" xfId="14526" xr:uid="{1394C4FF-2962-4233-A16B-630CEA89EBF7}"/>
    <cellStyle name="Normal 5 2 2 3 2 2 4 4" xfId="10313" xr:uid="{276805D3-1FF1-43A3-A368-554D764BA009}"/>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084" xr:uid="{9904F8CB-870C-4094-BC12-CA4549290B48}"/>
    <cellStyle name="Normal 5 2 2 3 2 2 5 2 3" xfId="12871" xr:uid="{F8F693A4-0012-461F-84BC-4238648F661B}"/>
    <cellStyle name="Normal 5 2 2 3 2 2 5 3" xfId="6444" xr:uid="{00000000-0005-0000-0000-0000A8170000}"/>
    <cellStyle name="Normal 5 2 2 3 2 2 5 3 2" xfId="14939" xr:uid="{8C94B486-B4E3-490C-B333-49ABDAA5A0EC}"/>
    <cellStyle name="Normal 5 2 2 3 2 2 5 4" xfId="10726" xr:uid="{8A7B06D6-E8C3-45C3-924A-E14B1F699D12}"/>
    <cellStyle name="Normal 5 2 2 3 2 2 6" xfId="2574" xr:uid="{00000000-0005-0000-0000-0000A9170000}"/>
    <cellStyle name="Normal 5 2 2 3 2 2 6 2" xfId="6857" xr:uid="{00000000-0005-0000-0000-0000AA170000}"/>
    <cellStyle name="Normal 5 2 2 3 2 2 6 2 2" xfId="15352" xr:uid="{8E3C21CD-435B-49DB-A6DE-ADC1D90B386E}"/>
    <cellStyle name="Normal 5 2 2 3 2 2 6 3" xfId="11139" xr:uid="{893FE2C6-2CED-4280-A970-5FB5EEE5C2CC}"/>
    <cellStyle name="Normal 5 2 2 3 2 2 7" xfId="4792" xr:uid="{00000000-0005-0000-0000-0000AB170000}"/>
    <cellStyle name="Normal 5 2 2 3 2 2 7 2" xfId="13287" xr:uid="{49AD9719-7E76-4D69-952C-C749F5336F2C}"/>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5844" xr:uid="{1EEC8C53-158C-43F1-8A76-0E791A2DC5F2}"/>
    <cellStyle name="Normal 5 2 2 3 2 3 2 3" xfId="11631" xr:uid="{6ECFB615-4686-4CB0-9973-585743AE9E69}"/>
    <cellStyle name="Normal 5 2 2 3 2 3 3" xfId="5204" xr:uid="{00000000-0005-0000-0000-0000AF170000}"/>
    <cellStyle name="Normal 5 2 2 3 2 3 3 2" xfId="13699" xr:uid="{E8589B26-4325-41F9-A86D-E7248B2CD544}"/>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6257" xr:uid="{71A825F6-7C1A-4945-8763-617A2AE05834}"/>
    <cellStyle name="Normal 5 2 2 3 2 4 2 3" xfId="12044" xr:uid="{F648CC95-74FC-4D80-A576-1F32C929037C}"/>
    <cellStyle name="Normal 5 2 2 3 2 4 3" xfId="5617" xr:uid="{00000000-0005-0000-0000-0000B3170000}"/>
    <cellStyle name="Normal 5 2 2 3 2 4 3 2" xfId="14112" xr:uid="{76082D09-C5B7-4E61-BB6B-E2E1D62D0B37}"/>
    <cellStyle name="Normal 5 2 2 3 2 4 4" xfId="9899" xr:uid="{96D51EBF-4ED6-45E4-BAE3-4D90F5871442}"/>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6670" xr:uid="{2CE3C5FC-BE96-4F73-8C7A-156103C18FC1}"/>
    <cellStyle name="Normal 5 2 2 3 2 5 2 3" xfId="12457" xr:uid="{523D36FE-0FE2-462A-AE8A-400F3ED1085A}"/>
    <cellStyle name="Normal 5 2 2 3 2 5 3" xfId="6030" xr:uid="{00000000-0005-0000-0000-0000B7170000}"/>
    <cellStyle name="Normal 5 2 2 3 2 5 3 2" xfId="14525" xr:uid="{B2FB5E3B-2998-463E-BDE8-673981E0C88B}"/>
    <cellStyle name="Normal 5 2 2 3 2 5 4" xfId="10312" xr:uid="{6D0FFF1C-1C7C-47C0-9D33-347322297A2B}"/>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083" xr:uid="{35438178-8EBB-4B5A-8B5A-C7CD1EE63608}"/>
    <cellStyle name="Normal 5 2 2 3 2 6 2 3" xfId="12870" xr:uid="{6B87F19D-A39A-4338-8E85-5BE6E64C3B25}"/>
    <cellStyle name="Normal 5 2 2 3 2 6 3" xfId="6443" xr:uid="{00000000-0005-0000-0000-0000BB170000}"/>
    <cellStyle name="Normal 5 2 2 3 2 6 3 2" xfId="14938" xr:uid="{17819D58-A154-463F-84B2-F75AE1CA98E7}"/>
    <cellStyle name="Normal 5 2 2 3 2 6 4" xfId="10725" xr:uid="{95FB8DEE-45DF-4A8C-AB32-2F474DC08314}"/>
    <cellStyle name="Normal 5 2 2 3 2 7" xfId="2573" xr:uid="{00000000-0005-0000-0000-0000BC170000}"/>
    <cellStyle name="Normal 5 2 2 3 2 7 2" xfId="6856" xr:uid="{00000000-0005-0000-0000-0000BD170000}"/>
    <cellStyle name="Normal 5 2 2 3 2 7 2 2" xfId="15351" xr:uid="{4025C1F0-DA7C-49DC-8A6A-D609E0BEDC21}"/>
    <cellStyle name="Normal 5 2 2 3 2 7 3" xfId="11138" xr:uid="{9AA53FEC-27BF-4C02-911E-B699DD5B063A}"/>
    <cellStyle name="Normal 5 2 2 3 2 8" xfId="4791" xr:uid="{00000000-0005-0000-0000-0000BE170000}"/>
    <cellStyle name="Normal 5 2 2 3 2 8 2" xfId="13286" xr:uid="{FEDB3298-67AC-4918-BF3E-DE975BE9C0FF}"/>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5846" xr:uid="{B40CB805-42FF-4573-A632-57D270A88999}"/>
    <cellStyle name="Normal 5 2 2 3 3 2 2 3" xfId="11633" xr:uid="{77C24B67-76D4-4495-9CA4-1114AEB7ECA7}"/>
    <cellStyle name="Normal 5 2 2 3 3 2 3" xfId="5206" xr:uid="{00000000-0005-0000-0000-0000C3170000}"/>
    <cellStyle name="Normal 5 2 2 3 3 2 3 2" xfId="13701" xr:uid="{D628997C-A4F7-4BF1-B099-1308C361E458}"/>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6259" xr:uid="{92AB10F3-F731-4376-B062-983D20D06B6C}"/>
    <cellStyle name="Normal 5 2 2 3 3 3 2 3" xfId="12046" xr:uid="{F0A1ED39-1A2D-4127-AF8F-BD17086C33A9}"/>
    <cellStyle name="Normal 5 2 2 3 3 3 3" xfId="5619" xr:uid="{00000000-0005-0000-0000-0000C7170000}"/>
    <cellStyle name="Normal 5 2 2 3 3 3 3 2" xfId="14114" xr:uid="{5BE4FF18-B216-4F9B-9C59-EF6341F9553F}"/>
    <cellStyle name="Normal 5 2 2 3 3 3 4" xfId="9901" xr:uid="{61CEDE23-41AE-44AE-B262-2EF432242E6B}"/>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6672" xr:uid="{59D5B9CD-BEBD-433E-8625-9003E20CC96F}"/>
    <cellStyle name="Normal 5 2 2 3 3 4 2 3" xfId="12459" xr:uid="{AE66F875-6119-4C6D-8AE9-8DF71E876669}"/>
    <cellStyle name="Normal 5 2 2 3 3 4 3" xfId="6032" xr:uid="{00000000-0005-0000-0000-0000CB170000}"/>
    <cellStyle name="Normal 5 2 2 3 3 4 3 2" xfId="14527" xr:uid="{562A165F-5020-44CB-A12E-7FF404430D06}"/>
    <cellStyle name="Normal 5 2 2 3 3 4 4" xfId="10314" xr:uid="{D1BA1C92-FDE0-4FD5-B770-BE9188A1A8C5}"/>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085" xr:uid="{9F50BDD6-D3D6-4DB7-997B-AB34405A68C4}"/>
    <cellStyle name="Normal 5 2 2 3 3 5 2 3" xfId="12872" xr:uid="{E39E6E17-2773-46D1-A139-F55DC776B5A0}"/>
    <cellStyle name="Normal 5 2 2 3 3 5 3" xfId="6445" xr:uid="{00000000-0005-0000-0000-0000CF170000}"/>
    <cellStyle name="Normal 5 2 2 3 3 5 3 2" xfId="14940" xr:uid="{3B27F2B8-A366-4BF2-864A-CDC5A07EB8C8}"/>
    <cellStyle name="Normal 5 2 2 3 3 5 4" xfId="10727" xr:uid="{7AFA30FD-956C-4B20-BB74-CE5781EB6FD3}"/>
    <cellStyle name="Normal 5 2 2 3 3 6" xfId="2575" xr:uid="{00000000-0005-0000-0000-0000D0170000}"/>
    <cellStyle name="Normal 5 2 2 3 3 6 2" xfId="6858" xr:uid="{00000000-0005-0000-0000-0000D1170000}"/>
    <cellStyle name="Normal 5 2 2 3 3 6 2 2" xfId="15353" xr:uid="{01DDFBE9-31E1-4D42-9D94-4C58525978DB}"/>
    <cellStyle name="Normal 5 2 2 3 3 6 3" xfId="11140" xr:uid="{1241FC5F-F57E-4AA4-B581-9CC82259F4C4}"/>
    <cellStyle name="Normal 5 2 2 3 3 7" xfId="4793" xr:uid="{00000000-0005-0000-0000-0000D2170000}"/>
    <cellStyle name="Normal 5 2 2 3 3 7 2" xfId="13288" xr:uid="{635C7877-AAAA-4545-BC37-0430F2D30427}"/>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5843" xr:uid="{B2D14895-A355-4808-A88A-69AE7D44D4C1}"/>
    <cellStyle name="Normal 5 2 2 3 4 2 3" xfId="11630" xr:uid="{0AA29881-2D35-4DCC-9333-DA4C7BE74022}"/>
    <cellStyle name="Normal 5 2 2 3 4 3" xfId="5203" xr:uid="{00000000-0005-0000-0000-0000D6170000}"/>
    <cellStyle name="Normal 5 2 2 3 4 3 2" xfId="13698" xr:uid="{7AABC8ED-69F7-4806-A0FC-B1AC5C842511}"/>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6256" xr:uid="{C61E1F46-BDAF-4C81-8820-F7AC96F2AE52}"/>
    <cellStyle name="Normal 5 2 2 3 5 2 3" xfId="12043" xr:uid="{9B30D5E1-8B9B-425F-B73D-4DB711576D30}"/>
    <cellStyle name="Normal 5 2 2 3 5 3" xfId="5616" xr:uid="{00000000-0005-0000-0000-0000DA170000}"/>
    <cellStyle name="Normal 5 2 2 3 5 3 2" xfId="14111" xr:uid="{253B5ADF-0C2D-4E48-A320-566CAF2C01D6}"/>
    <cellStyle name="Normal 5 2 2 3 5 4" xfId="9898" xr:uid="{5BBC1603-FB7E-4E5B-8C20-9D13E12380F2}"/>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6669" xr:uid="{76E4D96C-59C4-4F90-9136-70F520A2F8B9}"/>
    <cellStyle name="Normal 5 2 2 3 6 2 3" xfId="12456" xr:uid="{C8A3CFD6-8A53-4EBE-A230-AA1B7CB4CD2B}"/>
    <cellStyle name="Normal 5 2 2 3 6 3" xfId="6029" xr:uid="{00000000-0005-0000-0000-0000DE170000}"/>
    <cellStyle name="Normal 5 2 2 3 6 3 2" xfId="14524" xr:uid="{6D5426F3-7550-460C-94D0-46466DA94C05}"/>
    <cellStyle name="Normal 5 2 2 3 6 4" xfId="10311" xr:uid="{4BA689A1-95B6-4B44-916F-620A5C60DA85}"/>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082" xr:uid="{08A71B4F-822D-43F8-8C56-A24F991DD0EA}"/>
    <cellStyle name="Normal 5 2 2 3 7 2 3" xfId="12869" xr:uid="{4070005F-0C5C-4DC9-8E96-7E3D494F283F}"/>
    <cellStyle name="Normal 5 2 2 3 7 3" xfId="6442" xr:uid="{00000000-0005-0000-0000-0000E2170000}"/>
    <cellStyle name="Normal 5 2 2 3 7 3 2" xfId="14937" xr:uid="{44EF8B7A-7A71-4B83-A95B-14C9A8CF2354}"/>
    <cellStyle name="Normal 5 2 2 3 7 4" xfId="10724" xr:uid="{D9510D00-90B0-43B7-8CE5-43343E28620D}"/>
    <cellStyle name="Normal 5 2 2 3 8" xfId="2572" xr:uid="{00000000-0005-0000-0000-0000E3170000}"/>
    <cellStyle name="Normal 5 2 2 3 8 2" xfId="6855" xr:uid="{00000000-0005-0000-0000-0000E4170000}"/>
    <cellStyle name="Normal 5 2 2 3 8 2 2" xfId="15350" xr:uid="{853D26E2-A4D5-4646-81D3-5BBB14068F6E}"/>
    <cellStyle name="Normal 5 2 2 3 8 3" xfId="11137" xr:uid="{B0C7CC9B-63FA-4486-A3CC-DD3FF0CDAA7A}"/>
    <cellStyle name="Normal 5 2 2 3 9" xfId="4790" xr:uid="{00000000-0005-0000-0000-0000E5170000}"/>
    <cellStyle name="Normal 5 2 2 3 9 2" xfId="13285" xr:uid="{647970F8-C67D-433B-AA3D-0B53AA3B443D}"/>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5848" xr:uid="{0E7E3954-9EE2-4AFF-B71C-0647C4E50F5B}"/>
    <cellStyle name="Normal 5 2 2 4 2 2 2 3" xfId="11635" xr:uid="{B0E1B7B5-FE57-441E-B3E1-A03E9ACC0B5B}"/>
    <cellStyle name="Normal 5 2 2 4 2 2 3" xfId="5208" xr:uid="{00000000-0005-0000-0000-0000EB170000}"/>
    <cellStyle name="Normal 5 2 2 4 2 2 3 2" xfId="13703" xr:uid="{B8B30642-4E0C-48EA-A444-23DF3E363003}"/>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6261" xr:uid="{8F3995C9-7DF9-421B-9A14-EBE6441FF6AA}"/>
    <cellStyle name="Normal 5 2 2 4 2 3 2 3" xfId="12048" xr:uid="{426A7BE5-6159-4159-9EE8-D6414A898DD9}"/>
    <cellStyle name="Normal 5 2 2 4 2 3 3" xfId="5621" xr:uid="{00000000-0005-0000-0000-0000EF170000}"/>
    <cellStyle name="Normal 5 2 2 4 2 3 3 2" xfId="14116" xr:uid="{CE1A52F6-3989-40F8-84CF-F8743B13C900}"/>
    <cellStyle name="Normal 5 2 2 4 2 3 4" xfId="9903" xr:uid="{62B893B1-E7F0-49F2-BD0E-B45287A57799}"/>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6674" xr:uid="{DA912EA7-D5CD-4FC6-B174-09E73A216C92}"/>
    <cellStyle name="Normal 5 2 2 4 2 4 2 3" xfId="12461" xr:uid="{79CDD7CA-F608-4A21-9F7C-9089A2D9CF58}"/>
    <cellStyle name="Normal 5 2 2 4 2 4 3" xfId="6034" xr:uid="{00000000-0005-0000-0000-0000F3170000}"/>
    <cellStyle name="Normal 5 2 2 4 2 4 3 2" xfId="14529" xr:uid="{78A017F2-F931-4640-A284-E60AB452CE1F}"/>
    <cellStyle name="Normal 5 2 2 4 2 4 4" xfId="10316" xr:uid="{A0017818-D163-4D7B-B02F-40E05923AF66}"/>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087" xr:uid="{83A99057-9E4E-4608-B60B-FBC5A07659C6}"/>
    <cellStyle name="Normal 5 2 2 4 2 5 2 3" xfId="12874" xr:uid="{29B5F5CF-C0EF-4403-9DEB-19B71D48DD15}"/>
    <cellStyle name="Normal 5 2 2 4 2 5 3" xfId="6447" xr:uid="{00000000-0005-0000-0000-0000F7170000}"/>
    <cellStyle name="Normal 5 2 2 4 2 5 3 2" xfId="14942" xr:uid="{10D2CC1C-6F58-429E-80C4-CAA8B4EE8036}"/>
    <cellStyle name="Normal 5 2 2 4 2 5 4" xfId="10729" xr:uid="{AE5E0BC4-F44A-4CA1-B865-C4D03534218F}"/>
    <cellStyle name="Normal 5 2 2 4 2 6" xfId="2577" xr:uid="{00000000-0005-0000-0000-0000F8170000}"/>
    <cellStyle name="Normal 5 2 2 4 2 6 2" xfId="6860" xr:uid="{00000000-0005-0000-0000-0000F9170000}"/>
    <cellStyle name="Normal 5 2 2 4 2 6 2 2" xfId="15355" xr:uid="{A755FA51-1384-402F-9EFC-E8E8086B448B}"/>
    <cellStyle name="Normal 5 2 2 4 2 6 3" xfId="11142" xr:uid="{098C4367-D81B-4B44-A4D3-4DC2E21592A0}"/>
    <cellStyle name="Normal 5 2 2 4 2 7" xfId="4795" xr:uid="{00000000-0005-0000-0000-0000FA170000}"/>
    <cellStyle name="Normal 5 2 2 4 2 7 2" xfId="13290" xr:uid="{5C51198E-4063-4A1C-A1F2-D537EFFD2257}"/>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5847" xr:uid="{6CD35077-A0D6-4F49-B48B-892B7BEE6654}"/>
    <cellStyle name="Normal 5 2 2 4 3 2 3" xfId="11634" xr:uid="{2EF5D272-2F87-44E5-8C19-B248569B9A1B}"/>
    <cellStyle name="Normal 5 2 2 4 3 3" xfId="5207" xr:uid="{00000000-0005-0000-0000-0000FE170000}"/>
    <cellStyle name="Normal 5 2 2 4 3 3 2" xfId="13702" xr:uid="{7EA7C22D-5B34-4404-AD36-533D7E39AA2A}"/>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6260" xr:uid="{2A0B31BE-07B2-40EE-9F77-1B6F85B08652}"/>
    <cellStyle name="Normal 5 2 2 4 4 2 3" xfId="12047" xr:uid="{1DB8F4CB-6149-4C65-8955-29BA7C9865E8}"/>
    <cellStyle name="Normal 5 2 2 4 4 3" xfId="5620" xr:uid="{00000000-0005-0000-0000-000002180000}"/>
    <cellStyle name="Normal 5 2 2 4 4 3 2" xfId="14115" xr:uid="{0FBD245B-580C-4B41-B707-9C034A2BBBB7}"/>
    <cellStyle name="Normal 5 2 2 4 4 4" xfId="9902" xr:uid="{5C9165BA-FC63-43B9-AF7C-E72578B5C5D9}"/>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6673" xr:uid="{8221AAD3-CC6C-4480-BEEC-74C2D83AC922}"/>
    <cellStyle name="Normal 5 2 2 4 5 2 3" xfId="12460" xr:uid="{DD46D423-D6AC-4933-8BEF-9E0C922A09DB}"/>
    <cellStyle name="Normal 5 2 2 4 5 3" xfId="6033" xr:uid="{00000000-0005-0000-0000-000006180000}"/>
    <cellStyle name="Normal 5 2 2 4 5 3 2" xfId="14528" xr:uid="{217693C1-B852-469B-B113-9118473D387B}"/>
    <cellStyle name="Normal 5 2 2 4 5 4" xfId="10315" xr:uid="{A582DF54-B502-4E29-92B8-40E28658763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086" xr:uid="{B23F281D-DB35-468C-B9CD-E0DC3C992997}"/>
    <cellStyle name="Normal 5 2 2 4 6 2 3" xfId="12873" xr:uid="{A652403D-12FA-4F89-935E-5149685F09A4}"/>
    <cellStyle name="Normal 5 2 2 4 6 3" xfId="6446" xr:uid="{00000000-0005-0000-0000-00000A180000}"/>
    <cellStyle name="Normal 5 2 2 4 6 3 2" xfId="14941" xr:uid="{7CF9D6A1-1553-499B-8A51-68E045B6403B}"/>
    <cellStyle name="Normal 5 2 2 4 6 4" xfId="10728" xr:uid="{C6EFE39A-EE00-4578-961F-AE11F6B6107B}"/>
    <cellStyle name="Normal 5 2 2 4 7" xfId="2576" xr:uid="{00000000-0005-0000-0000-00000B180000}"/>
    <cellStyle name="Normal 5 2 2 4 7 2" xfId="6859" xr:uid="{00000000-0005-0000-0000-00000C180000}"/>
    <cellStyle name="Normal 5 2 2 4 7 2 2" xfId="15354" xr:uid="{A3C824B3-34EF-4371-9E02-A1E67C0B641A}"/>
    <cellStyle name="Normal 5 2 2 4 7 3" xfId="11141" xr:uid="{A5EC8DD9-F69E-4530-8B7B-3684D56F26AC}"/>
    <cellStyle name="Normal 5 2 2 4 8" xfId="4794" xr:uid="{00000000-0005-0000-0000-00000D180000}"/>
    <cellStyle name="Normal 5 2 2 4 8 2" xfId="13289" xr:uid="{F1701D33-1302-4C81-8123-B11B32AA6914}"/>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5849" xr:uid="{BD277718-A8BF-4A09-A44B-65BD30A1063E}"/>
    <cellStyle name="Normal 5 2 2 5 2 2 3" xfId="11636" xr:uid="{E7365751-5465-43C1-900A-6EC80FB2293D}"/>
    <cellStyle name="Normal 5 2 2 5 2 3" xfId="5209" xr:uid="{00000000-0005-0000-0000-000012180000}"/>
    <cellStyle name="Normal 5 2 2 5 2 3 2" xfId="13704" xr:uid="{066DF637-8C1D-4479-B172-9E47D5288F07}"/>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6262" xr:uid="{3AAE3000-A093-43D0-B037-F85C19AF9D4E}"/>
    <cellStyle name="Normal 5 2 2 5 3 2 3" xfId="12049" xr:uid="{E9AD8625-EBBC-4B2C-A133-F99CB952E3FF}"/>
    <cellStyle name="Normal 5 2 2 5 3 3" xfId="5622" xr:uid="{00000000-0005-0000-0000-000016180000}"/>
    <cellStyle name="Normal 5 2 2 5 3 3 2" xfId="14117" xr:uid="{DD0B9830-F637-4D68-9733-1D4CBF15A9B3}"/>
    <cellStyle name="Normal 5 2 2 5 3 4" xfId="9904" xr:uid="{71759A67-B8CD-4BF8-9582-070DF2B1252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6675" xr:uid="{B20F99DD-4CE2-4978-AAC9-632FC10459A2}"/>
    <cellStyle name="Normal 5 2 2 5 4 2 3" xfId="12462" xr:uid="{BF986B10-EF01-41BF-A45C-95A1284E1732}"/>
    <cellStyle name="Normal 5 2 2 5 4 3" xfId="6035" xr:uid="{00000000-0005-0000-0000-00001A180000}"/>
    <cellStyle name="Normal 5 2 2 5 4 3 2" xfId="14530" xr:uid="{5F73E309-0EE3-400F-8223-D2370D2964AD}"/>
    <cellStyle name="Normal 5 2 2 5 4 4" xfId="10317" xr:uid="{F3CB4FE8-3033-4AF9-8063-02B888F6C548}"/>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088" xr:uid="{BEF2CF6B-67C2-4506-A816-318D0CBD20A9}"/>
    <cellStyle name="Normal 5 2 2 5 5 2 3" xfId="12875" xr:uid="{E1800884-A2D9-48A2-B635-989D423F9E08}"/>
    <cellStyle name="Normal 5 2 2 5 5 3" xfId="6448" xr:uid="{00000000-0005-0000-0000-00001E180000}"/>
    <cellStyle name="Normal 5 2 2 5 5 3 2" xfId="14943" xr:uid="{D428F3E6-FE68-489C-8237-93F68794ECE7}"/>
    <cellStyle name="Normal 5 2 2 5 5 4" xfId="10730" xr:uid="{BC11F61C-9276-4612-B3EF-12AACD5C7E1F}"/>
    <cellStyle name="Normal 5 2 2 5 6" xfId="2578" xr:uid="{00000000-0005-0000-0000-00001F180000}"/>
    <cellStyle name="Normal 5 2 2 5 6 2" xfId="6861" xr:uid="{00000000-0005-0000-0000-000020180000}"/>
    <cellStyle name="Normal 5 2 2 5 6 2 2" xfId="15356" xr:uid="{3A1F0E1A-F290-40D9-95C7-1323CFE5AD27}"/>
    <cellStyle name="Normal 5 2 2 5 6 3" xfId="11143" xr:uid="{ED57DE4F-D94A-46EC-95CB-B761C72F8396}"/>
    <cellStyle name="Normal 5 2 2 5 7" xfId="4796" xr:uid="{00000000-0005-0000-0000-000021180000}"/>
    <cellStyle name="Normal 5 2 2 5 7 2" xfId="13291" xr:uid="{202622AC-5D79-43E0-BBF7-61EE64A1A37D}"/>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2 2 2" xfId="15834" xr:uid="{E3DC6562-114F-4752-87D8-05FAA666C38D}"/>
    <cellStyle name="Normal 5 2 2 6 2 3" xfId="11621" xr:uid="{9205DEF8-A66E-4CB9-B831-B629E8371546}"/>
    <cellStyle name="Normal 5 2 2 6 3" xfId="5194" xr:uid="{00000000-0005-0000-0000-000025180000}"/>
    <cellStyle name="Normal 5 2 2 6 3 2" xfId="13689" xr:uid="{E137D9BD-850D-4282-A210-864FEF3F1A4A}"/>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2 2 2" xfId="16247" xr:uid="{FA09B00E-94F4-4370-9428-909A2EE07A4D}"/>
    <cellStyle name="Normal 5 2 2 7 2 3" xfId="12034" xr:uid="{49165078-2EA6-4A74-B4F5-27C6F76C14C7}"/>
    <cellStyle name="Normal 5 2 2 7 3" xfId="5607" xr:uid="{00000000-0005-0000-0000-000029180000}"/>
    <cellStyle name="Normal 5 2 2 7 3 2" xfId="14102" xr:uid="{D7D8756E-E135-4889-A1A7-5AE6FF03786A}"/>
    <cellStyle name="Normal 5 2 2 7 4" xfId="9889" xr:uid="{4024BBF9-B274-4699-8CD7-8E506C8BD2C0}"/>
    <cellStyle name="Normal 5 2 2 8" xfId="1713" xr:uid="{00000000-0005-0000-0000-00002A180000}"/>
    <cellStyle name="Normal 5 2 2 8 2" xfId="3943" xr:uid="{00000000-0005-0000-0000-00002B180000}"/>
    <cellStyle name="Normal 5 2 2 8 2 2" xfId="8165" xr:uid="{00000000-0005-0000-0000-00002C180000}"/>
    <cellStyle name="Normal 5 2 2 8 2 2 2" xfId="16660" xr:uid="{86E6E8C5-A70D-457A-B68E-E03838DBECE7}"/>
    <cellStyle name="Normal 5 2 2 8 2 3" xfId="12447" xr:uid="{3335CA63-D07A-4A4C-9483-D85A014D6D34}"/>
    <cellStyle name="Normal 5 2 2 8 3" xfId="6020" xr:uid="{00000000-0005-0000-0000-00002D180000}"/>
    <cellStyle name="Normal 5 2 2 8 3 2" xfId="14515" xr:uid="{115CEFA0-A67D-46B5-9487-B203D7139926}"/>
    <cellStyle name="Normal 5 2 2 8 4" xfId="10302" xr:uid="{C07E9562-2DA9-49F1-872D-5963ADA114E8}"/>
    <cellStyle name="Normal 5 2 2 9" xfId="2127" xr:uid="{00000000-0005-0000-0000-00002E180000}"/>
    <cellStyle name="Normal 5 2 2 9 2" xfId="4356" xr:uid="{00000000-0005-0000-0000-00002F180000}"/>
    <cellStyle name="Normal 5 2 2 9 2 2" xfId="8578" xr:uid="{00000000-0005-0000-0000-000030180000}"/>
    <cellStyle name="Normal 5 2 2 9 2 2 2" xfId="17073" xr:uid="{78547547-648E-4CB9-8826-1D37790A3CB2}"/>
    <cellStyle name="Normal 5 2 2 9 2 3" xfId="12860" xr:uid="{73FE33FD-6FA6-4403-BF3F-59E2D9888AA7}"/>
    <cellStyle name="Normal 5 2 2 9 3" xfId="6433" xr:uid="{00000000-0005-0000-0000-000031180000}"/>
    <cellStyle name="Normal 5 2 2 9 3 2" xfId="14928" xr:uid="{0051D057-F264-4353-97D4-727B2B051DE4}"/>
    <cellStyle name="Normal 5 2 2 9 4" xfId="10715" xr:uid="{C2D35158-A93F-4719-89D5-52327B8EFF03}"/>
    <cellStyle name="Normal 5 2 3" xfId="424" xr:uid="{00000000-0005-0000-0000-000032180000}"/>
    <cellStyle name="Normal 5 2 3 10" xfId="4797" xr:uid="{00000000-0005-0000-0000-000033180000}"/>
    <cellStyle name="Normal 5 2 3 10 2" xfId="13292" xr:uid="{FB1F7454-06B4-4A7A-99F0-B47927798646}"/>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5853" xr:uid="{FBF84596-F1AF-4932-B12F-61F0955D4A7F}"/>
    <cellStyle name="Normal 5 2 3 2 2 2 2 2 3" xfId="11640" xr:uid="{3CAE0696-717F-4075-83AD-F3D1B7B74B88}"/>
    <cellStyle name="Normal 5 2 3 2 2 2 2 3" xfId="5213" xr:uid="{00000000-0005-0000-0000-00003A180000}"/>
    <cellStyle name="Normal 5 2 3 2 2 2 2 3 2" xfId="13708" xr:uid="{FABC8C96-1844-40FE-8C69-D83CCFA07771}"/>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6266" xr:uid="{4E823C30-C549-47C7-9C19-14527632AD5C}"/>
    <cellStyle name="Normal 5 2 3 2 2 2 3 2 3" xfId="12053" xr:uid="{84B379DE-B6FA-4C73-96BA-B2E3BB3956CB}"/>
    <cellStyle name="Normal 5 2 3 2 2 2 3 3" xfId="5626" xr:uid="{00000000-0005-0000-0000-00003E180000}"/>
    <cellStyle name="Normal 5 2 3 2 2 2 3 3 2" xfId="14121" xr:uid="{55D3D887-3A9B-4A94-82BD-5B9168595E31}"/>
    <cellStyle name="Normal 5 2 3 2 2 2 3 4" xfId="9908" xr:uid="{953D913D-0CDD-42BD-9263-BD343D403D2E}"/>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6679" xr:uid="{E3B8EEF4-32E9-4782-B899-84904BB49E8C}"/>
    <cellStyle name="Normal 5 2 3 2 2 2 4 2 3" xfId="12466" xr:uid="{73A08A5C-B456-4D25-8EF0-EBC7EB85E674}"/>
    <cellStyle name="Normal 5 2 3 2 2 2 4 3" xfId="6039" xr:uid="{00000000-0005-0000-0000-000042180000}"/>
    <cellStyle name="Normal 5 2 3 2 2 2 4 3 2" xfId="14534" xr:uid="{6F1FEC54-0EA5-4A22-85A0-76C2DDD79FD6}"/>
    <cellStyle name="Normal 5 2 3 2 2 2 4 4" xfId="10321" xr:uid="{E0C4C051-9F6D-4909-BA10-0F645AAA6A91}"/>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092" xr:uid="{9CE07557-7129-4939-834F-CBDA59EB6009}"/>
    <cellStyle name="Normal 5 2 3 2 2 2 5 2 3" xfId="12879" xr:uid="{45ECEA91-3E5F-4174-B340-5910284222E3}"/>
    <cellStyle name="Normal 5 2 3 2 2 2 5 3" xfId="6452" xr:uid="{00000000-0005-0000-0000-000046180000}"/>
    <cellStyle name="Normal 5 2 3 2 2 2 5 3 2" xfId="14947" xr:uid="{E40510C0-2F58-49C5-9FB9-BA8ABC0C8922}"/>
    <cellStyle name="Normal 5 2 3 2 2 2 5 4" xfId="10734" xr:uid="{D9566B97-3DD8-4E02-9A7A-FD3709332868}"/>
    <cellStyle name="Normal 5 2 3 2 2 2 6" xfId="2582" xr:uid="{00000000-0005-0000-0000-000047180000}"/>
    <cellStyle name="Normal 5 2 3 2 2 2 6 2" xfId="6865" xr:uid="{00000000-0005-0000-0000-000048180000}"/>
    <cellStyle name="Normal 5 2 3 2 2 2 6 2 2" xfId="15360" xr:uid="{346B8031-80C5-4B5C-A058-3F96CB4DCD24}"/>
    <cellStyle name="Normal 5 2 3 2 2 2 6 3" xfId="11147" xr:uid="{EF6C47F0-5A8B-44E0-BA63-31536B781079}"/>
    <cellStyle name="Normal 5 2 3 2 2 2 7" xfId="4800" xr:uid="{00000000-0005-0000-0000-000049180000}"/>
    <cellStyle name="Normal 5 2 3 2 2 2 7 2" xfId="13295" xr:uid="{1B60B382-6DDB-4B7E-8BC2-55E5E19D7FCC}"/>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5852" xr:uid="{B1DAE608-ADEB-4C74-958E-FB3C6AD4955C}"/>
    <cellStyle name="Normal 5 2 3 2 2 3 2 3" xfId="11639" xr:uid="{E1A30281-9703-4D0F-B1A8-E182A109461D}"/>
    <cellStyle name="Normal 5 2 3 2 2 3 3" xfId="5212" xr:uid="{00000000-0005-0000-0000-00004D180000}"/>
    <cellStyle name="Normal 5 2 3 2 2 3 3 2" xfId="13707" xr:uid="{39B3AEE3-AD9A-441C-B0C6-3D16035A2C1D}"/>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6265" xr:uid="{D2843236-98A5-49A0-BE66-0A6CC0AD6FEC}"/>
    <cellStyle name="Normal 5 2 3 2 2 4 2 3" xfId="12052" xr:uid="{EC4C1B1A-579A-4FEF-B9CB-61CCCA12FBB1}"/>
    <cellStyle name="Normal 5 2 3 2 2 4 3" xfId="5625" xr:uid="{00000000-0005-0000-0000-000051180000}"/>
    <cellStyle name="Normal 5 2 3 2 2 4 3 2" xfId="14120" xr:uid="{E09C122D-9E67-4577-83CC-42390963D036}"/>
    <cellStyle name="Normal 5 2 3 2 2 4 4" xfId="9907" xr:uid="{85F36AEF-1D2A-4A3E-9C8D-F115E22BDD54}"/>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6678" xr:uid="{AF7569A4-5EDE-4964-A2CC-9CEAE1A138D6}"/>
    <cellStyle name="Normal 5 2 3 2 2 5 2 3" xfId="12465" xr:uid="{753E1896-E9DD-42F8-A1B7-C90DA8B29790}"/>
    <cellStyle name="Normal 5 2 3 2 2 5 3" xfId="6038" xr:uid="{00000000-0005-0000-0000-000055180000}"/>
    <cellStyle name="Normal 5 2 3 2 2 5 3 2" xfId="14533" xr:uid="{6D6E7AA0-DBA6-4EF3-8E82-2247BF751E39}"/>
    <cellStyle name="Normal 5 2 3 2 2 5 4" xfId="10320" xr:uid="{EB352285-3755-4A1E-B69E-8D7090D16BA8}"/>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091" xr:uid="{F8B764D2-D7C7-4B5C-829D-5F612C71F39F}"/>
    <cellStyle name="Normal 5 2 3 2 2 6 2 3" xfId="12878" xr:uid="{198BDC6A-7CD7-4DD0-B172-FBFDF8646643}"/>
    <cellStyle name="Normal 5 2 3 2 2 6 3" xfId="6451" xr:uid="{00000000-0005-0000-0000-000059180000}"/>
    <cellStyle name="Normal 5 2 3 2 2 6 3 2" xfId="14946" xr:uid="{60FF2E1B-DF25-4778-8239-A29AEE5F2DDD}"/>
    <cellStyle name="Normal 5 2 3 2 2 6 4" xfId="10733" xr:uid="{C18AC652-1388-4387-BB4E-982A5C6EB0E2}"/>
    <cellStyle name="Normal 5 2 3 2 2 7" xfId="2581" xr:uid="{00000000-0005-0000-0000-00005A180000}"/>
    <cellStyle name="Normal 5 2 3 2 2 7 2" xfId="6864" xr:uid="{00000000-0005-0000-0000-00005B180000}"/>
    <cellStyle name="Normal 5 2 3 2 2 7 2 2" xfId="15359" xr:uid="{76D939BC-C7C2-4727-A956-B91044054536}"/>
    <cellStyle name="Normal 5 2 3 2 2 7 3" xfId="11146" xr:uid="{5C43AB9F-68C3-432B-92C6-D20D8935C2A6}"/>
    <cellStyle name="Normal 5 2 3 2 2 8" xfId="4799" xr:uid="{00000000-0005-0000-0000-00005C180000}"/>
    <cellStyle name="Normal 5 2 3 2 2 8 2" xfId="13294" xr:uid="{B1575456-C485-483A-A5D7-BE6AE690E25F}"/>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5854" xr:uid="{E0BDA2BC-EE40-4153-B94B-A75A505E0A39}"/>
    <cellStyle name="Normal 5 2 3 2 3 2 2 3" xfId="11641" xr:uid="{03002899-228B-435E-8358-8AE46C9D34B6}"/>
    <cellStyle name="Normal 5 2 3 2 3 2 3" xfId="5214" xr:uid="{00000000-0005-0000-0000-000061180000}"/>
    <cellStyle name="Normal 5 2 3 2 3 2 3 2" xfId="13709" xr:uid="{98B60167-2BEF-43CA-A4B3-C39BF49E5572}"/>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6267" xr:uid="{A06D70E3-EBC6-49FE-B96F-DA258B12FA72}"/>
    <cellStyle name="Normal 5 2 3 2 3 3 2 3" xfId="12054" xr:uid="{40EE972E-F238-47B2-88F2-2109C4A19EA5}"/>
    <cellStyle name="Normal 5 2 3 2 3 3 3" xfId="5627" xr:uid="{00000000-0005-0000-0000-000065180000}"/>
    <cellStyle name="Normal 5 2 3 2 3 3 3 2" xfId="14122" xr:uid="{BF3EAFE5-4F2D-430E-A553-98A6AAA8FF23}"/>
    <cellStyle name="Normal 5 2 3 2 3 3 4" xfId="9909" xr:uid="{C2B92131-03C0-4E4D-B5E7-96CF10E90FCE}"/>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6680" xr:uid="{63AF5418-B820-4990-BD75-C94E6E62AC51}"/>
    <cellStyle name="Normal 5 2 3 2 3 4 2 3" xfId="12467" xr:uid="{AA67C0D2-8376-4F59-B0E3-F7BC8C8892D2}"/>
    <cellStyle name="Normal 5 2 3 2 3 4 3" xfId="6040" xr:uid="{00000000-0005-0000-0000-000069180000}"/>
    <cellStyle name="Normal 5 2 3 2 3 4 3 2" xfId="14535" xr:uid="{E9F664D4-C8D3-49F0-BB41-89FCB795DFE7}"/>
    <cellStyle name="Normal 5 2 3 2 3 4 4" xfId="10322" xr:uid="{454172C3-B22B-4296-9DB5-10D0139B250A}"/>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093" xr:uid="{B05ED266-35A5-43E8-9BBC-83231374F8C8}"/>
    <cellStyle name="Normal 5 2 3 2 3 5 2 3" xfId="12880" xr:uid="{44FF0F29-DEFB-482A-8FF8-7999A2E85C05}"/>
    <cellStyle name="Normal 5 2 3 2 3 5 3" xfId="6453" xr:uid="{00000000-0005-0000-0000-00006D180000}"/>
    <cellStyle name="Normal 5 2 3 2 3 5 3 2" xfId="14948" xr:uid="{E77A6A14-13B3-412D-95D6-A7556CB52312}"/>
    <cellStyle name="Normal 5 2 3 2 3 5 4" xfId="10735" xr:uid="{D6EBAF5A-2626-4EEA-823C-6E651AB6CA42}"/>
    <cellStyle name="Normal 5 2 3 2 3 6" xfId="2583" xr:uid="{00000000-0005-0000-0000-00006E180000}"/>
    <cellStyle name="Normal 5 2 3 2 3 6 2" xfId="6866" xr:uid="{00000000-0005-0000-0000-00006F180000}"/>
    <cellStyle name="Normal 5 2 3 2 3 6 2 2" xfId="15361" xr:uid="{D334E0B7-907D-47B9-87AA-BD9C95FA9A1D}"/>
    <cellStyle name="Normal 5 2 3 2 3 6 3" xfId="11148" xr:uid="{97A894EF-789B-42AD-9E4A-016F3E1F342E}"/>
    <cellStyle name="Normal 5 2 3 2 3 7" xfId="4801" xr:uid="{00000000-0005-0000-0000-000070180000}"/>
    <cellStyle name="Normal 5 2 3 2 3 7 2" xfId="13296" xr:uid="{0E22313F-B20E-4388-85A5-6C47BF370236}"/>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5851" xr:uid="{E8C23B6C-7330-440A-A7BD-3D25CF041BB1}"/>
    <cellStyle name="Normal 5 2 3 2 4 2 3" xfId="11638" xr:uid="{9C08D7C4-F628-4344-BED4-61397238B45C}"/>
    <cellStyle name="Normal 5 2 3 2 4 3" xfId="5211" xr:uid="{00000000-0005-0000-0000-000074180000}"/>
    <cellStyle name="Normal 5 2 3 2 4 3 2" xfId="13706" xr:uid="{5DE0A6C4-248B-4831-9708-0EE5BF1BAD67}"/>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6264" xr:uid="{BF899EC2-741A-49FC-AD71-4A2E8F1C439B}"/>
    <cellStyle name="Normal 5 2 3 2 5 2 3" xfId="12051" xr:uid="{FDF5B11A-83AF-47A6-BA4F-C5C3B9A70FBA}"/>
    <cellStyle name="Normal 5 2 3 2 5 3" xfId="5624" xr:uid="{00000000-0005-0000-0000-000078180000}"/>
    <cellStyle name="Normal 5 2 3 2 5 3 2" xfId="14119" xr:uid="{6B3EA8EB-E7E2-4855-AC1C-C6F4F9A6EE16}"/>
    <cellStyle name="Normal 5 2 3 2 5 4" xfId="9906" xr:uid="{F68894B7-89B4-4E47-8A30-3496FB0093EB}"/>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6677" xr:uid="{6E09E91B-A161-434E-B919-5775B0AF25BD}"/>
    <cellStyle name="Normal 5 2 3 2 6 2 3" xfId="12464" xr:uid="{6476E377-17AC-4DA6-ACA6-ADCF400E5AE0}"/>
    <cellStyle name="Normal 5 2 3 2 6 3" xfId="6037" xr:uid="{00000000-0005-0000-0000-00007C180000}"/>
    <cellStyle name="Normal 5 2 3 2 6 3 2" xfId="14532" xr:uid="{2F4DB714-5C2B-42A7-8C16-804B47DB8958}"/>
    <cellStyle name="Normal 5 2 3 2 6 4" xfId="10319" xr:uid="{9E56DA90-A04F-4018-8D40-A24A380C1093}"/>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090" xr:uid="{4A4FF6A2-F139-4D15-989D-618D0B263330}"/>
    <cellStyle name="Normal 5 2 3 2 7 2 3" xfId="12877" xr:uid="{AA2F01E0-F29C-4209-9D39-81B89D0E02CF}"/>
    <cellStyle name="Normal 5 2 3 2 7 3" xfId="6450" xr:uid="{00000000-0005-0000-0000-000080180000}"/>
    <cellStyle name="Normal 5 2 3 2 7 3 2" xfId="14945" xr:uid="{1BB8EDE6-8B58-41B6-B891-202B28707879}"/>
    <cellStyle name="Normal 5 2 3 2 7 4" xfId="10732" xr:uid="{5E30C6C2-EDA9-4EC0-A84A-DB81FA6BDE87}"/>
    <cellStyle name="Normal 5 2 3 2 8" xfId="2580" xr:uid="{00000000-0005-0000-0000-000081180000}"/>
    <cellStyle name="Normal 5 2 3 2 8 2" xfId="6863" xr:uid="{00000000-0005-0000-0000-000082180000}"/>
    <cellStyle name="Normal 5 2 3 2 8 2 2" xfId="15358" xr:uid="{7A36DB0A-5680-4A1E-82EF-65894EE0DB11}"/>
    <cellStyle name="Normal 5 2 3 2 8 3" xfId="11145" xr:uid="{F0F9542F-C3A0-45A8-992E-02FB84BC5C40}"/>
    <cellStyle name="Normal 5 2 3 2 9" xfId="4798" xr:uid="{00000000-0005-0000-0000-000083180000}"/>
    <cellStyle name="Normal 5 2 3 2 9 2" xfId="13293" xr:uid="{7D387161-0636-400B-92FC-C8DEE76E8228}"/>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5856" xr:uid="{C89B34A5-1F86-496D-A0B7-EE09E490FE41}"/>
    <cellStyle name="Normal 5 2 3 3 2 2 2 3" xfId="11643" xr:uid="{21ABFE6C-86D2-4F70-A5AD-2BD3E785F0FE}"/>
    <cellStyle name="Normal 5 2 3 3 2 2 3" xfId="5216" xr:uid="{00000000-0005-0000-0000-000089180000}"/>
    <cellStyle name="Normal 5 2 3 3 2 2 3 2" xfId="13711" xr:uid="{AA4E2DF1-4564-4713-ADFC-D3048318337F}"/>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6269" xr:uid="{B39E2A9B-BF40-4DC1-A5E8-CFEA8A177748}"/>
    <cellStyle name="Normal 5 2 3 3 2 3 2 3" xfId="12056" xr:uid="{AA22179B-6BAF-4BBC-9013-F0E9C8A608FA}"/>
    <cellStyle name="Normal 5 2 3 3 2 3 3" xfId="5629" xr:uid="{00000000-0005-0000-0000-00008D180000}"/>
    <cellStyle name="Normal 5 2 3 3 2 3 3 2" xfId="14124" xr:uid="{FC218A0B-C8C7-48A5-9ADD-5094DD9442B7}"/>
    <cellStyle name="Normal 5 2 3 3 2 3 4" xfId="9911" xr:uid="{23643D77-CA02-4519-9F97-2E179474450B}"/>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6682" xr:uid="{F001B8C7-087F-4251-9CBB-9B1880054262}"/>
    <cellStyle name="Normal 5 2 3 3 2 4 2 3" xfId="12469" xr:uid="{E32660F6-C6A0-4B17-88E6-973E49683C33}"/>
    <cellStyle name="Normal 5 2 3 3 2 4 3" xfId="6042" xr:uid="{00000000-0005-0000-0000-000091180000}"/>
    <cellStyle name="Normal 5 2 3 3 2 4 3 2" xfId="14537" xr:uid="{0082BCBF-E0D7-4B19-B3F0-F000E79AF669}"/>
    <cellStyle name="Normal 5 2 3 3 2 4 4" xfId="10324" xr:uid="{581D926E-3850-4662-9F71-9F9DB1261DDA}"/>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095" xr:uid="{7B40204C-3563-4639-9E34-3F1E2848E1B3}"/>
    <cellStyle name="Normal 5 2 3 3 2 5 2 3" xfId="12882" xr:uid="{BA3FB056-A2F9-4CA0-BB11-A9881766B5B6}"/>
    <cellStyle name="Normal 5 2 3 3 2 5 3" xfId="6455" xr:uid="{00000000-0005-0000-0000-000095180000}"/>
    <cellStyle name="Normal 5 2 3 3 2 5 3 2" xfId="14950" xr:uid="{5BB0CC32-36FE-40B1-8191-9D9CDC158DBA}"/>
    <cellStyle name="Normal 5 2 3 3 2 5 4" xfId="10737" xr:uid="{42B57FC1-2065-4E05-9384-ECA36ED20DEF}"/>
    <cellStyle name="Normal 5 2 3 3 2 6" xfId="2585" xr:uid="{00000000-0005-0000-0000-000096180000}"/>
    <cellStyle name="Normal 5 2 3 3 2 6 2" xfId="6868" xr:uid="{00000000-0005-0000-0000-000097180000}"/>
    <cellStyle name="Normal 5 2 3 3 2 6 2 2" xfId="15363" xr:uid="{CE4CAD11-21CE-4405-92AC-A1D049719AE6}"/>
    <cellStyle name="Normal 5 2 3 3 2 6 3" xfId="11150" xr:uid="{DD741293-DFD9-4FB1-B6BC-7DFB92D8C6A6}"/>
    <cellStyle name="Normal 5 2 3 3 2 7" xfId="4803" xr:uid="{00000000-0005-0000-0000-000098180000}"/>
    <cellStyle name="Normal 5 2 3 3 2 7 2" xfId="13298" xr:uid="{E8BA221B-23F9-4BE8-A72C-6EFB6C2A6A16}"/>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5855" xr:uid="{7D173323-2758-4820-86DD-CF82E30F6538}"/>
    <cellStyle name="Normal 5 2 3 3 3 2 3" xfId="11642" xr:uid="{71725C70-14A7-4128-B32C-195FC047FA43}"/>
    <cellStyle name="Normal 5 2 3 3 3 3" xfId="5215" xr:uid="{00000000-0005-0000-0000-00009C180000}"/>
    <cellStyle name="Normal 5 2 3 3 3 3 2" xfId="13710" xr:uid="{0ECFD4B8-9F88-491B-9904-A0904000AB6D}"/>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6268" xr:uid="{82E1F13E-61F4-48D0-A9B6-1373DAEE0564}"/>
    <cellStyle name="Normal 5 2 3 3 4 2 3" xfId="12055" xr:uid="{7188298B-4063-485D-989B-974BCA0DA11C}"/>
    <cellStyle name="Normal 5 2 3 3 4 3" xfId="5628" xr:uid="{00000000-0005-0000-0000-0000A0180000}"/>
    <cellStyle name="Normal 5 2 3 3 4 3 2" xfId="14123" xr:uid="{EF62A2AF-78D4-4F23-955E-3E21835D5B7C}"/>
    <cellStyle name="Normal 5 2 3 3 4 4" xfId="9910" xr:uid="{9257ABD4-FCF8-4E73-8F6F-45C92A701EA4}"/>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6681" xr:uid="{9F571E1E-D1BD-40B7-A5B2-094D67A434BE}"/>
    <cellStyle name="Normal 5 2 3 3 5 2 3" xfId="12468" xr:uid="{F24FA5CC-1459-4188-96A5-47B8527C4E49}"/>
    <cellStyle name="Normal 5 2 3 3 5 3" xfId="6041" xr:uid="{00000000-0005-0000-0000-0000A4180000}"/>
    <cellStyle name="Normal 5 2 3 3 5 3 2" xfId="14536" xr:uid="{5E4FD155-733D-4204-AFFD-555F73E97C76}"/>
    <cellStyle name="Normal 5 2 3 3 5 4" xfId="10323" xr:uid="{105F1FA4-E141-49DB-B267-4C9651F88CC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094" xr:uid="{DA7B3F0F-D855-4BDE-9505-0D43DDB5AD3A}"/>
    <cellStyle name="Normal 5 2 3 3 6 2 3" xfId="12881" xr:uid="{C49E0812-666C-43CD-9AEE-7B58099BFA81}"/>
    <cellStyle name="Normal 5 2 3 3 6 3" xfId="6454" xr:uid="{00000000-0005-0000-0000-0000A8180000}"/>
    <cellStyle name="Normal 5 2 3 3 6 3 2" xfId="14949" xr:uid="{65F30010-DABC-45E6-BC50-37D3A86F2F7B}"/>
    <cellStyle name="Normal 5 2 3 3 6 4" xfId="10736" xr:uid="{A3F20DA6-9A88-4D36-A06D-92E46202CADA}"/>
    <cellStyle name="Normal 5 2 3 3 7" xfId="2584" xr:uid="{00000000-0005-0000-0000-0000A9180000}"/>
    <cellStyle name="Normal 5 2 3 3 7 2" xfId="6867" xr:uid="{00000000-0005-0000-0000-0000AA180000}"/>
    <cellStyle name="Normal 5 2 3 3 7 2 2" xfId="15362" xr:uid="{4E618DAF-1026-4A93-9541-287034635857}"/>
    <cellStyle name="Normal 5 2 3 3 7 3" xfId="11149" xr:uid="{BBD001A4-F2E2-4A6B-BA90-9086A350C95F}"/>
    <cellStyle name="Normal 5 2 3 3 8" xfId="4802" xr:uid="{00000000-0005-0000-0000-0000AB180000}"/>
    <cellStyle name="Normal 5 2 3 3 8 2" xfId="13297" xr:uid="{134EF7D2-F8FE-4204-9FE5-B78F43D5539C}"/>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5857" xr:uid="{08CDA601-31E1-4B53-9599-E333127590E5}"/>
    <cellStyle name="Normal 5 2 3 4 2 2 3" xfId="11644" xr:uid="{2A72FA6B-4234-4A2B-B141-4983F08D988D}"/>
    <cellStyle name="Normal 5 2 3 4 2 3" xfId="5217" xr:uid="{00000000-0005-0000-0000-0000B0180000}"/>
    <cellStyle name="Normal 5 2 3 4 2 3 2" xfId="13712" xr:uid="{59463E22-74CF-4352-BAC8-7F5E1D6D2E8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6270" xr:uid="{189B0F74-5ADA-4ACD-BF01-2866CBFDC52C}"/>
    <cellStyle name="Normal 5 2 3 4 3 2 3" xfId="12057" xr:uid="{4501AD19-6B24-4E4F-977B-E7701F766932}"/>
    <cellStyle name="Normal 5 2 3 4 3 3" xfId="5630" xr:uid="{00000000-0005-0000-0000-0000B4180000}"/>
    <cellStyle name="Normal 5 2 3 4 3 3 2" xfId="14125" xr:uid="{E9C15090-0492-4938-9076-35ECFA36877B}"/>
    <cellStyle name="Normal 5 2 3 4 3 4" xfId="9912" xr:uid="{0C879423-C0E2-4569-ACE1-D3FC8751E3C1}"/>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6683" xr:uid="{0D38CEDF-CD1D-4397-939B-347123969AC8}"/>
    <cellStyle name="Normal 5 2 3 4 4 2 3" xfId="12470" xr:uid="{D2A8FDB5-755C-43E4-A14C-8B54E7D69517}"/>
    <cellStyle name="Normal 5 2 3 4 4 3" xfId="6043" xr:uid="{00000000-0005-0000-0000-0000B8180000}"/>
    <cellStyle name="Normal 5 2 3 4 4 3 2" xfId="14538" xr:uid="{5523B5DD-A328-49C4-B3F1-5EC93CE76EBC}"/>
    <cellStyle name="Normal 5 2 3 4 4 4" xfId="10325" xr:uid="{9D58A006-F018-4988-AA51-244EBD742049}"/>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096" xr:uid="{E932804D-B87E-41CD-B2B5-294A324581AF}"/>
    <cellStyle name="Normal 5 2 3 4 5 2 3" xfId="12883" xr:uid="{C2ED1D40-4ABF-405B-9BCA-4440E58C4B32}"/>
    <cellStyle name="Normal 5 2 3 4 5 3" xfId="6456" xr:uid="{00000000-0005-0000-0000-0000BC180000}"/>
    <cellStyle name="Normal 5 2 3 4 5 3 2" xfId="14951" xr:uid="{BD5209F0-34F7-462D-B34E-B95A0F07CCED}"/>
    <cellStyle name="Normal 5 2 3 4 5 4" xfId="10738" xr:uid="{56BBE280-FDE7-4D34-ACB1-2845459B13A3}"/>
    <cellStyle name="Normal 5 2 3 4 6" xfId="2586" xr:uid="{00000000-0005-0000-0000-0000BD180000}"/>
    <cellStyle name="Normal 5 2 3 4 6 2" xfId="6869" xr:uid="{00000000-0005-0000-0000-0000BE180000}"/>
    <cellStyle name="Normal 5 2 3 4 6 2 2" xfId="15364" xr:uid="{A665FD4C-EEEF-4C8C-AE8A-A3569AC08010}"/>
    <cellStyle name="Normal 5 2 3 4 6 3" xfId="11151" xr:uid="{A9FD0B75-3140-47F3-AED9-9DDFAED9039F}"/>
    <cellStyle name="Normal 5 2 3 4 7" xfId="4804" xr:uid="{00000000-0005-0000-0000-0000BF180000}"/>
    <cellStyle name="Normal 5 2 3 4 7 2" xfId="13299" xr:uid="{D4821510-91BB-4E9E-92B4-0B1EFF1E1C6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2 2 2" xfId="15850" xr:uid="{975EB9E6-2841-429F-90EF-DC9586414BD4}"/>
    <cellStyle name="Normal 5 2 3 5 2 3" xfId="11637" xr:uid="{8A092A42-6408-4CBA-AC87-A92BC90D66EA}"/>
    <cellStyle name="Normal 5 2 3 5 3" xfId="5210" xr:uid="{00000000-0005-0000-0000-0000C3180000}"/>
    <cellStyle name="Normal 5 2 3 5 3 2" xfId="13705" xr:uid="{28C74DF1-2BE4-4670-93A2-4BC9D3CD3C13}"/>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2 2 2" xfId="16263" xr:uid="{2BDB2F95-226D-4E74-958C-835A47A1DC1F}"/>
    <cellStyle name="Normal 5 2 3 6 2 3" xfId="12050" xr:uid="{0BE94C50-21D4-4151-AE42-C6C2F4B007CE}"/>
    <cellStyle name="Normal 5 2 3 6 3" xfId="5623" xr:uid="{00000000-0005-0000-0000-0000C7180000}"/>
    <cellStyle name="Normal 5 2 3 6 3 2" xfId="14118" xr:uid="{E9AF2E37-7A56-413C-990A-46E6E54ABB61}"/>
    <cellStyle name="Normal 5 2 3 6 4" xfId="9905" xr:uid="{36C1FFC9-D924-4264-96CA-E900E958A9A9}"/>
    <cellStyle name="Normal 5 2 3 7" xfId="1729" xr:uid="{00000000-0005-0000-0000-0000C8180000}"/>
    <cellStyle name="Normal 5 2 3 7 2" xfId="3959" xr:uid="{00000000-0005-0000-0000-0000C9180000}"/>
    <cellStyle name="Normal 5 2 3 7 2 2" xfId="8181" xr:uid="{00000000-0005-0000-0000-0000CA180000}"/>
    <cellStyle name="Normal 5 2 3 7 2 2 2" xfId="16676" xr:uid="{9FB46609-2B81-4F7A-AFC6-515AEA0F05DC}"/>
    <cellStyle name="Normal 5 2 3 7 2 3" xfId="12463" xr:uid="{5052B61D-0A82-4ED1-895A-F7AD28584964}"/>
    <cellStyle name="Normal 5 2 3 7 3" xfId="6036" xr:uid="{00000000-0005-0000-0000-0000CB180000}"/>
    <cellStyle name="Normal 5 2 3 7 3 2" xfId="14531" xr:uid="{8AC26714-EAAD-4DB6-A6E5-4853121EED94}"/>
    <cellStyle name="Normal 5 2 3 7 4" xfId="10318" xr:uid="{34ECDCD9-C81B-449A-AD28-8FE9D9576CFE}"/>
    <cellStyle name="Normal 5 2 3 8" xfId="2143" xr:uid="{00000000-0005-0000-0000-0000CC180000}"/>
    <cellStyle name="Normal 5 2 3 8 2" xfId="4372" xr:uid="{00000000-0005-0000-0000-0000CD180000}"/>
    <cellStyle name="Normal 5 2 3 8 2 2" xfId="8594" xr:uid="{00000000-0005-0000-0000-0000CE180000}"/>
    <cellStyle name="Normal 5 2 3 8 2 2 2" xfId="17089" xr:uid="{4B88507F-9E33-4788-9D86-BDEFCA22E0B2}"/>
    <cellStyle name="Normal 5 2 3 8 2 3" xfId="12876" xr:uid="{2252BAFE-1E07-4F07-ADC5-96FACBE07522}"/>
    <cellStyle name="Normal 5 2 3 8 3" xfId="6449" xr:uid="{00000000-0005-0000-0000-0000CF180000}"/>
    <cellStyle name="Normal 5 2 3 8 3 2" xfId="14944" xr:uid="{810928CF-8BD0-44AE-B29A-03D2DF3A3505}"/>
    <cellStyle name="Normal 5 2 3 8 4" xfId="10731" xr:uid="{ECB72C80-1EDB-4772-B819-1924AA294EB1}"/>
    <cellStyle name="Normal 5 2 3 9" xfId="2579" xr:uid="{00000000-0005-0000-0000-0000D0180000}"/>
    <cellStyle name="Normal 5 2 3 9 2" xfId="6862" xr:uid="{00000000-0005-0000-0000-0000D1180000}"/>
    <cellStyle name="Normal 5 2 3 9 2 2" xfId="15357" xr:uid="{C64B7A48-2320-43BA-9264-11E0A1151C83}"/>
    <cellStyle name="Normal 5 2 3 9 3" xfId="11144" xr:uid="{9C0B6FA4-DF55-44AD-BC7D-4EEE13E08B03}"/>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5860" xr:uid="{7EF0716B-5350-4944-B897-CB65392ADAD1}"/>
    <cellStyle name="Normal 5 2 4 2 2 2 2 3" xfId="11647" xr:uid="{26ED17A3-9599-45A3-8AA9-83A3EF523DF4}"/>
    <cellStyle name="Normal 5 2 4 2 2 2 3" xfId="5220" xr:uid="{00000000-0005-0000-0000-0000D8180000}"/>
    <cellStyle name="Normal 5 2 4 2 2 2 3 2" xfId="13715" xr:uid="{368A2033-658B-4DE9-8650-56D19536B33B}"/>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6273" xr:uid="{B5DF0726-2B5D-4BDD-B7DE-83AF88AACCA7}"/>
    <cellStyle name="Normal 5 2 4 2 2 3 2 3" xfId="12060" xr:uid="{3C5626CB-D2DD-42C5-BEA2-D86AF68E6AF0}"/>
    <cellStyle name="Normal 5 2 4 2 2 3 3" xfId="5633" xr:uid="{00000000-0005-0000-0000-0000DC180000}"/>
    <cellStyle name="Normal 5 2 4 2 2 3 3 2" xfId="14128" xr:uid="{092928D0-E2EF-4232-9BCC-518ADCA4F859}"/>
    <cellStyle name="Normal 5 2 4 2 2 3 4" xfId="9915" xr:uid="{19D0D1D4-B7D2-4D64-B498-3733D2959E05}"/>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6686" xr:uid="{D9E41924-5D25-4C99-B39C-0EC2E253B4EF}"/>
    <cellStyle name="Normal 5 2 4 2 2 4 2 3" xfId="12473" xr:uid="{25CD7BF5-2B23-446C-A6DE-EBBCACDB09AD}"/>
    <cellStyle name="Normal 5 2 4 2 2 4 3" xfId="6046" xr:uid="{00000000-0005-0000-0000-0000E0180000}"/>
    <cellStyle name="Normal 5 2 4 2 2 4 3 2" xfId="14541" xr:uid="{43BB9B25-09DF-4FF5-814E-95D78C4C74F3}"/>
    <cellStyle name="Normal 5 2 4 2 2 4 4" xfId="10328" xr:uid="{7B90F38D-71FA-4735-9B01-E134C02C307D}"/>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099" xr:uid="{6345C315-A9DF-44DD-98DF-41619305BB20}"/>
    <cellStyle name="Normal 5 2 4 2 2 5 2 3" xfId="12886" xr:uid="{7AF25B01-9202-4683-A174-35BD87A7AC41}"/>
    <cellStyle name="Normal 5 2 4 2 2 5 3" xfId="6459" xr:uid="{00000000-0005-0000-0000-0000E4180000}"/>
    <cellStyle name="Normal 5 2 4 2 2 5 3 2" xfId="14954" xr:uid="{7C492FC4-55A7-4FD2-B0A3-0686DCBC47ED}"/>
    <cellStyle name="Normal 5 2 4 2 2 5 4" xfId="10741" xr:uid="{36646A3E-0E39-4B2C-ADF3-AB0E3955D633}"/>
    <cellStyle name="Normal 5 2 4 2 2 6" xfId="2589" xr:uid="{00000000-0005-0000-0000-0000E5180000}"/>
    <cellStyle name="Normal 5 2 4 2 2 6 2" xfId="6872" xr:uid="{00000000-0005-0000-0000-0000E6180000}"/>
    <cellStyle name="Normal 5 2 4 2 2 6 2 2" xfId="15367" xr:uid="{512C267F-FE0A-469D-8C28-A6495397E383}"/>
    <cellStyle name="Normal 5 2 4 2 2 6 3" xfId="11154" xr:uid="{642988BD-8AA5-4985-9EE1-DE21140E60DC}"/>
    <cellStyle name="Normal 5 2 4 2 2 7" xfId="4807" xr:uid="{00000000-0005-0000-0000-0000E7180000}"/>
    <cellStyle name="Normal 5 2 4 2 2 7 2" xfId="13302" xr:uid="{7729B51D-44EC-49C3-8AF8-6B13879292F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5859" xr:uid="{A4995DBB-8B91-44E7-94AD-BDCB0FC3C922}"/>
    <cellStyle name="Normal 5 2 4 2 3 2 3" xfId="11646" xr:uid="{3C34CF9B-794B-4340-916B-F586D2C3AFB5}"/>
    <cellStyle name="Normal 5 2 4 2 3 3" xfId="5219" xr:uid="{00000000-0005-0000-0000-0000EB180000}"/>
    <cellStyle name="Normal 5 2 4 2 3 3 2" xfId="13714" xr:uid="{2690F82F-F27B-466C-93EE-26152A194EBB}"/>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6272" xr:uid="{FF526C1C-F685-4C37-8060-8E69224CF2D2}"/>
    <cellStyle name="Normal 5 2 4 2 4 2 3" xfId="12059" xr:uid="{8FC37B1B-85F3-43D9-963C-8A18A6D2F84F}"/>
    <cellStyle name="Normal 5 2 4 2 4 3" xfId="5632" xr:uid="{00000000-0005-0000-0000-0000EF180000}"/>
    <cellStyle name="Normal 5 2 4 2 4 3 2" xfId="14127" xr:uid="{31B0B5F0-3901-4667-8DED-B028E7EC59C0}"/>
    <cellStyle name="Normal 5 2 4 2 4 4" xfId="9914" xr:uid="{76C3E3E3-D487-4270-8E4F-3056B8D3B0AA}"/>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6685" xr:uid="{DCB84B47-8EF1-4A98-851D-829F4A084BFA}"/>
    <cellStyle name="Normal 5 2 4 2 5 2 3" xfId="12472" xr:uid="{FD0429E4-5BE1-4767-99A1-13605A7D5E7A}"/>
    <cellStyle name="Normal 5 2 4 2 5 3" xfId="6045" xr:uid="{00000000-0005-0000-0000-0000F3180000}"/>
    <cellStyle name="Normal 5 2 4 2 5 3 2" xfId="14540" xr:uid="{800DACE4-5D0A-4D72-9D48-1362710631E6}"/>
    <cellStyle name="Normal 5 2 4 2 5 4" xfId="10327" xr:uid="{A81491A6-BA26-4AF6-95F1-950FF97AC7CA}"/>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098" xr:uid="{E05F3CCC-A4EE-4382-936B-633FBC1CA8A0}"/>
    <cellStyle name="Normal 5 2 4 2 6 2 3" xfId="12885" xr:uid="{6E5A21F4-3A5C-4AB4-B4C3-1684B873011E}"/>
    <cellStyle name="Normal 5 2 4 2 6 3" xfId="6458" xr:uid="{00000000-0005-0000-0000-0000F7180000}"/>
    <cellStyle name="Normal 5 2 4 2 6 3 2" xfId="14953" xr:uid="{B9F0A7F4-FD8D-42BF-9289-CE3D1E83D632}"/>
    <cellStyle name="Normal 5 2 4 2 6 4" xfId="10740" xr:uid="{6B2A30EF-4DB7-415D-9028-68C93D42B1E4}"/>
    <cellStyle name="Normal 5 2 4 2 7" xfId="2588" xr:uid="{00000000-0005-0000-0000-0000F8180000}"/>
    <cellStyle name="Normal 5 2 4 2 7 2" xfId="6871" xr:uid="{00000000-0005-0000-0000-0000F9180000}"/>
    <cellStyle name="Normal 5 2 4 2 7 2 2" xfId="15366" xr:uid="{E05F302E-56E9-4FE1-887F-3F855C5B6E4E}"/>
    <cellStyle name="Normal 5 2 4 2 7 3" xfId="11153" xr:uid="{9D358187-3FDB-4B3A-83B2-1673792E8AEC}"/>
    <cellStyle name="Normal 5 2 4 2 8" xfId="4806" xr:uid="{00000000-0005-0000-0000-0000FA180000}"/>
    <cellStyle name="Normal 5 2 4 2 8 2" xfId="13301" xr:uid="{0A6A0257-3E29-4CC1-B4A0-58E9C6143CAC}"/>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5861" xr:uid="{37E10312-352C-40B0-B9F2-4BCC409B1DAD}"/>
    <cellStyle name="Normal 5 2 4 3 2 2 3" xfId="11648" xr:uid="{0FE492BD-CC7D-4E16-8F3C-4F8750558458}"/>
    <cellStyle name="Normal 5 2 4 3 2 3" xfId="5221" xr:uid="{00000000-0005-0000-0000-0000FF180000}"/>
    <cellStyle name="Normal 5 2 4 3 2 3 2" xfId="13716" xr:uid="{953F1E53-45BF-46E2-9BED-B46881A7D57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6274" xr:uid="{BA1094BA-B5AC-4496-8FEE-940078A8B68B}"/>
    <cellStyle name="Normal 5 2 4 3 3 2 3" xfId="12061" xr:uid="{08689094-9F65-423C-B4B1-B412456042AB}"/>
    <cellStyle name="Normal 5 2 4 3 3 3" xfId="5634" xr:uid="{00000000-0005-0000-0000-000003190000}"/>
    <cellStyle name="Normal 5 2 4 3 3 3 2" xfId="14129" xr:uid="{14DDF079-C0A7-4F45-88CF-A54D8962CDCE}"/>
    <cellStyle name="Normal 5 2 4 3 3 4" xfId="9916" xr:uid="{F7FE8829-F1B3-447B-AC2B-7603DEC94608}"/>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6687" xr:uid="{750BB869-7F22-4981-B15D-AC6940FFC9A8}"/>
    <cellStyle name="Normal 5 2 4 3 4 2 3" xfId="12474" xr:uid="{695C04FA-A9C6-4192-B1AD-E20859E7DF37}"/>
    <cellStyle name="Normal 5 2 4 3 4 3" xfId="6047" xr:uid="{00000000-0005-0000-0000-000007190000}"/>
    <cellStyle name="Normal 5 2 4 3 4 3 2" xfId="14542" xr:uid="{C271171A-A653-4142-BCA2-4AF87276115D}"/>
    <cellStyle name="Normal 5 2 4 3 4 4" xfId="10329" xr:uid="{90E3C7EE-4D3D-4637-A825-1C36AD08CD95}"/>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100" xr:uid="{6F739D78-EEEB-44C4-B07A-D5A28AAA1173}"/>
    <cellStyle name="Normal 5 2 4 3 5 2 3" xfId="12887" xr:uid="{EA6361A9-DA0B-487E-9E0E-6BB3ADB89683}"/>
    <cellStyle name="Normal 5 2 4 3 5 3" xfId="6460" xr:uid="{00000000-0005-0000-0000-00000B190000}"/>
    <cellStyle name="Normal 5 2 4 3 5 3 2" xfId="14955" xr:uid="{26F035D9-DA51-418D-B78C-EFEAFD9668ED}"/>
    <cellStyle name="Normal 5 2 4 3 5 4" xfId="10742" xr:uid="{E2F11EEE-0F25-4B9C-8208-723F9B0CFFB2}"/>
    <cellStyle name="Normal 5 2 4 3 6" xfId="2590" xr:uid="{00000000-0005-0000-0000-00000C190000}"/>
    <cellStyle name="Normal 5 2 4 3 6 2" xfId="6873" xr:uid="{00000000-0005-0000-0000-00000D190000}"/>
    <cellStyle name="Normal 5 2 4 3 6 2 2" xfId="15368" xr:uid="{28BEE7E6-7656-42D4-90B1-4D50415D641E}"/>
    <cellStyle name="Normal 5 2 4 3 6 3" xfId="11155" xr:uid="{C73DC494-E3AC-4ABE-A58D-EA08BA5DFC77}"/>
    <cellStyle name="Normal 5 2 4 3 7" xfId="4808" xr:uid="{00000000-0005-0000-0000-00000E190000}"/>
    <cellStyle name="Normal 5 2 4 3 7 2" xfId="13303" xr:uid="{17A4E12C-88C1-4ED3-A620-322C874E86F4}"/>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2 2 2" xfId="15858" xr:uid="{8BF28F36-3C1B-4BDE-8630-13973D439058}"/>
    <cellStyle name="Normal 5 2 4 4 2 3" xfId="11645" xr:uid="{157079C1-D0A4-4014-8F9B-4D78414DCE1C}"/>
    <cellStyle name="Normal 5 2 4 4 3" xfId="5218" xr:uid="{00000000-0005-0000-0000-000012190000}"/>
    <cellStyle name="Normal 5 2 4 4 3 2" xfId="13713" xr:uid="{EF449FD3-9E92-4218-BD7F-0DF479F5BFD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2 2 2" xfId="16271" xr:uid="{2EE8D6C2-1AD0-4E2A-8319-8A68FA751516}"/>
    <cellStyle name="Normal 5 2 4 5 2 3" xfId="12058" xr:uid="{D6153375-79CA-4230-93C2-8084B4048FD5}"/>
    <cellStyle name="Normal 5 2 4 5 3" xfId="5631" xr:uid="{00000000-0005-0000-0000-000016190000}"/>
    <cellStyle name="Normal 5 2 4 5 3 2" xfId="14126" xr:uid="{CB875AF9-BE93-4824-B927-16FD4C92599B}"/>
    <cellStyle name="Normal 5 2 4 5 4" xfId="9913" xr:uid="{BF43DAB2-DD4A-4BD9-AE0D-B3F4505DD89F}"/>
    <cellStyle name="Normal 5 2 4 6" xfId="1737" xr:uid="{00000000-0005-0000-0000-000017190000}"/>
    <cellStyle name="Normal 5 2 4 6 2" xfId="3967" xr:uid="{00000000-0005-0000-0000-000018190000}"/>
    <cellStyle name="Normal 5 2 4 6 2 2" xfId="8189" xr:uid="{00000000-0005-0000-0000-000019190000}"/>
    <cellStyle name="Normal 5 2 4 6 2 2 2" xfId="16684" xr:uid="{58A284F7-A673-4522-814B-AEC10767BBCF}"/>
    <cellStyle name="Normal 5 2 4 6 2 3" xfId="12471" xr:uid="{779F4481-6F5B-4725-ACA9-F33BDBA2C1DA}"/>
    <cellStyle name="Normal 5 2 4 6 3" xfId="6044" xr:uid="{00000000-0005-0000-0000-00001A190000}"/>
    <cellStyle name="Normal 5 2 4 6 3 2" xfId="14539" xr:uid="{DC23607E-AFC7-4F9C-B1B3-C3CB6FBB5964}"/>
    <cellStyle name="Normal 5 2 4 6 4" xfId="10326" xr:uid="{36869C66-9768-4542-B27C-6D7C9FC900FE}"/>
    <cellStyle name="Normal 5 2 4 7" xfId="2151" xr:uid="{00000000-0005-0000-0000-00001B190000}"/>
    <cellStyle name="Normal 5 2 4 7 2" xfId="4380" xr:uid="{00000000-0005-0000-0000-00001C190000}"/>
    <cellStyle name="Normal 5 2 4 7 2 2" xfId="8602" xr:uid="{00000000-0005-0000-0000-00001D190000}"/>
    <cellStyle name="Normal 5 2 4 7 2 2 2" xfId="17097" xr:uid="{9C4AE329-2F41-4DD0-BB72-15A4FCBA9186}"/>
    <cellStyle name="Normal 5 2 4 7 2 3" xfId="12884" xr:uid="{C77BCFF7-8ADD-4076-99CE-77712B82AB32}"/>
    <cellStyle name="Normal 5 2 4 7 3" xfId="6457" xr:uid="{00000000-0005-0000-0000-00001E190000}"/>
    <cellStyle name="Normal 5 2 4 7 3 2" xfId="14952" xr:uid="{554516D0-CED2-4BCC-9489-2BB27A1D3FF8}"/>
    <cellStyle name="Normal 5 2 4 7 4" xfId="10739" xr:uid="{1EC8602F-8E5E-483F-8C6B-83CED6F0E376}"/>
    <cellStyle name="Normal 5 2 4 8" xfId="2587" xr:uid="{00000000-0005-0000-0000-00001F190000}"/>
    <cellStyle name="Normal 5 2 4 8 2" xfId="6870" xr:uid="{00000000-0005-0000-0000-000020190000}"/>
    <cellStyle name="Normal 5 2 4 8 2 2" xfId="15365" xr:uid="{A0F233FD-A989-4B78-8903-C0BE5A985D57}"/>
    <cellStyle name="Normal 5 2 4 8 3" xfId="11152" xr:uid="{7DD3676D-320F-4D18-87EC-43293DFE88DF}"/>
    <cellStyle name="Normal 5 2 4 9" xfId="4805" xr:uid="{00000000-0005-0000-0000-000021190000}"/>
    <cellStyle name="Normal 5 2 4 9 2" xfId="13300" xr:uid="{1A4E3FF9-1FBC-436F-A771-99AC03F38216}"/>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5863" xr:uid="{93ABBF6B-6461-45E1-985E-ED78F263C3EC}"/>
    <cellStyle name="Normal 5 2 5 2 2 2 3" xfId="11650" xr:uid="{364BF1C9-DAEE-4F0A-AFAF-09C7EB13F274}"/>
    <cellStyle name="Normal 5 2 5 2 2 3" xfId="5223" xr:uid="{00000000-0005-0000-0000-000027190000}"/>
    <cellStyle name="Normal 5 2 5 2 2 3 2" xfId="13718" xr:uid="{962B5072-EC38-4DCC-BAD3-C125F7A40A23}"/>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6276" xr:uid="{A2D40CE0-ADFC-4979-8FE8-4F6ECFDF01BE}"/>
    <cellStyle name="Normal 5 2 5 2 3 2 3" xfId="12063" xr:uid="{FA5688FC-7D95-467A-9BA2-7CD2D9DA4CCE}"/>
    <cellStyle name="Normal 5 2 5 2 3 3" xfId="5636" xr:uid="{00000000-0005-0000-0000-00002B190000}"/>
    <cellStyle name="Normal 5 2 5 2 3 3 2" xfId="14131" xr:uid="{8C453650-0B4E-4417-ADE4-14B5B9A5EDCB}"/>
    <cellStyle name="Normal 5 2 5 2 3 4" xfId="9918" xr:uid="{75E32D2E-816F-4D96-BF1C-94F6E41D45D4}"/>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6689" xr:uid="{CCB41BFC-BFFD-4969-A646-3DDD30010592}"/>
    <cellStyle name="Normal 5 2 5 2 4 2 3" xfId="12476" xr:uid="{2B8232FC-202B-4E39-880D-406784565BB0}"/>
    <cellStyle name="Normal 5 2 5 2 4 3" xfId="6049" xr:uid="{00000000-0005-0000-0000-00002F190000}"/>
    <cellStyle name="Normal 5 2 5 2 4 3 2" xfId="14544" xr:uid="{90537FE0-6A3E-436D-A6FD-F2A5D0034D90}"/>
    <cellStyle name="Normal 5 2 5 2 4 4" xfId="10331" xr:uid="{9A5380DC-4288-48BB-AA5B-180CA8A89DA1}"/>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102" xr:uid="{67A76F74-9D7E-442B-9AC0-261F53188C74}"/>
    <cellStyle name="Normal 5 2 5 2 5 2 3" xfId="12889" xr:uid="{658E4436-48D6-4D83-A27F-9DF8446C04A3}"/>
    <cellStyle name="Normal 5 2 5 2 5 3" xfId="6462" xr:uid="{00000000-0005-0000-0000-000033190000}"/>
    <cellStyle name="Normal 5 2 5 2 5 3 2" xfId="14957" xr:uid="{8E82D005-4E48-42E3-8237-59228899854B}"/>
    <cellStyle name="Normal 5 2 5 2 5 4" xfId="10744" xr:uid="{9A23A470-FB92-41BB-B65F-A66F62B7E5C5}"/>
    <cellStyle name="Normal 5 2 5 2 6" xfId="2592" xr:uid="{00000000-0005-0000-0000-000034190000}"/>
    <cellStyle name="Normal 5 2 5 2 6 2" xfId="6875" xr:uid="{00000000-0005-0000-0000-000035190000}"/>
    <cellStyle name="Normal 5 2 5 2 6 2 2" xfId="15370" xr:uid="{5A9D1D47-926E-4FBC-B9E1-B64E67DDEABA}"/>
    <cellStyle name="Normal 5 2 5 2 6 3" xfId="11157" xr:uid="{F2E5BA8C-C90A-4113-8B70-E54E70591C04}"/>
    <cellStyle name="Normal 5 2 5 2 7" xfId="4810" xr:uid="{00000000-0005-0000-0000-000036190000}"/>
    <cellStyle name="Normal 5 2 5 2 7 2" xfId="13305" xr:uid="{6281B445-36DE-4EF0-B2F1-9EE8E3EEB34B}"/>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2 2 2" xfId="15862" xr:uid="{B1FB859E-01AB-4C9C-AACE-482E4903F52D}"/>
    <cellStyle name="Normal 5 2 5 3 2 3" xfId="11649" xr:uid="{2ADC6E72-D896-4447-93A3-8F3031942B7F}"/>
    <cellStyle name="Normal 5 2 5 3 3" xfId="5222" xr:uid="{00000000-0005-0000-0000-00003A190000}"/>
    <cellStyle name="Normal 5 2 5 3 3 2" xfId="13717" xr:uid="{DCAB3D76-EF36-4E70-90D0-40C135227D67}"/>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2 2 2" xfId="16275" xr:uid="{9E514FB6-7465-498B-9AEA-E5874A6EE2D2}"/>
    <cellStyle name="Normal 5 2 5 4 2 3" xfId="12062" xr:uid="{DA05712C-F543-45A3-8319-0BEEC53B3B1F}"/>
    <cellStyle name="Normal 5 2 5 4 3" xfId="5635" xr:uid="{00000000-0005-0000-0000-00003E190000}"/>
    <cellStyle name="Normal 5 2 5 4 3 2" xfId="14130" xr:uid="{5218EE4B-06D8-44AC-8132-D7300DF0E7D5}"/>
    <cellStyle name="Normal 5 2 5 4 4" xfId="9917" xr:uid="{E966F3CE-1B6A-4CBA-B714-A6C06228E2ED}"/>
    <cellStyle name="Normal 5 2 5 5" xfId="1741" xr:uid="{00000000-0005-0000-0000-00003F190000}"/>
    <cellStyle name="Normal 5 2 5 5 2" xfId="3971" xr:uid="{00000000-0005-0000-0000-000040190000}"/>
    <cellStyle name="Normal 5 2 5 5 2 2" xfId="8193" xr:uid="{00000000-0005-0000-0000-000041190000}"/>
    <cellStyle name="Normal 5 2 5 5 2 2 2" xfId="16688" xr:uid="{BC6CF8BD-871F-4EF5-89E5-936A3C47D5B4}"/>
    <cellStyle name="Normal 5 2 5 5 2 3" xfId="12475" xr:uid="{6CCDC95D-211E-4069-B29D-3E9CB7E4A938}"/>
    <cellStyle name="Normal 5 2 5 5 3" xfId="6048" xr:uid="{00000000-0005-0000-0000-000042190000}"/>
    <cellStyle name="Normal 5 2 5 5 3 2" xfId="14543" xr:uid="{0A5F377B-4677-4FE0-8966-274EB798F38D}"/>
    <cellStyle name="Normal 5 2 5 5 4" xfId="10330" xr:uid="{98FFE302-7291-42B4-9B94-D0F908F75275}"/>
    <cellStyle name="Normal 5 2 5 6" xfId="2155" xr:uid="{00000000-0005-0000-0000-000043190000}"/>
    <cellStyle name="Normal 5 2 5 6 2" xfId="4384" xr:uid="{00000000-0005-0000-0000-000044190000}"/>
    <cellStyle name="Normal 5 2 5 6 2 2" xfId="8606" xr:uid="{00000000-0005-0000-0000-000045190000}"/>
    <cellStyle name="Normal 5 2 5 6 2 2 2" xfId="17101" xr:uid="{A74C2E1B-B7F3-44E7-8CC1-AB9BC836BE11}"/>
    <cellStyle name="Normal 5 2 5 6 2 3" xfId="12888" xr:uid="{853FCF81-3041-4B8D-9C79-D296CD1EBD24}"/>
    <cellStyle name="Normal 5 2 5 6 3" xfId="6461" xr:uid="{00000000-0005-0000-0000-000046190000}"/>
    <cellStyle name="Normal 5 2 5 6 3 2" xfId="14956" xr:uid="{D81F5B2E-28BF-4E0C-BDEC-B752A6730602}"/>
    <cellStyle name="Normal 5 2 5 6 4" xfId="10743" xr:uid="{25328D6B-2F00-4F54-9826-C3C2CB0DDD43}"/>
    <cellStyle name="Normal 5 2 5 7" xfId="2591" xr:uid="{00000000-0005-0000-0000-000047190000}"/>
    <cellStyle name="Normal 5 2 5 7 2" xfId="6874" xr:uid="{00000000-0005-0000-0000-000048190000}"/>
    <cellStyle name="Normal 5 2 5 7 2 2" xfId="15369" xr:uid="{905C36B1-E7C0-4FED-A6BE-5A022416EBF8}"/>
    <cellStyle name="Normal 5 2 5 7 3" xfId="11156" xr:uid="{D4244EAA-FA56-4A99-8387-EEFD44D9AA12}"/>
    <cellStyle name="Normal 5 2 5 8" xfId="4809" xr:uid="{00000000-0005-0000-0000-000049190000}"/>
    <cellStyle name="Normal 5 2 5 8 2" xfId="13304" xr:uid="{4B857184-2FD7-4547-B521-3A090A060EDB}"/>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5864" xr:uid="{812F2568-D023-4F90-B612-CAEA4B4C3E2E}"/>
    <cellStyle name="Normal 5 2 6 2 2 3" xfId="11651" xr:uid="{0EEA0F24-6756-4FDB-9555-236384A43734}"/>
    <cellStyle name="Normal 5 2 6 2 3" xfId="5224" xr:uid="{00000000-0005-0000-0000-00004E190000}"/>
    <cellStyle name="Normal 5 2 6 2 3 2" xfId="13719" xr:uid="{DCBCE0EB-B594-4C35-B55E-B6507DC15119}"/>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2 2 2" xfId="16277" xr:uid="{4DD09202-BA70-4584-B644-BC5C68BF36B1}"/>
    <cellStyle name="Normal 5 2 6 3 2 3" xfId="12064" xr:uid="{BE24577A-6525-4F73-AA2A-875CCE4CF440}"/>
    <cellStyle name="Normal 5 2 6 3 3" xfId="5637" xr:uid="{00000000-0005-0000-0000-000052190000}"/>
    <cellStyle name="Normal 5 2 6 3 3 2" xfId="14132" xr:uid="{0D25A34B-60CF-480F-9627-143DB909D719}"/>
    <cellStyle name="Normal 5 2 6 3 4" xfId="9919" xr:uid="{E3046386-7B53-43C6-AF92-50982F81A00A}"/>
    <cellStyle name="Normal 5 2 6 4" xfId="1743" xr:uid="{00000000-0005-0000-0000-000053190000}"/>
    <cellStyle name="Normal 5 2 6 4 2" xfId="3973" xr:uid="{00000000-0005-0000-0000-000054190000}"/>
    <cellStyle name="Normal 5 2 6 4 2 2" xfId="8195" xr:uid="{00000000-0005-0000-0000-000055190000}"/>
    <cellStyle name="Normal 5 2 6 4 2 2 2" xfId="16690" xr:uid="{EB64BF0A-9389-498E-875B-3D929F4007C7}"/>
    <cellStyle name="Normal 5 2 6 4 2 3" xfId="12477" xr:uid="{07F38FA7-364D-4664-88A6-7666DC9DF8ED}"/>
    <cellStyle name="Normal 5 2 6 4 3" xfId="6050" xr:uid="{00000000-0005-0000-0000-000056190000}"/>
    <cellStyle name="Normal 5 2 6 4 3 2" xfId="14545" xr:uid="{444A1B46-72FA-412E-B81C-EB351ED30628}"/>
    <cellStyle name="Normal 5 2 6 4 4" xfId="10332" xr:uid="{6CBA7512-7917-493D-AB0D-FCFDF289BADD}"/>
    <cellStyle name="Normal 5 2 6 5" xfId="2157" xr:uid="{00000000-0005-0000-0000-000057190000}"/>
    <cellStyle name="Normal 5 2 6 5 2" xfId="4386" xr:uid="{00000000-0005-0000-0000-000058190000}"/>
    <cellStyle name="Normal 5 2 6 5 2 2" xfId="8608" xr:uid="{00000000-0005-0000-0000-000059190000}"/>
    <cellStyle name="Normal 5 2 6 5 2 2 2" xfId="17103" xr:uid="{98A8EA32-2778-420B-A091-9B7C5FDA326F}"/>
    <cellStyle name="Normal 5 2 6 5 2 3" xfId="12890" xr:uid="{05870F47-C500-4C31-B51B-D58ACF4FADCB}"/>
    <cellStyle name="Normal 5 2 6 5 3" xfId="6463" xr:uid="{00000000-0005-0000-0000-00005A190000}"/>
    <cellStyle name="Normal 5 2 6 5 3 2" xfId="14958" xr:uid="{C8C65E53-FBD8-4A61-A189-54E7B5BCBFD0}"/>
    <cellStyle name="Normal 5 2 6 5 4" xfId="10745" xr:uid="{2BB0325B-FD70-497B-BF07-23916C69C4F9}"/>
    <cellStyle name="Normal 5 2 6 6" xfId="2593" xr:uid="{00000000-0005-0000-0000-00005B190000}"/>
    <cellStyle name="Normal 5 2 6 6 2" xfId="6876" xr:uid="{00000000-0005-0000-0000-00005C190000}"/>
    <cellStyle name="Normal 5 2 6 6 2 2" xfId="15371" xr:uid="{8E098282-B920-407B-9024-3EA2AF890DA4}"/>
    <cellStyle name="Normal 5 2 6 6 3" xfId="11158" xr:uid="{0AEEC642-5511-4676-980F-889549C3A460}"/>
    <cellStyle name="Normal 5 2 6 7" xfId="4811" xr:uid="{00000000-0005-0000-0000-00005D190000}"/>
    <cellStyle name="Normal 5 2 6 7 2" xfId="13306" xr:uid="{F4804622-C374-47EC-A562-2BDDC781E437}"/>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2 2 2" xfId="15833" xr:uid="{808C153E-012D-4528-8E1B-DF3C5DB6C882}"/>
    <cellStyle name="Normal 5 2 7 2 3" xfId="11620" xr:uid="{F84645C4-9BB5-4DA0-B2A3-54005F366488}"/>
    <cellStyle name="Normal 5 2 7 3" xfId="5193" xr:uid="{00000000-0005-0000-0000-000061190000}"/>
    <cellStyle name="Normal 5 2 7 3 2" xfId="13688" xr:uid="{D799D38E-8CD6-4542-B691-55C85A55F67E}"/>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2 2 2" xfId="16246" xr:uid="{6C237272-6880-48EA-BB42-31599BA2F476}"/>
    <cellStyle name="Normal 5 2 8 2 3" xfId="12033" xr:uid="{6C717838-FF70-48D0-8E28-0B38AD6BE333}"/>
    <cellStyle name="Normal 5 2 8 3" xfId="5606" xr:uid="{00000000-0005-0000-0000-000065190000}"/>
    <cellStyle name="Normal 5 2 8 3 2" xfId="14101" xr:uid="{3E75B959-F180-46CA-AB17-263E9B35EB89}"/>
    <cellStyle name="Normal 5 2 8 4" xfId="9888" xr:uid="{13992D45-642D-4B61-AD57-5C251C55CD31}"/>
    <cellStyle name="Normal 5 2 9" xfId="1712" xr:uid="{00000000-0005-0000-0000-000066190000}"/>
    <cellStyle name="Normal 5 2 9 2" xfId="3942" xr:uid="{00000000-0005-0000-0000-000067190000}"/>
    <cellStyle name="Normal 5 2 9 2 2" xfId="8164" xr:uid="{00000000-0005-0000-0000-000068190000}"/>
    <cellStyle name="Normal 5 2 9 2 2 2" xfId="16659" xr:uid="{AE9CDBB0-5B63-4E9A-AD09-3F354C357D5D}"/>
    <cellStyle name="Normal 5 2 9 2 3" xfId="12446" xr:uid="{CA778B13-9929-4BE5-BAF9-B43E3974E13D}"/>
    <cellStyle name="Normal 5 2 9 3" xfId="6019" xr:uid="{00000000-0005-0000-0000-000069190000}"/>
    <cellStyle name="Normal 5 2 9 3 2" xfId="14514" xr:uid="{2F82DAF1-C707-44B3-834D-4108CA0F7711}"/>
    <cellStyle name="Normal 5 2 9 4" xfId="10301" xr:uid="{B41A0AF3-9A9D-4C7C-9343-D1C382C19BE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104" xr:uid="{0E922C3A-2219-4A13-BBD8-BEE4FBE1B9E6}"/>
    <cellStyle name="Normal 5 3 10 2 3" xfId="12891" xr:uid="{72780833-D1F0-4197-8F32-D03738D87CD0}"/>
    <cellStyle name="Normal 5 3 10 3" xfId="6464" xr:uid="{00000000-0005-0000-0000-00006E190000}"/>
    <cellStyle name="Normal 5 3 10 3 2" xfId="14959" xr:uid="{FAFC9736-470E-4DBC-A324-320F39E917DA}"/>
    <cellStyle name="Normal 5 3 10 4" xfId="10746" xr:uid="{D55CBBDE-E4CA-4861-B8DC-6FED985A9F46}"/>
    <cellStyle name="Normal 5 3 11" xfId="2594" xr:uid="{00000000-0005-0000-0000-00006F190000}"/>
    <cellStyle name="Normal 5 3 11 2" xfId="6877" xr:uid="{00000000-0005-0000-0000-000070190000}"/>
    <cellStyle name="Normal 5 3 11 2 2" xfId="15372" xr:uid="{7851CA02-618A-4BEB-9870-B9A1BC76E26B}"/>
    <cellStyle name="Normal 5 3 11 3" xfId="11159" xr:uid="{4E019E1C-5573-4BBC-8370-0B1D672EDD24}"/>
    <cellStyle name="Normal 5 3 12" xfId="4812" xr:uid="{00000000-0005-0000-0000-000071190000}"/>
    <cellStyle name="Normal 5 3 12 2" xfId="13307" xr:uid="{81BE34BA-C5F2-4E08-8784-12BB5AE53B07}"/>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3308" xr:uid="{F4627DE6-CFCF-4F5E-8633-13A5918C121B}"/>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5869" xr:uid="{E6D891FB-C912-4A28-8139-E873F35D97F7}"/>
    <cellStyle name="Normal 5 3 3 2 2 2 2 2 3" xfId="11656" xr:uid="{DB848A89-5816-4837-A5D2-DE2C4F22B2E5}"/>
    <cellStyle name="Normal 5 3 3 2 2 2 2 3" xfId="5229" xr:uid="{00000000-0005-0000-0000-00007C190000}"/>
    <cellStyle name="Normal 5 3 3 2 2 2 2 3 2" xfId="13724" xr:uid="{ECD61541-F257-476A-A971-571B07958813}"/>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6282" xr:uid="{5B23DF75-2554-4A3A-B4D9-0B1056BB4BBB}"/>
    <cellStyle name="Normal 5 3 3 2 2 2 3 2 3" xfId="12069" xr:uid="{522D61EE-A48D-4C0B-BDE9-F4775EBC4B24}"/>
    <cellStyle name="Normal 5 3 3 2 2 2 3 3" xfId="5642" xr:uid="{00000000-0005-0000-0000-000080190000}"/>
    <cellStyle name="Normal 5 3 3 2 2 2 3 3 2" xfId="14137" xr:uid="{F971F972-188C-4F8D-A9CD-82D0BF2640FF}"/>
    <cellStyle name="Normal 5 3 3 2 2 2 3 4" xfId="9924" xr:uid="{E09C0012-031E-44C7-B6EF-6C272C163BC3}"/>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6695" xr:uid="{90F292E1-3C27-49BE-8431-A0535245B96A}"/>
    <cellStyle name="Normal 5 3 3 2 2 2 4 2 3" xfId="12482" xr:uid="{5C4908BA-CC22-4609-BD42-E01569CAF689}"/>
    <cellStyle name="Normal 5 3 3 2 2 2 4 3" xfId="6055" xr:uid="{00000000-0005-0000-0000-000084190000}"/>
    <cellStyle name="Normal 5 3 3 2 2 2 4 3 2" xfId="14550" xr:uid="{4F76FE86-197C-452E-8CBE-029591978044}"/>
    <cellStyle name="Normal 5 3 3 2 2 2 4 4" xfId="10337" xr:uid="{4D903583-1D4D-4BC8-86E3-07E39CF012A7}"/>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108" xr:uid="{C673A51F-FBA7-4F36-B5E4-D0F9EC898378}"/>
    <cellStyle name="Normal 5 3 3 2 2 2 5 2 3" xfId="12895" xr:uid="{C2802300-CF3E-4407-8DFC-F8346C8F5B5F}"/>
    <cellStyle name="Normal 5 3 3 2 2 2 5 3" xfId="6468" xr:uid="{00000000-0005-0000-0000-000088190000}"/>
    <cellStyle name="Normal 5 3 3 2 2 2 5 3 2" xfId="14963" xr:uid="{AB7CE5AD-FD1C-45D7-9D97-F2C5F4BA7C80}"/>
    <cellStyle name="Normal 5 3 3 2 2 2 5 4" xfId="10750" xr:uid="{E0AED06A-451D-4A0B-8B4A-755127C49853}"/>
    <cellStyle name="Normal 5 3 3 2 2 2 6" xfId="2598" xr:uid="{00000000-0005-0000-0000-000089190000}"/>
    <cellStyle name="Normal 5 3 3 2 2 2 6 2" xfId="6881" xr:uid="{00000000-0005-0000-0000-00008A190000}"/>
    <cellStyle name="Normal 5 3 3 2 2 2 6 2 2" xfId="15376" xr:uid="{1BBD1080-EA1A-4174-B65F-F92A2E3CC10D}"/>
    <cellStyle name="Normal 5 3 3 2 2 2 6 3" xfId="11163" xr:uid="{7F9841C6-CB44-47C8-8A18-539A9E722E26}"/>
    <cellStyle name="Normal 5 3 3 2 2 2 7" xfId="4816" xr:uid="{00000000-0005-0000-0000-00008B190000}"/>
    <cellStyle name="Normal 5 3 3 2 2 2 7 2" xfId="13311" xr:uid="{ACF99804-87C6-415F-A347-A3610C4C977C}"/>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5868" xr:uid="{623FE8D4-73F4-4E9F-B130-8F75B2831A85}"/>
    <cellStyle name="Normal 5 3 3 2 2 3 2 3" xfId="11655" xr:uid="{72E2E60E-C2E2-4FB0-93EA-831E767C3894}"/>
    <cellStyle name="Normal 5 3 3 2 2 3 3" xfId="5228" xr:uid="{00000000-0005-0000-0000-00008F190000}"/>
    <cellStyle name="Normal 5 3 3 2 2 3 3 2" xfId="13723" xr:uid="{B06D1806-46F6-463F-8C5D-7C356EB6F25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6281" xr:uid="{D06A46E5-7C86-40C8-A88D-AA83F1A39308}"/>
    <cellStyle name="Normal 5 3 3 2 2 4 2 3" xfId="12068" xr:uid="{000C4312-1531-48D5-9FC9-9A034EA708ED}"/>
    <cellStyle name="Normal 5 3 3 2 2 4 3" xfId="5641" xr:uid="{00000000-0005-0000-0000-000093190000}"/>
    <cellStyle name="Normal 5 3 3 2 2 4 3 2" xfId="14136" xr:uid="{CEE217AD-1EF5-422D-8E81-257AF8185A12}"/>
    <cellStyle name="Normal 5 3 3 2 2 4 4" xfId="9923" xr:uid="{1E441779-59A5-4D5F-920B-A1511F38C6C5}"/>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6694" xr:uid="{12AF22A9-48F0-4875-BC62-6495B38686D1}"/>
    <cellStyle name="Normal 5 3 3 2 2 5 2 3" xfId="12481" xr:uid="{DB954F0F-1E11-4F17-91BA-C1377B803DD4}"/>
    <cellStyle name="Normal 5 3 3 2 2 5 3" xfId="6054" xr:uid="{00000000-0005-0000-0000-000097190000}"/>
    <cellStyle name="Normal 5 3 3 2 2 5 3 2" xfId="14549" xr:uid="{DB198D0E-43E9-484E-B4F4-D5F49ACC86C1}"/>
    <cellStyle name="Normal 5 3 3 2 2 5 4" xfId="10336" xr:uid="{8A6D7DAA-3B66-46A0-95E7-8B546E2C1486}"/>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107" xr:uid="{83850082-05A2-424F-99DF-D173858B8717}"/>
    <cellStyle name="Normal 5 3 3 2 2 6 2 3" xfId="12894" xr:uid="{CBED60B8-5972-4BEF-A24A-474508E6702A}"/>
    <cellStyle name="Normal 5 3 3 2 2 6 3" xfId="6467" xr:uid="{00000000-0005-0000-0000-00009B190000}"/>
    <cellStyle name="Normal 5 3 3 2 2 6 3 2" xfId="14962" xr:uid="{00A15374-5164-47DE-BB33-2EC28F5EAB0A}"/>
    <cellStyle name="Normal 5 3 3 2 2 6 4" xfId="10749" xr:uid="{42E8D4C6-005D-45AC-9319-0A3BEBA3ABF0}"/>
    <cellStyle name="Normal 5 3 3 2 2 7" xfId="2597" xr:uid="{00000000-0005-0000-0000-00009C190000}"/>
    <cellStyle name="Normal 5 3 3 2 2 7 2" xfId="6880" xr:uid="{00000000-0005-0000-0000-00009D190000}"/>
    <cellStyle name="Normal 5 3 3 2 2 7 2 2" xfId="15375" xr:uid="{EBD3E9A8-DB4E-4E29-8FE5-1C05463D3626}"/>
    <cellStyle name="Normal 5 3 3 2 2 7 3" xfId="11162" xr:uid="{6FC4F643-6765-4BD7-872A-655854CC333E}"/>
    <cellStyle name="Normal 5 3 3 2 2 8" xfId="4815" xr:uid="{00000000-0005-0000-0000-00009E190000}"/>
    <cellStyle name="Normal 5 3 3 2 2 8 2" xfId="13310" xr:uid="{200FC532-81C5-40BD-A2AD-5D094FF3E342}"/>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5870" xr:uid="{3D8A240E-6E4D-4E95-8935-A74A5399389E}"/>
    <cellStyle name="Normal 5 3 3 2 3 2 2 3" xfId="11657" xr:uid="{4414D262-532D-4C11-9B61-3CE6742F2D3D}"/>
    <cellStyle name="Normal 5 3 3 2 3 2 3" xfId="5230" xr:uid="{00000000-0005-0000-0000-0000A3190000}"/>
    <cellStyle name="Normal 5 3 3 2 3 2 3 2" xfId="13725" xr:uid="{6710807C-9275-4016-A483-96C9CC768ABA}"/>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6283" xr:uid="{26F73F3B-E211-4887-BE4B-5AB83D40F0F6}"/>
    <cellStyle name="Normal 5 3 3 2 3 3 2 3" xfId="12070" xr:uid="{19232007-76A7-416A-87F4-F5325DBFC804}"/>
    <cellStyle name="Normal 5 3 3 2 3 3 3" xfId="5643" xr:uid="{00000000-0005-0000-0000-0000A7190000}"/>
    <cellStyle name="Normal 5 3 3 2 3 3 3 2" xfId="14138" xr:uid="{DFD656BF-47D8-4315-AAC1-EB12969F9B55}"/>
    <cellStyle name="Normal 5 3 3 2 3 3 4" xfId="9925" xr:uid="{3A3FBB3B-35F7-47E1-94F7-759414FC9A72}"/>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6696" xr:uid="{8D26CC56-6E08-46B1-B6C5-563E25EF9320}"/>
    <cellStyle name="Normal 5 3 3 2 3 4 2 3" xfId="12483" xr:uid="{DA23D603-672E-46A2-B464-352E8AD59542}"/>
    <cellStyle name="Normal 5 3 3 2 3 4 3" xfId="6056" xr:uid="{00000000-0005-0000-0000-0000AB190000}"/>
    <cellStyle name="Normal 5 3 3 2 3 4 3 2" xfId="14551" xr:uid="{1D8F2122-2743-4964-AB90-D8AC3709ABC7}"/>
    <cellStyle name="Normal 5 3 3 2 3 4 4" xfId="10338" xr:uid="{A021D628-B6B4-4202-99FE-6AF66BA36BED}"/>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109" xr:uid="{FC03CC87-505C-4A9F-9EA7-B63A6BF73B89}"/>
    <cellStyle name="Normal 5 3 3 2 3 5 2 3" xfId="12896" xr:uid="{732FA847-D4B2-40D7-B787-469D4FE554ED}"/>
    <cellStyle name="Normal 5 3 3 2 3 5 3" xfId="6469" xr:uid="{00000000-0005-0000-0000-0000AF190000}"/>
    <cellStyle name="Normal 5 3 3 2 3 5 3 2" xfId="14964" xr:uid="{A5C29D21-F485-403A-8973-DB4B628C743A}"/>
    <cellStyle name="Normal 5 3 3 2 3 5 4" xfId="10751" xr:uid="{292D96E7-CB6C-4787-BB77-52E7792E660E}"/>
    <cellStyle name="Normal 5 3 3 2 3 6" xfId="2599" xr:uid="{00000000-0005-0000-0000-0000B0190000}"/>
    <cellStyle name="Normal 5 3 3 2 3 6 2" xfId="6882" xr:uid="{00000000-0005-0000-0000-0000B1190000}"/>
    <cellStyle name="Normal 5 3 3 2 3 6 2 2" xfId="15377" xr:uid="{2DB7A136-53EB-4B7E-9AEA-A246B453F8AE}"/>
    <cellStyle name="Normal 5 3 3 2 3 6 3" xfId="11164" xr:uid="{FCE70DF7-BB1C-4DD9-BF60-69304BCE1459}"/>
    <cellStyle name="Normal 5 3 3 2 3 7" xfId="4817" xr:uid="{00000000-0005-0000-0000-0000B2190000}"/>
    <cellStyle name="Normal 5 3 3 2 3 7 2" xfId="13312" xr:uid="{0B61459A-BF3F-426B-81CE-376DC37EA13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5867" xr:uid="{676410DF-5038-468B-A6A1-B851E773A11E}"/>
    <cellStyle name="Normal 5 3 3 2 4 2 3" xfId="11654" xr:uid="{737AED8F-16D6-4BCD-B279-1D3EDE704D38}"/>
    <cellStyle name="Normal 5 3 3 2 4 3" xfId="5227" xr:uid="{00000000-0005-0000-0000-0000B6190000}"/>
    <cellStyle name="Normal 5 3 3 2 4 3 2" xfId="13722" xr:uid="{177F67B8-896C-4469-AC6F-CE9C880E55D8}"/>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6280" xr:uid="{CEE629F4-D353-4883-8B82-E4BD3C62876B}"/>
    <cellStyle name="Normal 5 3 3 2 5 2 3" xfId="12067" xr:uid="{E074E6D2-E070-4549-8838-3E13DA3C21B8}"/>
    <cellStyle name="Normal 5 3 3 2 5 3" xfId="5640" xr:uid="{00000000-0005-0000-0000-0000BA190000}"/>
    <cellStyle name="Normal 5 3 3 2 5 3 2" xfId="14135" xr:uid="{FAD0C80D-5C84-473C-90A7-10A3DC32EE01}"/>
    <cellStyle name="Normal 5 3 3 2 5 4" xfId="9922" xr:uid="{9CFC63AA-B7DA-46DE-AFAB-9ED719FD322E}"/>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6693" xr:uid="{A350531D-ABC6-4D24-A610-9C4A9C0C8317}"/>
    <cellStyle name="Normal 5 3 3 2 6 2 3" xfId="12480" xr:uid="{5A19DB6E-F4E4-4AB0-AE55-F59D0D0F9B61}"/>
    <cellStyle name="Normal 5 3 3 2 6 3" xfId="6053" xr:uid="{00000000-0005-0000-0000-0000BE190000}"/>
    <cellStyle name="Normal 5 3 3 2 6 3 2" xfId="14548" xr:uid="{98E8EBB6-6CAD-4C7F-8E38-EC5095D7D827}"/>
    <cellStyle name="Normal 5 3 3 2 6 4" xfId="10335" xr:uid="{F2130229-F6DF-4A20-B42C-D82C41AD7901}"/>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106" xr:uid="{EF25C8BA-CC1E-4D70-8975-946A5C98EDF7}"/>
    <cellStyle name="Normal 5 3 3 2 7 2 3" xfId="12893" xr:uid="{55D33453-61AD-43A0-A3F9-D0B777177704}"/>
    <cellStyle name="Normal 5 3 3 2 7 3" xfId="6466" xr:uid="{00000000-0005-0000-0000-0000C2190000}"/>
    <cellStyle name="Normal 5 3 3 2 7 3 2" xfId="14961" xr:uid="{F8D8F5AE-E98B-4E2B-A44F-5F355F1CC972}"/>
    <cellStyle name="Normal 5 3 3 2 7 4" xfId="10748" xr:uid="{82DBECC2-7AB5-4A5B-9105-726E3B5C6567}"/>
    <cellStyle name="Normal 5 3 3 2 8" xfId="2596" xr:uid="{00000000-0005-0000-0000-0000C3190000}"/>
    <cellStyle name="Normal 5 3 3 2 8 2" xfId="6879" xr:uid="{00000000-0005-0000-0000-0000C4190000}"/>
    <cellStyle name="Normal 5 3 3 2 8 2 2" xfId="15374" xr:uid="{F7DAE787-33CF-495F-B1A0-441A6D8E2751}"/>
    <cellStyle name="Normal 5 3 3 2 8 3" xfId="11161" xr:uid="{74E39466-479F-4CB0-AF1E-817D3160B1C5}"/>
    <cellStyle name="Normal 5 3 3 2 9" xfId="4814" xr:uid="{00000000-0005-0000-0000-0000C5190000}"/>
    <cellStyle name="Normal 5 3 3 2 9 2" xfId="13309" xr:uid="{3E166D51-E44D-4C1E-B573-9C406B5E9474}"/>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5872" xr:uid="{FE22E411-703D-46B7-B1B5-1BD9F6B67DDD}"/>
    <cellStyle name="Normal 5 3 3 3 2 2 2 3" xfId="11659" xr:uid="{B068FF72-BEAE-4E85-ABBC-D18CE70E9096}"/>
    <cellStyle name="Normal 5 3 3 3 2 2 3" xfId="5232" xr:uid="{00000000-0005-0000-0000-0000CB190000}"/>
    <cellStyle name="Normal 5 3 3 3 2 2 3 2" xfId="13727" xr:uid="{BE99A7AD-4B07-4825-859F-3806EE3F8942}"/>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6285" xr:uid="{69EA42AF-5D8C-4FA1-A918-AFF5814309C1}"/>
    <cellStyle name="Normal 5 3 3 3 2 3 2 3" xfId="12072" xr:uid="{69D85F46-3EB9-4D70-92C4-A8C9EDA94321}"/>
    <cellStyle name="Normal 5 3 3 3 2 3 3" xfId="5645" xr:uid="{00000000-0005-0000-0000-0000CF190000}"/>
    <cellStyle name="Normal 5 3 3 3 2 3 3 2" xfId="14140" xr:uid="{08241E25-79BB-47C1-B7E9-F93900AFC41C}"/>
    <cellStyle name="Normal 5 3 3 3 2 3 4" xfId="9927" xr:uid="{2B85D62A-A852-4237-B481-FEA0E0BD15C6}"/>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6698" xr:uid="{BE8FFBA9-C01A-4C81-A512-F2F83F653B3A}"/>
    <cellStyle name="Normal 5 3 3 3 2 4 2 3" xfId="12485" xr:uid="{34E51041-981D-4355-AB76-1B9009DF6BA9}"/>
    <cellStyle name="Normal 5 3 3 3 2 4 3" xfId="6058" xr:uid="{00000000-0005-0000-0000-0000D3190000}"/>
    <cellStyle name="Normal 5 3 3 3 2 4 3 2" xfId="14553" xr:uid="{20874F20-D625-4BEC-BA92-97CDB09CA5F3}"/>
    <cellStyle name="Normal 5 3 3 3 2 4 4" xfId="10340" xr:uid="{20283A04-4482-477B-A7FD-C1474ED0333C}"/>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111" xr:uid="{1748B82E-01C0-42E3-B543-07F02448FC18}"/>
    <cellStyle name="Normal 5 3 3 3 2 5 2 3" xfId="12898" xr:uid="{EB6B0DEA-D3B7-4CC5-8F69-2E342A077123}"/>
    <cellStyle name="Normal 5 3 3 3 2 5 3" xfId="6471" xr:uid="{00000000-0005-0000-0000-0000D7190000}"/>
    <cellStyle name="Normal 5 3 3 3 2 5 3 2" xfId="14966" xr:uid="{C72744A0-197F-4AA7-B537-DDF125F26240}"/>
    <cellStyle name="Normal 5 3 3 3 2 5 4" xfId="10753" xr:uid="{69CB33D6-1EA6-4AAD-9283-5AF8FCCCB315}"/>
    <cellStyle name="Normal 5 3 3 3 2 6" xfId="2601" xr:uid="{00000000-0005-0000-0000-0000D8190000}"/>
    <cellStyle name="Normal 5 3 3 3 2 6 2" xfId="6884" xr:uid="{00000000-0005-0000-0000-0000D9190000}"/>
    <cellStyle name="Normal 5 3 3 3 2 6 2 2" xfId="15379" xr:uid="{56034FBF-F324-4CDB-9C1B-E426D623A0CC}"/>
    <cellStyle name="Normal 5 3 3 3 2 6 3" xfId="11166" xr:uid="{7EB4E936-6E87-438E-BE05-AFE6539171D6}"/>
    <cellStyle name="Normal 5 3 3 3 2 7" xfId="4819" xr:uid="{00000000-0005-0000-0000-0000DA190000}"/>
    <cellStyle name="Normal 5 3 3 3 2 7 2" xfId="13314" xr:uid="{59F8A283-5F10-491D-8E9E-90CF26E531CB}"/>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5871" xr:uid="{01ACB424-7B06-411F-B030-30885FFCDB5E}"/>
    <cellStyle name="Normal 5 3 3 3 3 2 3" xfId="11658" xr:uid="{15FB2D07-4A82-4475-BEDB-F19F48586439}"/>
    <cellStyle name="Normal 5 3 3 3 3 3" xfId="5231" xr:uid="{00000000-0005-0000-0000-0000DE190000}"/>
    <cellStyle name="Normal 5 3 3 3 3 3 2" xfId="13726" xr:uid="{D6FA0E43-4B5D-46D8-9D08-B347D173A9D8}"/>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6284" xr:uid="{DA8F8F2D-5EFB-447F-A363-2790B4144811}"/>
    <cellStyle name="Normal 5 3 3 3 4 2 3" xfId="12071" xr:uid="{7A980A44-4DB7-4438-9545-7E80E1241AFB}"/>
    <cellStyle name="Normal 5 3 3 3 4 3" xfId="5644" xr:uid="{00000000-0005-0000-0000-0000E2190000}"/>
    <cellStyle name="Normal 5 3 3 3 4 3 2" xfId="14139" xr:uid="{95683D90-94CA-4DB8-A94E-CE881D4B21AC}"/>
    <cellStyle name="Normal 5 3 3 3 4 4" xfId="9926" xr:uid="{37EB7E86-E741-4D25-B118-F563AF257342}"/>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6697" xr:uid="{2996A78E-C4EB-4E4C-A6B6-82EFBF82EB3F}"/>
    <cellStyle name="Normal 5 3 3 3 5 2 3" xfId="12484" xr:uid="{35E70E02-6809-45C6-982B-182D6E11F620}"/>
    <cellStyle name="Normal 5 3 3 3 5 3" xfId="6057" xr:uid="{00000000-0005-0000-0000-0000E6190000}"/>
    <cellStyle name="Normal 5 3 3 3 5 3 2" xfId="14552" xr:uid="{2F795BA3-EBD4-4342-AE14-DB85B24C922D}"/>
    <cellStyle name="Normal 5 3 3 3 5 4" xfId="10339" xr:uid="{3B01FE7F-95ED-4508-9F9D-6AD0E23BE4B9}"/>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110" xr:uid="{5C61C227-9585-4307-BCEE-8DED88284E77}"/>
    <cellStyle name="Normal 5 3 3 3 6 2 3" xfId="12897" xr:uid="{16A2E5C1-C847-4CCA-A9C3-6DB5E6F7C9B9}"/>
    <cellStyle name="Normal 5 3 3 3 6 3" xfId="6470" xr:uid="{00000000-0005-0000-0000-0000EA190000}"/>
    <cellStyle name="Normal 5 3 3 3 6 3 2" xfId="14965" xr:uid="{2BE0D409-85DB-45DA-96FC-C53BBF3823BC}"/>
    <cellStyle name="Normal 5 3 3 3 6 4" xfId="10752" xr:uid="{66854842-8A62-4E23-AE62-25CC8E14BDDC}"/>
    <cellStyle name="Normal 5 3 3 3 7" xfId="2600" xr:uid="{00000000-0005-0000-0000-0000EB190000}"/>
    <cellStyle name="Normal 5 3 3 3 7 2" xfId="6883" xr:uid="{00000000-0005-0000-0000-0000EC190000}"/>
    <cellStyle name="Normal 5 3 3 3 7 2 2" xfId="15378" xr:uid="{F927A174-D70B-446C-B507-68196164F981}"/>
    <cellStyle name="Normal 5 3 3 3 7 3" xfId="11165" xr:uid="{512533CC-5130-4C69-BB03-E6475353256E}"/>
    <cellStyle name="Normal 5 3 3 3 8" xfId="4818" xr:uid="{00000000-0005-0000-0000-0000ED190000}"/>
    <cellStyle name="Normal 5 3 3 3 8 2" xfId="13313" xr:uid="{939DB4FA-31B3-4344-9280-47ECA17607D2}"/>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5873" xr:uid="{50E6C92A-FDF4-4AD4-BD28-EBE6DA60EFE9}"/>
    <cellStyle name="Normal 5 3 3 4 2 2 3" xfId="11660" xr:uid="{112545B3-37FC-4B52-8F2F-4985F7F528D7}"/>
    <cellStyle name="Normal 5 3 3 4 2 3" xfId="5233" xr:uid="{00000000-0005-0000-0000-0000F2190000}"/>
    <cellStyle name="Normal 5 3 3 4 2 3 2" xfId="13728" xr:uid="{48BEC59A-8640-40E3-9A30-AF2F17E7F504}"/>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6286" xr:uid="{20E7BA0C-A514-4E8A-82FF-C0672D7173DA}"/>
    <cellStyle name="Normal 5 3 3 4 3 2 3" xfId="12073" xr:uid="{B3A43254-B64D-40A0-8B92-BC2FEA70D643}"/>
    <cellStyle name="Normal 5 3 3 4 3 3" xfId="5646" xr:uid="{00000000-0005-0000-0000-0000F6190000}"/>
    <cellStyle name="Normal 5 3 3 4 3 3 2" xfId="14141" xr:uid="{119D30F9-1217-4527-A762-7919E952240F}"/>
    <cellStyle name="Normal 5 3 3 4 3 4" xfId="9928" xr:uid="{E7F8D759-AE6F-4C6F-9361-10F21BC9495A}"/>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6699" xr:uid="{5A911F33-9E04-47DE-BF55-BC6A3A917807}"/>
    <cellStyle name="Normal 5 3 3 4 4 2 3" xfId="12486" xr:uid="{6D0DFF4D-F12B-4A8B-8799-13464672C2F5}"/>
    <cellStyle name="Normal 5 3 3 4 4 3" xfId="6059" xr:uid="{00000000-0005-0000-0000-0000FA190000}"/>
    <cellStyle name="Normal 5 3 3 4 4 3 2" xfId="14554" xr:uid="{F23D6261-CB63-4AFE-BD4C-DC053BD577A8}"/>
    <cellStyle name="Normal 5 3 3 4 4 4" xfId="10341" xr:uid="{B42EBDF5-FC46-44A6-8128-ADB87AF0DD6E}"/>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112" xr:uid="{9FC1CB08-BF5F-41EF-9DE4-F3F874E3AA45}"/>
    <cellStyle name="Normal 5 3 3 4 5 2 3" xfId="12899" xr:uid="{AB907D2B-12B9-433E-ACBD-AA1CCC7FFFA0}"/>
    <cellStyle name="Normal 5 3 3 4 5 3" xfId="6472" xr:uid="{00000000-0005-0000-0000-0000FE190000}"/>
    <cellStyle name="Normal 5 3 3 4 5 3 2" xfId="14967" xr:uid="{8EC934C0-873F-49A5-B197-D8221D15C2E3}"/>
    <cellStyle name="Normal 5 3 3 4 5 4" xfId="10754" xr:uid="{5933B61D-C6DE-415D-8270-5168381BC924}"/>
    <cellStyle name="Normal 5 3 3 4 6" xfId="2602" xr:uid="{00000000-0005-0000-0000-0000FF190000}"/>
    <cellStyle name="Normal 5 3 3 4 6 2" xfId="6885" xr:uid="{00000000-0005-0000-0000-0000001A0000}"/>
    <cellStyle name="Normal 5 3 3 4 6 2 2" xfId="15380" xr:uid="{546C1D87-B035-40E1-A3C3-DA1DAEFBB874}"/>
    <cellStyle name="Normal 5 3 3 4 6 3" xfId="11167" xr:uid="{C3C33121-44DD-47F1-829B-3763EA158CCD}"/>
    <cellStyle name="Normal 5 3 3 4 7" xfId="4820" xr:uid="{00000000-0005-0000-0000-0000011A0000}"/>
    <cellStyle name="Normal 5 3 3 4 7 2" xfId="13315" xr:uid="{9832BBEA-A637-4999-A537-7D0BEEE78D34}"/>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2 2 2" xfId="15866" xr:uid="{44BF0F71-4A97-4CB9-AB26-4BFBE511D3F0}"/>
    <cellStyle name="Normal 5 3 3 5 2 3" xfId="11653" xr:uid="{F42F8311-D6C9-4D6A-B43E-7E9ED9700EEA}"/>
    <cellStyle name="Normal 5 3 3 5 3" xfId="5226" xr:uid="{00000000-0005-0000-0000-0000051A0000}"/>
    <cellStyle name="Normal 5 3 3 5 3 2" xfId="13721" xr:uid="{67CC99DB-5BB3-40A9-AEBC-6A10B289C648}"/>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2 2 2" xfId="16279" xr:uid="{E3A4E451-6966-4115-A167-FDBDEB612A2A}"/>
    <cellStyle name="Normal 5 3 3 6 2 3" xfId="12066" xr:uid="{84455083-2E88-4CCB-8788-0BE3D73E1E97}"/>
    <cellStyle name="Normal 5 3 3 6 3" xfId="5639" xr:uid="{00000000-0005-0000-0000-0000091A0000}"/>
    <cellStyle name="Normal 5 3 3 6 3 2" xfId="14134" xr:uid="{A6AF19D4-32D5-4E4A-AF17-8C31EB9D1881}"/>
    <cellStyle name="Normal 5 3 3 6 4" xfId="9921" xr:uid="{F040AF79-29D7-4076-9DA4-50B4436ECCAE}"/>
    <cellStyle name="Normal 5 3 3 7" xfId="1745" xr:uid="{00000000-0005-0000-0000-00000A1A0000}"/>
    <cellStyle name="Normal 5 3 3 7 2" xfId="3975" xr:uid="{00000000-0005-0000-0000-00000B1A0000}"/>
    <cellStyle name="Normal 5 3 3 7 2 2" xfId="8197" xr:uid="{00000000-0005-0000-0000-00000C1A0000}"/>
    <cellStyle name="Normal 5 3 3 7 2 2 2" xfId="16692" xr:uid="{B5CEB9B0-9735-4BF1-8CE0-9319680D172E}"/>
    <cellStyle name="Normal 5 3 3 7 2 3" xfId="12479" xr:uid="{D23C744B-7823-40AC-8303-33685F55D24F}"/>
    <cellStyle name="Normal 5 3 3 7 3" xfId="6052" xr:uid="{00000000-0005-0000-0000-00000D1A0000}"/>
    <cellStyle name="Normal 5 3 3 7 3 2" xfId="14547" xr:uid="{E1FE8A04-59F4-4C55-9801-E0278E4AEE33}"/>
    <cellStyle name="Normal 5 3 3 7 4" xfId="10334" xr:uid="{115717CE-A0FC-4FFB-B5C7-9669D467AB3F}"/>
    <cellStyle name="Normal 5 3 3 8" xfId="2159" xr:uid="{00000000-0005-0000-0000-00000E1A0000}"/>
    <cellStyle name="Normal 5 3 3 8 2" xfId="4388" xr:uid="{00000000-0005-0000-0000-00000F1A0000}"/>
    <cellStyle name="Normal 5 3 3 8 2 2" xfId="8610" xr:uid="{00000000-0005-0000-0000-0000101A0000}"/>
    <cellStyle name="Normal 5 3 3 8 2 2 2" xfId="17105" xr:uid="{C9CA3940-9288-40FB-B210-61E53493C94C}"/>
    <cellStyle name="Normal 5 3 3 8 2 3" xfId="12892" xr:uid="{2CB45CCF-65DA-470D-88DD-8B39B7F77360}"/>
    <cellStyle name="Normal 5 3 3 8 3" xfId="6465" xr:uid="{00000000-0005-0000-0000-0000111A0000}"/>
    <cellStyle name="Normal 5 3 3 8 3 2" xfId="14960" xr:uid="{01832FE2-6D53-416F-A44C-B318536033E2}"/>
    <cellStyle name="Normal 5 3 3 8 4" xfId="10747" xr:uid="{E39A61CB-9E4A-45ED-AC82-94DCE5C1DF04}"/>
    <cellStyle name="Normal 5 3 3 9" xfId="2595" xr:uid="{00000000-0005-0000-0000-0000121A0000}"/>
    <cellStyle name="Normal 5 3 3 9 2" xfId="6878" xr:uid="{00000000-0005-0000-0000-0000131A0000}"/>
    <cellStyle name="Normal 5 3 3 9 2 2" xfId="15373" xr:uid="{E4DA5BEE-8AD4-4F22-8898-D2908609D46C}"/>
    <cellStyle name="Normal 5 3 3 9 3" xfId="11160" xr:uid="{A2E9B8C6-56E3-47E4-B401-0D743B5D848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5876" xr:uid="{B6429EE5-657E-400B-A804-6B4A6B3DC9D2}"/>
    <cellStyle name="Normal 5 3 4 2 2 2 2 3" xfId="11663" xr:uid="{0A5C0271-4A22-4A82-A574-62C791614B97}"/>
    <cellStyle name="Normal 5 3 4 2 2 2 3" xfId="5236" xr:uid="{00000000-0005-0000-0000-00001A1A0000}"/>
    <cellStyle name="Normal 5 3 4 2 2 2 3 2" xfId="13731" xr:uid="{A06B97FB-59FD-4679-A660-CD87F4A5BFA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6289" xr:uid="{0C6F4E1B-9090-42DC-9571-70AB0D6AA89A}"/>
    <cellStyle name="Normal 5 3 4 2 2 3 2 3" xfId="12076" xr:uid="{F0737604-A3E9-4794-8F75-A23F90A74DF9}"/>
    <cellStyle name="Normal 5 3 4 2 2 3 3" xfId="5649" xr:uid="{00000000-0005-0000-0000-00001E1A0000}"/>
    <cellStyle name="Normal 5 3 4 2 2 3 3 2" xfId="14144" xr:uid="{C50344DA-4288-4267-8D1D-DC433FFD6F99}"/>
    <cellStyle name="Normal 5 3 4 2 2 3 4" xfId="9931" xr:uid="{5D65D948-969A-47A1-96B6-9430F570F825}"/>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6702" xr:uid="{D44E7308-8770-496F-98B8-DE4B9B732C99}"/>
    <cellStyle name="Normal 5 3 4 2 2 4 2 3" xfId="12489" xr:uid="{FB2603D0-05ED-4332-B30D-E18FB19A4ACE}"/>
    <cellStyle name="Normal 5 3 4 2 2 4 3" xfId="6062" xr:uid="{00000000-0005-0000-0000-0000221A0000}"/>
    <cellStyle name="Normal 5 3 4 2 2 4 3 2" xfId="14557" xr:uid="{731BA9CA-4638-4C79-BF2C-0AF3FB608174}"/>
    <cellStyle name="Normal 5 3 4 2 2 4 4" xfId="10344" xr:uid="{1A361CE2-1B01-40D2-9EC2-B243128DA858}"/>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115" xr:uid="{8E9C50F5-260E-4574-A5A0-E95BDA5C7F05}"/>
    <cellStyle name="Normal 5 3 4 2 2 5 2 3" xfId="12902" xr:uid="{CF16716A-776C-4E03-BC72-B6CF7A5F87DE}"/>
    <cellStyle name="Normal 5 3 4 2 2 5 3" xfId="6475" xr:uid="{00000000-0005-0000-0000-0000261A0000}"/>
    <cellStyle name="Normal 5 3 4 2 2 5 3 2" xfId="14970" xr:uid="{0283652E-14DC-44E2-8D18-D1522982AA43}"/>
    <cellStyle name="Normal 5 3 4 2 2 5 4" xfId="10757" xr:uid="{40B37038-FFFF-4C81-9A70-FC02A779BDA4}"/>
    <cellStyle name="Normal 5 3 4 2 2 6" xfId="2605" xr:uid="{00000000-0005-0000-0000-0000271A0000}"/>
    <cellStyle name="Normal 5 3 4 2 2 6 2" xfId="6888" xr:uid="{00000000-0005-0000-0000-0000281A0000}"/>
    <cellStyle name="Normal 5 3 4 2 2 6 2 2" xfId="15383" xr:uid="{95D4A5E3-F1D5-41DA-804B-4CF711476BB0}"/>
    <cellStyle name="Normal 5 3 4 2 2 6 3" xfId="11170" xr:uid="{B84ED38F-B8E5-448C-9F27-5BDF740D9E4D}"/>
    <cellStyle name="Normal 5 3 4 2 2 7" xfId="4823" xr:uid="{00000000-0005-0000-0000-0000291A0000}"/>
    <cellStyle name="Normal 5 3 4 2 2 7 2" xfId="13318" xr:uid="{AB8490B1-9519-4BB9-883A-6495655BFC19}"/>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5875" xr:uid="{E5C1DC99-EBEB-4397-B467-5EB27E4FC331}"/>
    <cellStyle name="Normal 5 3 4 2 3 2 3" xfId="11662" xr:uid="{3AED153A-4E26-45D7-8C1A-010824337206}"/>
    <cellStyle name="Normal 5 3 4 2 3 3" xfId="5235" xr:uid="{00000000-0005-0000-0000-00002D1A0000}"/>
    <cellStyle name="Normal 5 3 4 2 3 3 2" xfId="13730" xr:uid="{1E02BFA9-64C1-48F0-92F0-EC53B96D49AC}"/>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6288" xr:uid="{DEA35470-9779-4F75-B45A-451BCC70EE79}"/>
    <cellStyle name="Normal 5 3 4 2 4 2 3" xfId="12075" xr:uid="{9643349E-8F8D-4751-8D02-091C534C56EF}"/>
    <cellStyle name="Normal 5 3 4 2 4 3" xfId="5648" xr:uid="{00000000-0005-0000-0000-0000311A0000}"/>
    <cellStyle name="Normal 5 3 4 2 4 3 2" xfId="14143" xr:uid="{3BDBA127-2C80-4BE5-A5B6-B7264BFA0C3C}"/>
    <cellStyle name="Normal 5 3 4 2 4 4" xfId="9930" xr:uid="{D75923D7-7B1C-4E06-81CB-015B3028E881}"/>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6701" xr:uid="{DB75177E-3F42-4769-966F-733D99F251C8}"/>
    <cellStyle name="Normal 5 3 4 2 5 2 3" xfId="12488" xr:uid="{A3889377-EFA8-413F-964F-A7B7857D022B}"/>
    <cellStyle name="Normal 5 3 4 2 5 3" xfId="6061" xr:uid="{00000000-0005-0000-0000-0000351A0000}"/>
    <cellStyle name="Normal 5 3 4 2 5 3 2" xfId="14556" xr:uid="{A2150D7A-414C-41E2-9116-0EE3B17B58BF}"/>
    <cellStyle name="Normal 5 3 4 2 5 4" xfId="10343" xr:uid="{E5A69716-A80A-4A00-A9FC-7BE5E3662201}"/>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114" xr:uid="{955D93A4-B268-428C-934C-5AEF979A5988}"/>
    <cellStyle name="Normal 5 3 4 2 6 2 3" xfId="12901" xr:uid="{E085F889-DC34-4BAE-A0D1-E4B08BFFBDD3}"/>
    <cellStyle name="Normal 5 3 4 2 6 3" xfId="6474" xr:uid="{00000000-0005-0000-0000-0000391A0000}"/>
    <cellStyle name="Normal 5 3 4 2 6 3 2" xfId="14969" xr:uid="{7B9F27E8-5F0C-41D4-950C-01D42EFBD88B}"/>
    <cellStyle name="Normal 5 3 4 2 6 4" xfId="10756" xr:uid="{37C772D4-6870-4EC4-B49F-1E7634695EB2}"/>
    <cellStyle name="Normal 5 3 4 2 7" xfId="2604" xr:uid="{00000000-0005-0000-0000-00003A1A0000}"/>
    <cellStyle name="Normal 5 3 4 2 7 2" xfId="6887" xr:uid="{00000000-0005-0000-0000-00003B1A0000}"/>
    <cellStyle name="Normal 5 3 4 2 7 2 2" xfId="15382" xr:uid="{F630CE9B-3BDF-492A-8B4F-51FB82E9FB4A}"/>
    <cellStyle name="Normal 5 3 4 2 7 3" xfId="11169" xr:uid="{A9DC8B77-FD53-4DC0-9D89-A38B52E1D52B}"/>
    <cellStyle name="Normal 5 3 4 2 8" xfId="4822" xr:uid="{00000000-0005-0000-0000-00003C1A0000}"/>
    <cellStyle name="Normal 5 3 4 2 8 2" xfId="13317" xr:uid="{9449F571-0504-47B4-9D02-D864DFABFEFA}"/>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5877" xr:uid="{828D2AC0-56D4-4EA9-9818-53704BD2C289}"/>
    <cellStyle name="Normal 5 3 4 3 2 2 3" xfId="11664" xr:uid="{1397B06D-6485-432E-8CCA-8CD984E29E50}"/>
    <cellStyle name="Normal 5 3 4 3 2 3" xfId="5237" xr:uid="{00000000-0005-0000-0000-0000411A0000}"/>
    <cellStyle name="Normal 5 3 4 3 2 3 2" xfId="13732" xr:uid="{BDF1E347-0C00-4951-AB34-44FF444F0EF3}"/>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6290" xr:uid="{9476CBA3-E30B-48CA-947D-90F10D36A580}"/>
    <cellStyle name="Normal 5 3 4 3 3 2 3" xfId="12077" xr:uid="{99BA2D22-28CB-4296-99DE-2025078D179B}"/>
    <cellStyle name="Normal 5 3 4 3 3 3" xfId="5650" xr:uid="{00000000-0005-0000-0000-0000451A0000}"/>
    <cellStyle name="Normal 5 3 4 3 3 3 2" xfId="14145" xr:uid="{F63DB252-EEB4-4FB0-A28F-D15AA1539D7E}"/>
    <cellStyle name="Normal 5 3 4 3 3 4" xfId="9932" xr:uid="{3FD59B1C-03C2-446F-BB07-01B2BB440113}"/>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6703" xr:uid="{3A708752-C03C-46C6-B533-5C56C697473A}"/>
    <cellStyle name="Normal 5 3 4 3 4 2 3" xfId="12490" xr:uid="{F6109209-3849-4202-BEF0-7C5D7081EEC6}"/>
    <cellStyle name="Normal 5 3 4 3 4 3" xfId="6063" xr:uid="{00000000-0005-0000-0000-0000491A0000}"/>
    <cellStyle name="Normal 5 3 4 3 4 3 2" xfId="14558" xr:uid="{A0272786-FB09-4BF8-9972-D74F96E14EFB}"/>
    <cellStyle name="Normal 5 3 4 3 4 4" xfId="10345" xr:uid="{90ECDF51-7A29-4C8E-BD79-0E98278B85FC}"/>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116" xr:uid="{5DAAF7CB-FE7A-464A-ADC6-61F325B1B786}"/>
    <cellStyle name="Normal 5 3 4 3 5 2 3" xfId="12903" xr:uid="{52A4A944-D33D-43EC-BA70-3DFCC5D862DA}"/>
    <cellStyle name="Normal 5 3 4 3 5 3" xfId="6476" xr:uid="{00000000-0005-0000-0000-00004D1A0000}"/>
    <cellStyle name="Normal 5 3 4 3 5 3 2" xfId="14971" xr:uid="{1B49483D-0A54-411D-8CC5-911861E05F2E}"/>
    <cellStyle name="Normal 5 3 4 3 5 4" xfId="10758" xr:uid="{CBB24149-4E5F-44E8-BC8D-2141EDDB5FB9}"/>
    <cellStyle name="Normal 5 3 4 3 6" xfId="2606" xr:uid="{00000000-0005-0000-0000-00004E1A0000}"/>
    <cellStyle name="Normal 5 3 4 3 6 2" xfId="6889" xr:uid="{00000000-0005-0000-0000-00004F1A0000}"/>
    <cellStyle name="Normal 5 3 4 3 6 2 2" xfId="15384" xr:uid="{D5A9C0C3-0EC7-4233-802A-6419EBFA8420}"/>
    <cellStyle name="Normal 5 3 4 3 6 3" xfId="11171" xr:uid="{15789037-EDF4-42CD-ABEA-FA54BF1DFD12}"/>
    <cellStyle name="Normal 5 3 4 3 7" xfId="4824" xr:uid="{00000000-0005-0000-0000-0000501A0000}"/>
    <cellStyle name="Normal 5 3 4 3 7 2" xfId="13319" xr:uid="{D5E709C2-3EC4-4142-97AD-09273FD386BD}"/>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2 2 2" xfId="15874" xr:uid="{3636C32A-D56C-4223-A09E-A7B7F039FE71}"/>
    <cellStyle name="Normal 5 3 4 4 2 3" xfId="11661" xr:uid="{7ED008BA-BE76-4077-9EA2-63D558FD925A}"/>
    <cellStyle name="Normal 5 3 4 4 3" xfId="5234" xr:uid="{00000000-0005-0000-0000-0000541A0000}"/>
    <cellStyle name="Normal 5 3 4 4 3 2" xfId="13729" xr:uid="{517E9DFC-BEEE-430D-9031-02241BB29A7B}"/>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2 2 2" xfId="16287" xr:uid="{CEAA9879-64D9-4AF4-AB96-248EA2EE701B}"/>
    <cellStyle name="Normal 5 3 4 5 2 3" xfId="12074" xr:uid="{62D91BCD-81F6-4CCC-BA48-7D79354D7347}"/>
    <cellStyle name="Normal 5 3 4 5 3" xfId="5647" xr:uid="{00000000-0005-0000-0000-0000581A0000}"/>
    <cellStyle name="Normal 5 3 4 5 3 2" xfId="14142" xr:uid="{DE6D51B2-FE1A-4DD2-98F4-03EBBD97607C}"/>
    <cellStyle name="Normal 5 3 4 5 4" xfId="9929" xr:uid="{13920755-E145-4B97-BB7C-801712D72196}"/>
    <cellStyle name="Normal 5 3 4 6" xfId="1753" xr:uid="{00000000-0005-0000-0000-0000591A0000}"/>
    <cellStyle name="Normal 5 3 4 6 2" xfId="3983" xr:uid="{00000000-0005-0000-0000-00005A1A0000}"/>
    <cellStyle name="Normal 5 3 4 6 2 2" xfId="8205" xr:uid="{00000000-0005-0000-0000-00005B1A0000}"/>
    <cellStyle name="Normal 5 3 4 6 2 2 2" xfId="16700" xr:uid="{C43F10F5-243B-4DD7-AA37-7B0978E455E2}"/>
    <cellStyle name="Normal 5 3 4 6 2 3" xfId="12487" xr:uid="{8D9CE265-80EC-45FB-A68A-5AEE1CD74ED2}"/>
    <cellStyle name="Normal 5 3 4 6 3" xfId="6060" xr:uid="{00000000-0005-0000-0000-00005C1A0000}"/>
    <cellStyle name="Normal 5 3 4 6 3 2" xfId="14555" xr:uid="{A2166933-3BEA-473D-95A5-22D2788B2C7B}"/>
    <cellStyle name="Normal 5 3 4 6 4" xfId="10342" xr:uid="{B1A6F92F-DE14-46C8-B802-F2945A0621AB}"/>
    <cellStyle name="Normal 5 3 4 7" xfId="2167" xr:uid="{00000000-0005-0000-0000-00005D1A0000}"/>
    <cellStyle name="Normal 5 3 4 7 2" xfId="4396" xr:uid="{00000000-0005-0000-0000-00005E1A0000}"/>
    <cellStyle name="Normal 5 3 4 7 2 2" xfId="8618" xr:uid="{00000000-0005-0000-0000-00005F1A0000}"/>
    <cellStyle name="Normal 5 3 4 7 2 2 2" xfId="17113" xr:uid="{61B2B918-8C0E-4FDE-A045-5263D21A9F91}"/>
    <cellStyle name="Normal 5 3 4 7 2 3" xfId="12900" xr:uid="{17070D6B-ABEC-4146-AAC7-8CBBFE90CD8E}"/>
    <cellStyle name="Normal 5 3 4 7 3" xfId="6473" xr:uid="{00000000-0005-0000-0000-0000601A0000}"/>
    <cellStyle name="Normal 5 3 4 7 3 2" xfId="14968" xr:uid="{E6339409-0274-4A90-AEB4-55ADB4398427}"/>
    <cellStyle name="Normal 5 3 4 7 4" xfId="10755" xr:uid="{23AFF53F-9657-4297-B93D-18A17FC53C30}"/>
    <cellStyle name="Normal 5 3 4 8" xfId="2603" xr:uid="{00000000-0005-0000-0000-0000611A0000}"/>
    <cellStyle name="Normal 5 3 4 8 2" xfId="6886" xr:uid="{00000000-0005-0000-0000-0000621A0000}"/>
    <cellStyle name="Normal 5 3 4 8 2 2" xfId="15381" xr:uid="{06CA7904-3828-4461-B82A-29F507DEE2BE}"/>
    <cellStyle name="Normal 5 3 4 8 3" xfId="11168" xr:uid="{0825DA47-6A43-4F6F-8E63-6C816BAA2ED6}"/>
    <cellStyle name="Normal 5 3 4 9" xfId="4821" xr:uid="{00000000-0005-0000-0000-0000631A0000}"/>
    <cellStyle name="Normal 5 3 4 9 2" xfId="13316" xr:uid="{7EE0F4C4-74C3-4255-B360-F3B0156F796F}"/>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5879" xr:uid="{9825F431-038F-4597-931B-6EFD2A1B405A}"/>
    <cellStyle name="Normal 5 3 5 2 2 2 3" xfId="11666" xr:uid="{50EB6910-F458-4877-841A-401B202FC8CF}"/>
    <cellStyle name="Normal 5 3 5 2 2 3" xfId="5239" xr:uid="{00000000-0005-0000-0000-0000691A0000}"/>
    <cellStyle name="Normal 5 3 5 2 2 3 2" xfId="13734" xr:uid="{E6AB38CF-5671-44BF-AC32-49772F6F2C93}"/>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6292" xr:uid="{AC40D2A1-B13D-4CE1-BC53-E86A4634DCEC}"/>
    <cellStyle name="Normal 5 3 5 2 3 2 3" xfId="12079" xr:uid="{4CD3E088-4209-42DA-BE47-451C61A72AA6}"/>
    <cellStyle name="Normal 5 3 5 2 3 3" xfId="5652" xr:uid="{00000000-0005-0000-0000-00006D1A0000}"/>
    <cellStyle name="Normal 5 3 5 2 3 3 2" xfId="14147" xr:uid="{B62A0397-8410-41D6-853D-1FBAFFF8DDED}"/>
    <cellStyle name="Normal 5 3 5 2 3 4" xfId="9934" xr:uid="{B352CECA-1A14-4BA6-B923-121D6E0C5E56}"/>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6705" xr:uid="{97D201EA-B96D-41F6-8664-E1C12AA8C3E8}"/>
    <cellStyle name="Normal 5 3 5 2 4 2 3" xfId="12492" xr:uid="{A879F8D4-7AE4-4A02-877E-C4B61B9CBFE5}"/>
    <cellStyle name="Normal 5 3 5 2 4 3" xfId="6065" xr:uid="{00000000-0005-0000-0000-0000711A0000}"/>
    <cellStyle name="Normal 5 3 5 2 4 3 2" xfId="14560" xr:uid="{3E23DA7D-F96C-4FF5-9396-460E0643478F}"/>
    <cellStyle name="Normal 5 3 5 2 4 4" xfId="10347" xr:uid="{B6840B86-FB64-45E7-A185-D9DEEBD0FE42}"/>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118" xr:uid="{25E828AD-512B-4DBE-BFC6-8B00CFDEE3F7}"/>
    <cellStyle name="Normal 5 3 5 2 5 2 3" xfId="12905" xr:uid="{53EB32AC-33A1-4EF6-BB01-1ABE50244ADD}"/>
    <cellStyle name="Normal 5 3 5 2 5 3" xfId="6478" xr:uid="{00000000-0005-0000-0000-0000751A0000}"/>
    <cellStyle name="Normal 5 3 5 2 5 3 2" xfId="14973" xr:uid="{2BEC581E-7BD6-4F3D-91B0-110536E21BAD}"/>
    <cellStyle name="Normal 5 3 5 2 5 4" xfId="10760" xr:uid="{2E665992-BF20-45A8-8875-065B09202645}"/>
    <cellStyle name="Normal 5 3 5 2 6" xfId="2608" xr:uid="{00000000-0005-0000-0000-0000761A0000}"/>
    <cellStyle name="Normal 5 3 5 2 6 2" xfId="6891" xr:uid="{00000000-0005-0000-0000-0000771A0000}"/>
    <cellStyle name="Normal 5 3 5 2 6 2 2" xfId="15386" xr:uid="{7B04D9B0-FFFA-4F13-B490-8F2528A91C92}"/>
    <cellStyle name="Normal 5 3 5 2 6 3" xfId="11173" xr:uid="{1151F2A5-8761-4560-833F-C9628C774FFA}"/>
    <cellStyle name="Normal 5 3 5 2 7" xfId="4826" xr:uid="{00000000-0005-0000-0000-0000781A0000}"/>
    <cellStyle name="Normal 5 3 5 2 7 2" xfId="13321" xr:uid="{671DD3E6-3EDF-4B04-ABB2-AFB85B5BEE15}"/>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2 2 2" xfId="15878" xr:uid="{F2DFC826-7BDD-4338-95FE-22751FE6D5A8}"/>
    <cellStyle name="Normal 5 3 5 3 2 3" xfId="11665" xr:uid="{FFFA9528-7922-44EF-ADCD-5F32939A641D}"/>
    <cellStyle name="Normal 5 3 5 3 3" xfId="5238" xr:uid="{00000000-0005-0000-0000-00007C1A0000}"/>
    <cellStyle name="Normal 5 3 5 3 3 2" xfId="13733" xr:uid="{9BDBFE48-C138-4635-A22C-4A86702517A3}"/>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2 2 2" xfId="16291" xr:uid="{FC7C6A11-40FB-4A18-AA20-FDF6FC23A1CF}"/>
    <cellStyle name="Normal 5 3 5 4 2 3" xfId="12078" xr:uid="{6A71BB23-C788-43F3-805A-587C280373C7}"/>
    <cellStyle name="Normal 5 3 5 4 3" xfId="5651" xr:uid="{00000000-0005-0000-0000-0000801A0000}"/>
    <cellStyle name="Normal 5 3 5 4 3 2" xfId="14146" xr:uid="{5BFE30DD-F97E-49AF-ABF4-82ABB5BE84BF}"/>
    <cellStyle name="Normal 5 3 5 4 4" xfId="9933" xr:uid="{699ED841-257A-4E50-B3E2-8938C7FB6DE0}"/>
    <cellStyle name="Normal 5 3 5 5" xfId="1757" xr:uid="{00000000-0005-0000-0000-0000811A0000}"/>
    <cellStyle name="Normal 5 3 5 5 2" xfId="3987" xr:uid="{00000000-0005-0000-0000-0000821A0000}"/>
    <cellStyle name="Normal 5 3 5 5 2 2" xfId="8209" xr:uid="{00000000-0005-0000-0000-0000831A0000}"/>
    <cellStyle name="Normal 5 3 5 5 2 2 2" xfId="16704" xr:uid="{69485408-374A-4C58-B4D9-D276268824D0}"/>
    <cellStyle name="Normal 5 3 5 5 2 3" xfId="12491" xr:uid="{42F9DB07-76C6-4B6A-BCD1-AA45EC35E012}"/>
    <cellStyle name="Normal 5 3 5 5 3" xfId="6064" xr:uid="{00000000-0005-0000-0000-0000841A0000}"/>
    <cellStyle name="Normal 5 3 5 5 3 2" xfId="14559" xr:uid="{0A11778B-0841-4584-A7DF-053C5381F2B6}"/>
    <cellStyle name="Normal 5 3 5 5 4" xfId="10346" xr:uid="{809E1E17-4FCA-4599-82A9-BD8E7BE52073}"/>
    <cellStyle name="Normal 5 3 5 6" xfId="2171" xr:uid="{00000000-0005-0000-0000-0000851A0000}"/>
    <cellStyle name="Normal 5 3 5 6 2" xfId="4400" xr:uid="{00000000-0005-0000-0000-0000861A0000}"/>
    <cellStyle name="Normal 5 3 5 6 2 2" xfId="8622" xr:uid="{00000000-0005-0000-0000-0000871A0000}"/>
    <cellStyle name="Normal 5 3 5 6 2 2 2" xfId="17117" xr:uid="{4BC66C75-AF4D-446B-8563-5038322020C4}"/>
    <cellStyle name="Normal 5 3 5 6 2 3" xfId="12904" xr:uid="{BD39B881-4C75-4352-A569-A5CD3AAE3D9C}"/>
    <cellStyle name="Normal 5 3 5 6 3" xfId="6477" xr:uid="{00000000-0005-0000-0000-0000881A0000}"/>
    <cellStyle name="Normal 5 3 5 6 3 2" xfId="14972" xr:uid="{A8E239E7-F89A-4661-A88A-0C0F8DA1E4C4}"/>
    <cellStyle name="Normal 5 3 5 6 4" xfId="10759" xr:uid="{133D603B-A73E-4FB1-9F53-FB00B3BC281F}"/>
    <cellStyle name="Normal 5 3 5 7" xfId="2607" xr:uid="{00000000-0005-0000-0000-0000891A0000}"/>
    <cellStyle name="Normal 5 3 5 7 2" xfId="6890" xr:uid="{00000000-0005-0000-0000-00008A1A0000}"/>
    <cellStyle name="Normal 5 3 5 7 2 2" xfId="15385" xr:uid="{172697D2-D180-4866-B69C-4ABD2C39445D}"/>
    <cellStyle name="Normal 5 3 5 7 3" xfId="11172" xr:uid="{632FD4E6-CAB7-43B2-A2B3-921216671000}"/>
    <cellStyle name="Normal 5 3 5 8" xfId="4825" xr:uid="{00000000-0005-0000-0000-00008B1A0000}"/>
    <cellStyle name="Normal 5 3 5 8 2" xfId="13320" xr:uid="{6F0F71DA-0FD6-49AF-85A6-4F46480B09A5}"/>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5880" xr:uid="{B15607B7-0649-47F7-8226-01555BE78FD9}"/>
    <cellStyle name="Normal 5 3 6 2 2 3" xfId="11667" xr:uid="{01A998C1-0696-44D6-9951-0546CB867A69}"/>
    <cellStyle name="Normal 5 3 6 2 3" xfId="5240" xr:uid="{00000000-0005-0000-0000-0000901A0000}"/>
    <cellStyle name="Normal 5 3 6 2 3 2" xfId="13735" xr:uid="{734AC1E8-8FD9-455D-8CD6-A40672997433}"/>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2 2 2" xfId="16293" xr:uid="{F64B1056-1EFA-4B15-B479-61BB20D35F3C}"/>
    <cellStyle name="Normal 5 3 6 3 2 3" xfId="12080" xr:uid="{157EFDEF-12D5-4C66-8AF4-B56918548873}"/>
    <cellStyle name="Normal 5 3 6 3 3" xfId="5653" xr:uid="{00000000-0005-0000-0000-0000941A0000}"/>
    <cellStyle name="Normal 5 3 6 3 3 2" xfId="14148" xr:uid="{86D8E62F-6137-439B-AC87-24D4369B40BF}"/>
    <cellStyle name="Normal 5 3 6 3 4" xfId="9935" xr:uid="{E2795082-EE41-43DA-AACA-F758F1262C59}"/>
    <cellStyle name="Normal 5 3 6 4" xfId="1759" xr:uid="{00000000-0005-0000-0000-0000951A0000}"/>
    <cellStyle name="Normal 5 3 6 4 2" xfId="3989" xr:uid="{00000000-0005-0000-0000-0000961A0000}"/>
    <cellStyle name="Normal 5 3 6 4 2 2" xfId="8211" xr:uid="{00000000-0005-0000-0000-0000971A0000}"/>
    <cellStyle name="Normal 5 3 6 4 2 2 2" xfId="16706" xr:uid="{F6D18C7E-B790-4A48-8C65-0508E2F1C713}"/>
    <cellStyle name="Normal 5 3 6 4 2 3" xfId="12493" xr:uid="{2ECA51CC-C99E-4BF4-AD7B-4B95B13C47EB}"/>
    <cellStyle name="Normal 5 3 6 4 3" xfId="6066" xr:uid="{00000000-0005-0000-0000-0000981A0000}"/>
    <cellStyle name="Normal 5 3 6 4 3 2" xfId="14561" xr:uid="{35C61C1F-8451-4DBE-A618-29E89A626CEB}"/>
    <cellStyle name="Normal 5 3 6 4 4" xfId="10348" xr:uid="{63F25D4A-E199-45B9-95AA-47CB07E4F7DA}"/>
    <cellStyle name="Normal 5 3 6 5" xfId="2173" xr:uid="{00000000-0005-0000-0000-0000991A0000}"/>
    <cellStyle name="Normal 5 3 6 5 2" xfId="4402" xr:uid="{00000000-0005-0000-0000-00009A1A0000}"/>
    <cellStyle name="Normal 5 3 6 5 2 2" xfId="8624" xr:uid="{00000000-0005-0000-0000-00009B1A0000}"/>
    <cellStyle name="Normal 5 3 6 5 2 2 2" xfId="17119" xr:uid="{FDD3E795-424F-42D1-BA77-2A8159F475CB}"/>
    <cellStyle name="Normal 5 3 6 5 2 3" xfId="12906" xr:uid="{9CD32860-7587-4C88-8C15-6FB023CAEEA8}"/>
    <cellStyle name="Normal 5 3 6 5 3" xfId="6479" xr:uid="{00000000-0005-0000-0000-00009C1A0000}"/>
    <cellStyle name="Normal 5 3 6 5 3 2" xfId="14974" xr:uid="{3C269F8F-0BF0-498E-B10D-7EBD2D0A9562}"/>
    <cellStyle name="Normal 5 3 6 5 4" xfId="10761" xr:uid="{E02F2F59-7AFD-4824-B346-6FC2FE67334B}"/>
    <cellStyle name="Normal 5 3 6 6" xfId="2609" xr:uid="{00000000-0005-0000-0000-00009D1A0000}"/>
    <cellStyle name="Normal 5 3 6 6 2" xfId="6892" xr:uid="{00000000-0005-0000-0000-00009E1A0000}"/>
    <cellStyle name="Normal 5 3 6 6 2 2" xfId="15387" xr:uid="{A20F2EBF-2ECC-45EF-8DE5-7888A71D084B}"/>
    <cellStyle name="Normal 5 3 6 6 3" xfId="11174" xr:uid="{C930CE21-6E37-47DB-B06E-F26BA23E1668}"/>
    <cellStyle name="Normal 5 3 6 7" xfId="4827" xr:uid="{00000000-0005-0000-0000-00009F1A0000}"/>
    <cellStyle name="Normal 5 3 6 7 2" xfId="13322" xr:uid="{BB4EEAF7-7959-4C3A-8C64-B2753B1DD955}"/>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2 2 2" xfId="15865" xr:uid="{10DDBF7B-E83D-4078-B6DF-D4FE160B1576}"/>
    <cellStyle name="Normal 5 3 7 2 3" xfId="11652" xr:uid="{1E0B38CA-E843-4A49-AECF-FCAC595CB451}"/>
    <cellStyle name="Normal 5 3 7 3" xfId="5225" xr:uid="{00000000-0005-0000-0000-0000A31A0000}"/>
    <cellStyle name="Normal 5 3 7 3 2" xfId="13720" xr:uid="{9FDECEC5-308D-464C-9A54-D161A0C62E04}"/>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2 2 2" xfId="16278" xr:uid="{63F5F25F-41BC-47D3-BF2D-FFB012160DBB}"/>
    <cellStyle name="Normal 5 3 8 2 3" xfId="12065" xr:uid="{69A809ED-6003-4311-A55A-10CB9F1641DD}"/>
    <cellStyle name="Normal 5 3 8 3" xfId="5638" xr:uid="{00000000-0005-0000-0000-0000A71A0000}"/>
    <cellStyle name="Normal 5 3 8 3 2" xfId="14133" xr:uid="{6C0DDA01-FD59-4FF5-8E31-209BF3DA3A74}"/>
    <cellStyle name="Normal 5 3 8 4" xfId="9920" xr:uid="{42BA43E9-0FC0-47F7-ADCB-0F1B2D773468}"/>
    <cellStyle name="Normal 5 3 9" xfId="1744" xr:uid="{00000000-0005-0000-0000-0000A81A0000}"/>
    <cellStyle name="Normal 5 3 9 2" xfId="3974" xr:uid="{00000000-0005-0000-0000-0000A91A0000}"/>
    <cellStyle name="Normal 5 3 9 2 2" xfId="8196" xr:uid="{00000000-0005-0000-0000-0000AA1A0000}"/>
    <cellStyle name="Normal 5 3 9 2 2 2" xfId="16691" xr:uid="{194C5D96-3673-487E-9B94-A393AC3AA01F}"/>
    <cellStyle name="Normal 5 3 9 2 3" xfId="12478" xr:uid="{40E323A4-B972-4198-B4D5-6B4220177502}"/>
    <cellStyle name="Normal 5 3 9 3" xfId="6051" xr:uid="{00000000-0005-0000-0000-0000AB1A0000}"/>
    <cellStyle name="Normal 5 3 9 3 2" xfId="14546" xr:uid="{FB946D55-7E76-4B7C-9CA1-F3ECBDCA78CA}"/>
    <cellStyle name="Normal 5 3 9 4" xfId="10333" xr:uid="{6A4A772D-B4EF-440B-9CDD-B95264B78A63}"/>
    <cellStyle name="Normal 5 4" xfId="456" xr:uid="{00000000-0005-0000-0000-0000AC1A0000}"/>
    <cellStyle name="Normal 5 4 10" xfId="4828" xr:uid="{00000000-0005-0000-0000-0000AD1A0000}"/>
    <cellStyle name="Normal 5 4 10 2" xfId="13323" xr:uid="{E700E0F0-B765-4926-99B5-9937F80DDCEB}"/>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5884" xr:uid="{3CCD794E-4FAA-4306-B9BA-A9CCD644516C}"/>
    <cellStyle name="Normal 5 4 2 2 2 2 2 3" xfId="11671" xr:uid="{EAAF212F-2319-4DF3-92D5-F01B86D7CD7A}"/>
    <cellStyle name="Normal 5 4 2 2 2 2 3" xfId="5244" xr:uid="{00000000-0005-0000-0000-0000B41A0000}"/>
    <cellStyle name="Normal 5 4 2 2 2 2 3 2" xfId="13739" xr:uid="{B2856385-6CA1-4CFE-8BBB-83DFC8597F45}"/>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6297" xr:uid="{D08CF724-BC76-40AF-A3AD-617D17CAB409}"/>
    <cellStyle name="Normal 5 4 2 2 2 3 2 3" xfId="12084" xr:uid="{4CE16FE7-3C2E-4DBB-89D6-11B9AB06D8B8}"/>
    <cellStyle name="Normal 5 4 2 2 2 3 3" xfId="5657" xr:uid="{00000000-0005-0000-0000-0000B81A0000}"/>
    <cellStyle name="Normal 5 4 2 2 2 3 3 2" xfId="14152" xr:uid="{F48EAF5B-9504-48C6-814B-4ACDDFB56CFF}"/>
    <cellStyle name="Normal 5 4 2 2 2 3 4" xfId="9939" xr:uid="{7910BAD7-D629-428A-A4AD-2FCBBE680EFD}"/>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6710" xr:uid="{609C1DCA-DE4B-417C-BADE-5B4C67E276A3}"/>
    <cellStyle name="Normal 5 4 2 2 2 4 2 3" xfId="12497" xr:uid="{5AC57094-63E4-4FA0-AA33-413779ADEEE5}"/>
    <cellStyle name="Normal 5 4 2 2 2 4 3" xfId="6070" xr:uid="{00000000-0005-0000-0000-0000BC1A0000}"/>
    <cellStyle name="Normal 5 4 2 2 2 4 3 2" xfId="14565" xr:uid="{2BE55824-2084-4878-9CD8-5E44E831ADB1}"/>
    <cellStyle name="Normal 5 4 2 2 2 4 4" xfId="10352" xr:uid="{23FE8FF1-85FF-467C-9CFE-5D46DAEF355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123" xr:uid="{439BA92D-7C1F-4377-931B-CAC8924C61A8}"/>
    <cellStyle name="Normal 5 4 2 2 2 5 2 3" xfId="12910" xr:uid="{7CE1BD8C-4CDD-48F3-8D9A-D7B5D91C92E9}"/>
    <cellStyle name="Normal 5 4 2 2 2 5 3" xfId="6483" xr:uid="{00000000-0005-0000-0000-0000C01A0000}"/>
    <cellStyle name="Normal 5 4 2 2 2 5 3 2" xfId="14978" xr:uid="{437E3927-E8CC-41B8-9660-0EAEB2E4DF8E}"/>
    <cellStyle name="Normal 5 4 2 2 2 5 4" xfId="10765" xr:uid="{AE129C0E-718B-4D6E-91F9-3FDEC1F6DDC0}"/>
    <cellStyle name="Normal 5 4 2 2 2 6" xfId="2613" xr:uid="{00000000-0005-0000-0000-0000C11A0000}"/>
    <cellStyle name="Normal 5 4 2 2 2 6 2" xfId="6896" xr:uid="{00000000-0005-0000-0000-0000C21A0000}"/>
    <cellStyle name="Normal 5 4 2 2 2 6 2 2" xfId="15391" xr:uid="{B4F4C3B4-6CC4-4819-8C3B-FF72F6A4D822}"/>
    <cellStyle name="Normal 5 4 2 2 2 6 3" xfId="11178" xr:uid="{DABFDCBC-19DA-4148-9E68-73B18841C524}"/>
    <cellStyle name="Normal 5 4 2 2 2 7" xfId="4831" xr:uid="{00000000-0005-0000-0000-0000C31A0000}"/>
    <cellStyle name="Normal 5 4 2 2 2 7 2" xfId="13326" xr:uid="{2BC64A9E-785E-4CCA-8D2B-A00FC1B5C4F8}"/>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5883" xr:uid="{BC4CA2D1-B2B3-4ACB-AF3F-8E98A603BC5F}"/>
    <cellStyle name="Normal 5 4 2 2 3 2 3" xfId="11670" xr:uid="{2D87F9C6-A71E-4C76-A7FB-1CDC824D62E2}"/>
    <cellStyle name="Normal 5 4 2 2 3 3" xfId="5243" xr:uid="{00000000-0005-0000-0000-0000C71A0000}"/>
    <cellStyle name="Normal 5 4 2 2 3 3 2" xfId="13738" xr:uid="{272EB5CE-10D2-420D-8F07-DDDCDA4C8FC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6296" xr:uid="{A8496E86-252C-4176-8197-E71485D524CC}"/>
    <cellStyle name="Normal 5 4 2 2 4 2 3" xfId="12083" xr:uid="{85AD1488-4651-427F-A74D-FDB9BB41FB77}"/>
    <cellStyle name="Normal 5 4 2 2 4 3" xfId="5656" xr:uid="{00000000-0005-0000-0000-0000CB1A0000}"/>
    <cellStyle name="Normal 5 4 2 2 4 3 2" xfId="14151" xr:uid="{70F7C1AC-0417-4FBF-A341-CA4C62F5DCA4}"/>
    <cellStyle name="Normal 5 4 2 2 4 4" xfId="9938" xr:uid="{23478DB9-AB77-4016-BC56-822FB3D27B81}"/>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6709" xr:uid="{1833F2CC-698C-4201-BC0F-B63B047E58BC}"/>
    <cellStyle name="Normal 5 4 2 2 5 2 3" xfId="12496" xr:uid="{F78069EB-3F5D-4B3E-B4E9-7D54AEC3EE85}"/>
    <cellStyle name="Normal 5 4 2 2 5 3" xfId="6069" xr:uid="{00000000-0005-0000-0000-0000CF1A0000}"/>
    <cellStyle name="Normal 5 4 2 2 5 3 2" xfId="14564" xr:uid="{584E83BC-ED99-4F73-AEAC-C79E207F890F}"/>
    <cellStyle name="Normal 5 4 2 2 5 4" xfId="10351" xr:uid="{92A1B6BC-FBD6-4256-B086-98D2129364D7}"/>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122" xr:uid="{6261A8C8-5432-4038-B24E-E791263769EB}"/>
    <cellStyle name="Normal 5 4 2 2 6 2 3" xfId="12909" xr:uid="{E32FFD1D-2546-448F-9B32-ABC9AD44B870}"/>
    <cellStyle name="Normal 5 4 2 2 6 3" xfId="6482" xr:uid="{00000000-0005-0000-0000-0000D31A0000}"/>
    <cellStyle name="Normal 5 4 2 2 6 3 2" xfId="14977" xr:uid="{E9F0159D-11E1-44D0-8913-D00FB6AC9A2D}"/>
    <cellStyle name="Normal 5 4 2 2 6 4" xfId="10764" xr:uid="{9D2D5CEA-1DD6-4A65-B938-AC5BA46D4EE3}"/>
    <cellStyle name="Normal 5 4 2 2 7" xfId="2612" xr:uid="{00000000-0005-0000-0000-0000D41A0000}"/>
    <cellStyle name="Normal 5 4 2 2 7 2" xfId="6895" xr:uid="{00000000-0005-0000-0000-0000D51A0000}"/>
    <cellStyle name="Normal 5 4 2 2 7 2 2" xfId="15390" xr:uid="{75EB0BC8-9154-4DA7-B5A1-18A93E294FE8}"/>
    <cellStyle name="Normal 5 4 2 2 7 3" xfId="11177" xr:uid="{4EAF9D83-4C71-4B4D-8CFB-17149B01CB1A}"/>
    <cellStyle name="Normal 5 4 2 2 8" xfId="4830" xr:uid="{00000000-0005-0000-0000-0000D61A0000}"/>
    <cellStyle name="Normal 5 4 2 2 8 2" xfId="13325" xr:uid="{4CC2E04F-F80E-43DF-9CD5-790610848757}"/>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5885" xr:uid="{3D60391E-5EE9-4A74-B487-F64E42AB2695}"/>
    <cellStyle name="Normal 5 4 2 3 2 2 3" xfId="11672" xr:uid="{4CB5A323-D8D6-4E4F-B290-E24658035FA2}"/>
    <cellStyle name="Normal 5 4 2 3 2 3" xfId="5245" xr:uid="{00000000-0005-0000-0000-0000DB1A0000}"/>
    <cellStyle name="Normal 5 4 2 3 2 3 2" xfId="13740" xr:uid="{BFBD432E-7F73-491D-AC53-29CB4562FA79}"/>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6298" xr:uid="{D346E9A7-9861-4F55-A2BE-C7FC9093C3C8}"/>
    <cellStyle name="Normal 5 4 2 3 3 2 3" xfId="12085" xr:uid="{2849C215-FD9B-4992-A2C3-81D82F0A355B}"/>
    <cellStyle name="Normal 5 4 2 3 3 3" xfId="5658" xr:uid="{00000000-0005-0000-0000-0000DF1A0000}"/>
    <cellStyle name="Normal 5 4 2 3 3 3 2" xfId="14153" xr:uid="{C9478FF9-1BBD-4DD0-9926-5E3806229241}"/>
    <cellStyle name="Normal 5 4 2 3 3 4" xfId="9940" xr:uid="{0029CE5D-69FC-400A-BF69-5F2D7E829218}"/>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6711" xr:uid="{07729DA8-B2BB-4EEE-9E2D-61F8421A60E7}"/>
    <cellStyle name="Normal 5 4 2 3 4 2 3" xfId="12498" xr:uid="{FB92C7C1-0FBD-471E-8FC1-D956F9E9ABE8}"/>
    <cellStyle name="Normal 5 4 2 3 4 3" xfId="6071" xr:uid="{00000000-0005-0000-0000-0000E31A0000}"/>
    <cellStyle name="Normal 5 4 2 3 4 3 2" xfId="14566" xr:uid="{92CE981D-BD12-4ABA-B7D7-9B319489E5EB}"/>
    <cellStyle name="Normal 5 4 2 3 4 4" xfId="10353" xr:uid="{4DDE4AB4-94A2-4460-BEBE-3FDB44C94603}"/>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124" xr:uid="{A5B3245D-74A1-4557-A624-0DF360649E17}"/>
    <cellStyle name="Normal 5 4 2 3 5 2 3" xfId="12911" xr:uid="{2C6BE7DF-9DE5-4E01-96D9-D23203D29595}"/>
    <cellStyle name="Normal 5 4 2 3 5 3" xfId="6484" xr:uid="{00000000-0005-0000-0000-0000E71A0000}"/>
    <cellStyle name="Normal 5 4 2 3 5 3 2" xfId="14979" xr:uid="{5F6FD0E8-D6FF-45C8-9FBC-60A856CB3592}"/>
    <cellStyle name="Normal 5 4 2 3 5 4" xfId="10766" xr:uid="{7A19EAC2-BA7D-40D9-9CB0-23306BA47618}"/>
    <cellStyle name="Normal 5 4 2 3 6" xfId="2614" xr:uid="{00000000-0005-0000-0000-0000E81A0000}"/>
    <cellStyle name="Normal 5 4 2 3 6 2" xfId="6897" xr:uid="{00000000-0005-0000-0000-0000E91A0000}"/>
    <cellStyle name="Normal 5 4 2 3 6 2 2" xfId="15392" xr:uid="{80F4EE01-E715-42E2-8889-FE49DF85C55F}"/>
    <cellStyle name="Normal 5 4 2 3 6 3" xfId="11179" xr:uid="{7B5E161F-6255-4DA4-9AA4-047FAFBF64D4}"/>
    <cellStyle name="Normal 5 4 2 3 7" xfId="4832" xr:uid="{00000000-0005-0000-0000-0000EA1A0000}"/>
    <cellStyle name="Normal 5 4 2 3 7 2" xfId="13327" xr:uid="{6CC213C6-B347-40FB-8B4E-274A93A01F68}"/>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2 2 2" xfId="15882" xr:uid="{6233AB4F-3E59-473E-B020-3822E1753475}"/>
    <cellStyle name="Normal 5 4 2 4 2 3" xfId="11669" xr:uid="{F114C9D3-C594-43B6-9629-0DE8D06C6090}"/>
    <cellStyle name="Normal 5 4 2 4 3" xfId="5242" xr:uid="{00000000-0005-0000-0000-0000EE1A0000}"/>
    <cellStyle name="Normal 5 4 2 4 3 2" xfId="13737" xr:uid="{E11BCEEC-389C-4B9E-BA68-0D72FE8DAC1B}"/>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2 2 2" xfId="16295" xr:uid="{4FFE45A9-C24A-44D5-BDB1-2BE9D17FE0C5}"/>
    <cellStyle name="Normal 5 4 2 5 2 3" xfId="12082" xr:uid="{FE7F0724-E233-4488-9AAE-1952585D5951}"/>
    <cellStyle name="Normal 5 4 2 5 3" xfId="5655" xr:uid="{00000000-0005-0000-0000-0000F21A0000}"/>
    <cellStyle name="Normal 5 4 2 5 3 2" xfId="14150" xr:uid="{E36B536C-1355-47B3-A2D0-A48F7B044316}"/>
    <cellStyle name="Normal 5 4 2 5 4" xfId="9937" xr:uid="{0E6F71E7-18A7-4163-9256-3AF1F98CE9E2}"/>
    <cellStyle name="Normal 5 4 2 6" xfId="1761" xr:uid="{00000000-0005-0000-0000-0000F31A0000}"/>
    <cellStyle name="Normal 5 4 2 6 2" xfId="3991" xr:uid="{00000000-0005-0000-0000-0000F41A0000}"/>
    <cellStyle name="Normal 5 4 2 6 2 2" xfId="8213" xr:uid="{00000000-0005-0000-0000-0000F51A0000}"/>
    <cellStyle name="Normal 5 4 2 6 2 2 2" xfId="16708" xr:uid="{B6BA0E89-2999-446E-BF6E-FD7114AB5C38}"/>
    <cellStyle name="Normal 5 4 2 6 2 3" xfId="12495" xr:uid="{9D5D1A50-0B27-43C1-B6A0-6CF5DF23AD64}"/>
    <cellStyle name="Normal 5 4 2 6 3" xfId="6068" xr:uid="{00000000-0005-0000-0000-0000F61A0000}"/>
    <cellStyle name="Normal 5 4 2 6 3 2" xfId="14563" xr:uid="{B2316C42-8B4D-4A3F-9345-F3E8BDD0DE19}"/>
    <cellStyle name="Normal 5 4 2 6 4" xfId="10350" xr:uid="{99AF3301-E76F-4A42-B9BB-CD5BAE8DBE61}"/>
    <cellStyle name="Normal 5 4 2 7" xfId="2175" xr:uid="{00000000-0005-0000-0000-0000F71A0000}"/>
    <cellStyle name="Normal 5 4 2 7 2" xfId="4404" xr:uid="{00000000-0005-0000-0000-0000F81A0000}"/>
    <cellStyle name="Normal 5 4 2 7 2 2" xfId="8626" xr:uid="{00000000-0005-0000-0000-0000F91A0000}"/>
    <cellStyle name="Normal 5 4 2 7 2 2 2" xfId="17121" xr:uid="{4C2B86F2-9A41-4099-89AC-631F7E4C6C15}"/>
    <cellStyle name="Normal 5 4 2 7 2 3" xfId="12908" xr:uid="{17C346B2-A964-48B0-8347-03BC75E90630}"/>
    <cellStyle name="Normal 5 4 2 7 3" xfId="6481" xr:uid="{00000000-0005-0000-0000-0000FA1A0000}"/>
    <cellStyle name="Normal 5 4 2 7 3 2" xfId="14976" xr:uid="{8EA3B05D-19A6-499A-964E-FB16119D0529}"/>
    <cellStyle name="Normal 5 4 2 7 4" xfId="10763" xr:uid="{DC2CB26B-3E76-4136-83BE-8D7B4B7EAEC5}"/>
    <cellStyle name="Normal 5 4 2 8" xfId="2611" xr:uid="{00000000-0005-0000-0000-0000FB1A0000}"/>
    <cellStyle name="Normal 5 4 2 8 2" xfId="6894" xr:uid="{00000000-0005-0000-0000-0000FC1A0000}"/>
    <cellStyle name="Normal 5 4 2 8 2 2" xfId="15389" xr:uid="{7406945E-DA8A-42AF-8705-A7AF2809BF6F}"/>
    <cellStyle name="Normal 5 4 2 8 3" xfId="11176" xr:uid="{E3E1BCA5-6F5D-410B-8764-10DBAC2B40EC}"/>
    <cellStyle name="Normal 5 4 2 9" xfId="4829" xr:uid="{00000000-0005-0000-0000-0000FD1A0000}"/>
    <cellStyle name="Normal 5 4 2 9 2" xfId="13324" xr:uid="{764E4A5D-696A-4A36-AE17-4F5392AA81C7}"/>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5887" xr:uid="{DD4DD948-7138-4CF6-A208-6E19D22310CA}"/>
    <cellStyle name="Normal 5 4 3 2 2 2 3" xfId="11674" xr:uid="{5055999B-E8E1-42D8-9D19-0DFAA4EDAECE}"/>
    <cellStyle name="Normal 5 4 3 2 2 3" xfId="5247" xr:uid="{00000000-0005-0000-0000-0000031B0000}"/>
    <cellStyle name="Normal 5 4 3 2 2 3 2" xfId="13742" xr:uid="{C09B187F-468C-4396-97E6-0E7BFB46CB13}"/>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6300" xr:uid="{C030BFAE-9ECB-4D20-AB14-E6700594B807}"/>
    <cellStyle name="Normal 5 4 3 2 3 2 3" xfId="12087" xr:uid="{B68C64CF-517C-40F6-8085-C5EDB7133939}"/>
    <cellStyle name="Normal 5 4 3 2 3 3" xfId="5660" xr:uid="{00000000-0005-0000-0000-0000071B0000}"/>
    <cellStyle name="Normal 5 4 3 2 3 3 2" xfId="14155" xr:uid="{DF356B54-01B4-456D-A64B-76F8F1A6AB1D}"/>
    <cellStyle name="Normal 5 4 3 2 3 4" xfId="9942" xr:uid="{0795196F-3F83-4F29-AF4E-FCA58A9BC83C}"/>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6713" xr:uid="{732C4B16-B95F-4E57-86E6-B75BB743E51E}"/>
    <cellStyle name="Normal 5 4 3 2 4 2 3" xfId="12500" xr:uid="{77E97D7C-95A5-44E8-B4FF-C5741D650897}"/>
    <cellStyle name="Normal 5 4 3 2 4 3" xfId="6073" xr:uid="{00000000-0005-0000-0000-00000B1B0000}"/>
    <cellStyle name="Normal 5 4 3 2 4 3 2" xfId="14568" xr:uid="{62D15AB5-D851-491D-A361-5ADA03D4F61F}"/>
    <cellStyle name="Normal 5 4 3 2 4 4" xfId="10355" xr:uid="{C23BC143-02EC-4E24-875D-BE3A3B65D79E}"/>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126" xr:uid="{F73EB651-B2B0-48F9-B15D-E6B5E09FE9DD}"/>
    <cellStyle name="Normal 5 4 3 2 5 2 3" xfId="12913" xr:uid="{80E67013-00DE-44CE-B80E-A5F37E0E3028}"/>
    <cellStyle name="Normal 5 4 3 2 5 3" xfId="6486" xr:uid="{00000000-0005-0000-0000-00000F1B0000}"/>
    <cellStyle name="Normal 5 4 3 2 5 3 2" xfId="14981" xr:uid="{78B40B63-D7BB-4F95-8CF6-CEA71A63202B}"/>
    <cellStyle name="Normal 5 4 3 2 5 4" xfId="10768" xr:uid="{8D901801-38A0-4F2F-9355-CD2891B4CB6F}"/>
    <cellStyle name="Normal 5 4 3 2 6" xfId="2616" xr:uid="{00000000-0005-0000-0000-0000101B0000}"/>
    <cellStyle name="Normal 5 4 3 2 6 2" xfId="6899" xr:uid="{00000000-0005-0000-0000-0000111B0000}"/>
    <cellStyle name="Normal 5 4 3 2 6 2 2" xfId="15394" xr:uid="{2B4B68BA-7DEB-43A3-B7ED-E283CF75A13D}"/>
    <cellStyle name="Normal 5 4 3 2 6 3" xfId="11181" xr:uid="{87EF6928-2B57-403E-BD2C-F0729613F72C}"/>
    <cellStyle name="Normal 5 4 3 2 7" xfId="4834" xr:uid="{00000000-0005-0000-0000-0000121B0000}"/>
    <cellStyle name="Normal 5 4 3 2 7 2" xfId="13329" xr:uid="{D65B1434-43CF-4356-87D1-F1606E46D70F}"/>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2 2 2" xfId="15886" xr:uid="{8E72DEFD-85FF-4876-9B36-024187F81B39}"/>
    <cellStyle name="Normal 5 4 3 3 2 3" xfId="11673" xr:uid="{3BD72AF4-A09B-4FFD-8276-7B375354F849}"/>
    <cellStyle name="Normal 5 4 3 3 3" xfId="5246" xr:uid="{00000000-0005-0000-0000-0000161B0000}"/>
    <cellStyle name="Normal 5 4 3 3 3 2" xfId="13741" xr:uid="{B4B9EF5B-4DED-4E3D-8B1F-11BA88CC4201}"/>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2 2 2" xfId="16299" xr:uid="{313D4D3A-9603-4A89-B719-ED10737B4081}"/>
    <cellStyle name="Normal 5 4 3 4 2 3" xfId="12086" xr:uid="{C15BD6C7-7695-4DA6-B6FE-2191B90A0118}"/>
    <cellStyle name="Normal 5 4 3 4 3" xfId="5659" xr:uid="{00000000-0005-0000-0000-00001A1B0000}"/>
    <cellStyle name="Normal 5 4 3 4 3 2" xfId="14154" xr:uid="{F974AD12-0358-474A-ABF1-4CE4BDB18D4A}"/>
    <cellStyle name="Normal 5 4 3 4 4" xfId="9941" xr:uid="{ECDA8172-4664-468C-B5C8-2E7784666A65}"/>
    <cellStyle name="Normal 5 4 3 5" xfId="1765" xr:uid="{00000000-0005-0000-0000-00001B1B0000}"/>
    <cellStyle name="Normal 5 4 3 5 2" xfId="3995" xr:uid="{00000000-0005-0000-0000-00001C1B0000}"/>
    <cellStyle name="Normal 5 4 3 5 2 2" xfId="8217" xr:uid="{00000000-0005-0000-0000-00001D1B0000}"/>
    <cellStyle name="Normal 5 4 3 5 2 2 2" xfId="16712" xr:uid="{7B9B93D9-D268-4E06-AD0B-4178AB9EB127}"/>
    <cellStyle name="Normal 5 4 3 5 2 3" xfId="12499" xr:uid="{7DC2A920-1CD6-48FC-A84C-CBCACCEDCB83}"/>
    <cellStyle name="Normal 5 4 3 5 3" xfId="6072" xr:uid="{00000000-0005-0000-0000-00001E1B0000}"/>
    <cellStyle name="Normal 5 4 3 5 3 2" xfId="14567" xr:uid="{ADEC3B4A-3603-4E9E-AE47-F4A524231C50}"/>
    <cellStyle name="Normal 5 4 3 5 4" xfId="10354" xr:uid="{C7D0FD03-B9DA-4B01-826F-D16E995F8013}"/>
    <cellStyle name="Normal 5 4 3 6" xfId="2179" xr:uid="{00000000-0005-0000-0000-00001F1B0000}"/>
    <cellStyle name="Normal 5 4 3 6 2" xfId="4408" xr:uid="{00000000-0005-0000-0000-0000201B0000}"/>
    <cellStyle name="Normal 5 4 3 6 2 2" xfId="8630" xr:uid="{00000000-0005-0000-0000-0000211B0000}"/>
    <cellStyle name="Normal 5 4 3 6 2 2 2" xfId="17125" xr:uid="{6939993B-62E3-43F1-9696-10C06141D0C5}"/>
    <cellStyle name="Normal 5 4 3 6 2 3" xfId="12912" xr:uid="{308D75D0-C66A-4476-BDD2-57434E654828}"/>
    <cellStyle name="Normal 5 4 3 6 3" xfId="6485" xr:uid="{00000000-0005-0000-0000-0000221B0000}"/>
    <cellStyle name="Normal 5 4 3 6 3 2" xfId="14980" xr:uid="{D2C34600-4162-4897-AF5B-BBD7CDB3CF8B}"/>
    <cellStyle name="Normal 5 4 3 6 4" xfId="10767" xr:uid="{BEB2170B-AAE3-47DA-9DD7-9E5F1C1684E6}"/>
    <cellStyle name="Normal 5 4 3 7" xfId="2615" xr:uid="{00000000-0005-0000-0000-0000231B0000}"/>
    <cellStyle name="Normal 5 4 3 7 2" xfId="6898" xr:uid="{00000000-0005-0000-0000-0000241B0000}"/>
    <cellStyle name="Normal 5 4 3 7 2 2" xfId="15393" xr:uid="{8C3C34B8-70D9-4FEF-ABBE-4149F7AAFD47}"/>
    <cellStyle name="Normal 5 4 3 7 3" xfId="11180" xr:uid="{F03A1880-7310-4C9B-A650-47318F76BC6A}"/>
    <cellStyle name="Normal 5 4 3 8" xfId="4833" xr:uid="{00000000-0005-0000-0000-0000251B0000}"/>
    <cellStyle name="Normal 5 4 3 8 2" xfId="13328" xr:uid="{C1A319DC-D0EC-4815-868E-F4ACEB520B0F}"/>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5888" xr:uid="{3BC7E41D-0045-4E11-96C4-06073A0ADCA2}"/>
    <cellStyle name="Normal 5 4 4 2 2 3" xfId="11675" xr:uid="{FCB7A37B-1F1E-4319-82A7-EE9954FEF48A}"/>
    <cellStyle name="Normal 5 4 4 2 3" xfId="5248" xr:uid="{00000000-0005-0000-0000-00002A1B0000}"/>
    <cellStyle name="Normal 5 4 4 2 3 2" xfId="13743" xr:uid="{D75303AB-0122-4261-8E52-A484E9871444}"/>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2 2 2" xfId="16301" xr:uid="{D40A29AD-6E51-481B-8055-5BA653199EBB}"/>
    <cellStyle name="Normal 5 4 4 3 2 3" xfId="12088" xr:uid="{379EB8EB-1C26-41DB-A7EC-A292EB17D889}"/>
    <cellStyle name="Normal 5 4 4 3 3" xfId="5661" xr:uid="{00000000-0005-0000-0000-00002E1B0000}"/>
    <cellStyle name="Normal 5 4 4 3 3 2" xfId="14156" xr:uid="{93F74986-7A9B-43B2-81D3-09A3A8527E2B}"/>
    <cellStyle name="Normal 5 4 4 3 4" xfId="9943" xr:uid="{7268EEA4-9D38-402D-B6FE-78DE5747B71C}"/>
    <cellStyle name="Normal 5 4 4 4" xfId="1767" xr:uid="{00000000-0005-0000-0000-00002F1B0000}"/>
    <cellStyle name="Normal 5 4 4 4 2" xfId="3997" xr:uid="{00000000-0005-0000-0000-0000301B0000}"/>
    <cellStyle name="Normal 5 4 4 4 2 2" xfId="8219" xr:uid="{00000000-0005-0000-0000-0000311B0000}"/>
    <cellStyle name="Normal 5 4 4 4 2 2 2" xfId="16714" xr:uid="{6A16CA7F-2FE1-465A-9EAC-3D4699DF8A6A}"/>
    <cellStyle name="Normal 5 4 4 4 2 3" xfId="12501" xr:uid="{6E50B7E3-0224-4F2E-85A5-3CFE0057EDF1}"/>
    <cellStyle name="Normal 5 4 4 4 3" xfId="6074" xr:uid="{00000000-0005-0000-0000-0000321B0000}"/>
    <cellStyle name="Normal 5 4 4 4 3 2" xfId="14569" xr:uid="{FA92FC94-FDDC-48BC-96F9-099795870D10}"/>
    <cellStyle name="Normal 5 4 4 4 4" xfId="10356" xr:uid="{22EABAC0-E687-49D0-8EC0-21829FEEC447}"/>
    <cellStyle name="Normal 5 4 4 5" xfId="2181" xr:uid="{00000000-0005-0000-0000-0000331B0000}"/>
    <cellStyle name="Normal 5 4 4 5 2" xfId="4410" xr:uid="{00000000-0005-0000-0000-0000341B0000}"/>
    <cellStyle name="Normal 5 4 4 5 2 2" xfId="8632" xr:uid="{00000000-0005-0000-0000-0000351B0000}"/>
    <cellStyle name="Normal 5 4 4 5 2 2 2" xfId="17127" xr:uid="{3CCEDDA8-574B-4134-B293-3E5A3FB8B7E8}"/>
    <cellStyle name="Normal 5 4 4 5 2 3" xfId="12914" xr:uid="{B09DFCDD-56C5-49B7-BDD2-93BBE17AE8F8}"/>
    <cellStyle name="Normal 5 4 4 5 3" xfId="6487" xr:uid="{00000000-0005-0000-0000-0000361B0000}"/>
    <cellStyle name="Normal 5 4 4 5 3 2" xfId="14982" xr:uid="{B6FED151-3B1E-472E-B639-26921799F7A6}"/>
    <cellStyle name="Normal 5 4 4 5 4" xfId="10769" xr:uid="{47D54B35-494E-46BE-B5CA-3F5CB610B538}"/>
    <cellStyle name="Normal 5 4 4 6" xfId="2617" xr:uid="{00000000-0005-0000-0000-0000371B0000}"/>
    <cellStyle name="Normal 5 4 4 6 2" xfId="6900" xr:uid="{00000000-0005-0000-0000-0000381B0000}"/>
    <cellStyle name="Normal 5 4 4 6 2 2" xfId="15395" xr:uid="{317D4562-8C81-4441-8F34-A2DD08F039D5}"/>
    <cellStyle name="Normal 5 4 4 6 3" xfId="11182" xr:uid="{A2D8BE5D-D315-4899-B7ED-D71FE159A6A2}"/>
    <cellStyle name="Normal 5 4 4 7" xfId="4835" xr:uid="{00000000-0005-0000-0000-0000391B0000}"/>
    <cellStyle name="Normal 5 4 4 7 2" xfId="13330" xr:uid="{E6C19EC2-620C-40B6-AA89-6067F3B73A27}"/>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2 2 2" xfId="15881" xr:uid="{ECCBAE5B-9308-4924-93A2-EB19B6D54EAF}"/>
    <cellStyle name="Normal 5 4 5 2 3" xfId="11668" xr:uid="{DC6BE364-BA38-47C6-9A20-AFC701C47CA3}"/>
    <cellStyle name="Normal 5 4 5 3" xfId="5241" xr:uid="{00000000-0005-0000-0000-00003D1B0000}"/>
    <cellStyle name="Normal 5 4 5 3 2" xfId="13736" xr:uid="{69036C38-F8B7-4E16-9E5E-497A7989DC95}"/>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2 2 2" xfId="16294" xr:uid="{29FD656B-E7A5-41B0-A9B3-5B1ABA04F310}"/>
    <cellStyle name="Normal 5 4 6 2 3" xfId="12081" xr:uid="{ED232232-B1D3-4CF2-8B56-E54FB2C720DD}"/>
    <cellStyle name="Normal 5 4 6 3" xfId="5654" xr:uid="{00000000-0005-0000-0000-0000411B0000}"/>
    <cellStyle name="Normal 5 4 6 3 2" xfId="14149" xr:uid="{A82E02D8-5503-42F4-9AF6-EFC293DBFCBD}"/>
    <cellStyle name="Normal 5 4 6 4" xfId="9936" xr:uid="{C6B9463C-4A02-44D5-8C2E-20A3CAD661AE}"/>
    <cellStyle name="Normal 5 4 7" xfId="1760" xr:uid="{00000000-0005-0000-0000-0000421B0000}"/>
    <cellStyle name="Normal 5 4 7 2" xfId="3990" xr:uid="{00000000-0005-0000-0000-0000431B0000}"/>
    <cellStyle name="Normal 5 4 7 2 2" xfId="8212" xr:uid="{00000000-0005-0000-0000-0000441B0000}"/>
    <cellStyle name="Normal 5 4 7 2 2 2" xfId="16707" xr:uid="{1F8C5827-E47A-465E-94CE-B6D024FAFB25}"/>
    <cellStyle name="Normal 5 4 7 2 3" xfId="12494" xr:uid="{48D714AD-1A23-4802-96A8-665CFC75476E}"/>
    <cellStyle name="Normal 5 4 7 3" xfId="6067" xr:uid="{00000000-0005-0000-0000-0000451B0000}"/>
    <cellStyle name="Normal 5 4 7 3 2" xfId="14562" xr:uid="{B51C5AFB-6F10-45F9-938C-265EBC9216AD}"/>
    <cellStyle name="Normal 5 4 7 4" xfId="10349" xr:uid="{19AAF5AE-AB85-4BD0-9C5D-7736689FF09F}"/>
    <cellStyle name="Normal 5 4 8" xfId="2174" xr:uid="{00000000-0005-0000-0000-0000461B0000}"/>
    <cellStyle name="Normal 5 4 8 2" xfId="4403" xr:uid="{00000000-0005-0000-0000-0000471B0000}"/>
    <cellStyle name="Normal 5 4 8 2 2" xfId="8625" xr:uid="{00000000-0005-0000-0000-0000481B0000}"/>
    <cellStyle name="Normal 5 4 8 2 2 2" xfId="17120" xr:uid="{64AE509C-9A7E-4D40-AA74-F14FD0AB1CB7}"/>
    <cellStyle name="Normal 5 4 8 2 3" xfId="12907" xr:uid="{EBB4D0AF-C29E-4046-A9CA-5407170D814F}"/>
    <cellStyle name="Normal 5 4 8 3" xfId="6480" xr:uid="{00000000-0005-0000-0000-0000491B0000}"/>
    <cellStyle name="Normal 5 4 8 3 2" xfId="14975" xr:uid="{E793A718-D290-489D-8BE6-288037287CCF}"/>
    <cellStyle name="Normal 5 4 8 4" xfId="10762" xr:uid="{B8AB2C39-33FE-4140-BC2A-FD4D27BFEF7E}"/>
    <cellStyle name="Normal 5 4 9" xfId="2610" xr:uid="{00000000-0005-0000-0000-00004A1B0000}"/>
    <cellStyle name="Normal 5 4 9 2" xfId="6893" xr:uid="{00000000-0005-0000-0000-00004B1B0000}"/>
    <cellStyle name="Normal 5 4 9 2 2" xfId="15388" xr:uid="{69FAD3D5-240D-490A-B639-642069526B1D}"/>
    <cellStyle name="Normal 5 4 9 3" xfId="11175" xr:uid="{8CB52297-A8F3-4526-A2C9-2944A2F7036D}"/>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5891" xr:uid="{1282D188-2214-43F2-8470-78BE5C67EE59}"/>
    <cellStyle name="Normal 5 5 2 2 2 2 3" xfId="11678" xr:uid="{B9585A2C-5CD7-4685-91EE-FF3B4E21A8E7}"/>
    <cellStyle name="Normal 5 5 2 2 2 3" xfId="5251" xr:uid="{00000000-0005-0000-0000-0000521B0000}"/>
    <cellStyle name="Normal 5 5 2 2 2 3 2" xfId="13746" xr:uid="{35B83F56-D9D9-4D44-8C60-72144EA4DC18}"/>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6304" xr:uid="{98A0EE15-45B3-48E6-B28F-7E73F0021804}"/>
    <cellStyle name="Normal 5 5 2 2 3 2 3" xfId="12091" xr:uid="{634F031D-F872-4CC5-AD9F-1AAE2AB82D2C}"/>
    <cellStyle name="Normal 5 5 2 2 3 3" xfId="5664" xr:uid="{00000000-0005-0000-0000-0000561B0000}"/>
    <cellStyle name="Normal 5 5 2 2 3 3 2" xfId="14159" xr:uid="{740A3AFE-7E08-4697-9EB5-6126186700EF}"/>
    <cellStyle name="Normal 5 5 2 2 3 4" xfId="9946" xr:uid="{7072761C-3F24-4682-B817-BE283F03BF5F}"/>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6717" xr:uid="{FF5F104A-7E04-4628-B40F-AD82C62697C9}"/>
    <cellStyle name="Normal 5 5 2 2 4 2 3" xfId="12504" xr:uid="{40CBD183-6684-4EE6-88F1-42F925FF1F86}"/>
    <cellStyle name="Normal 5 5 2 2 4 3" xfId="6077" xr:uid="{00000000-0005-0000-0000-00005A1B0000}"/>
    <cellStyle name="Normal 5 5 2 2 4 3 2" xfId="14572" xr:uid="{803D921A-EE72-4A7F-A6C2-F949ED48FA70}"/>
    <cellStyle name="Normal 5 5 2 2 4 4" xfId="10359" xr:uid="{3BA490EB-6F88-40AE-9329-12E39D9497E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130" xr:uid="{4013E742-A150-4141-9DBF-91A775A83058}"/>
    <cellStyle name="Normal 5 5 2 2 5 2 3" xfId="12917" xr:uid="{1472B270-3A4D-48C2-88C3-695F6FC224EE}"/>
    <cellStyle name="Normal 5 5 2 2 5 3" xfId="6490" xr:uid="{00000000-0005-0000-0000-00005E1B0000}"/>
    <cellStyle name="Normal 5 5 2 2 5 3 2" xfId="14985" xr:uid="{A090DF62-4BD3-4E45-A829-B06B8F1B435F}"/>
    <cellStyle name="Normal 5 5 2 2 5 4" xfId="10772" xr:uid="{50B6AC9F-6927-4A4B-9253-6326A291FD4E}"/>
    <cellStyle name="Normal 5 5 2 2 6" xfId="2620" xr:uid="{00000000-0005-0000-0000-00005F1B0000}"/>
    <cellStyle name="Normal 5 5 2 2 6 2" xfId="6903" xr:uid="{00000000-0005-0000-0000-0000601B0000}"/>
    <cellStyle name="Normal 5 5 2 2 6 2 2" xfId="15398" xr:uid="{E586B5EC-6850-481E-A822-A66CE3227A75}"/>
    <cellStyle name="Normal 5 5 2 2 6 3" xfId="11185" xr:uid="{CB774C89-7EF7-4B8B-8080-44B0C294F5DB}"/>
    <cellStyle name="Normal 5 5 2 2 7" xfId="4838" xr:uid="{00000000-0005-0000-0000-0000611B0000}"/>
    <cellStyle name="Normal 5 5 2 2 7 2" xfId="13333" xr:uid="{29B12863-EA5F-493D-B44A-E30B6D566A81}"/>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2 2 2" xfId="15890" xr:uid="{E8B16062-78B2-488E-A499-EA523FD64551}"/>
    <cellStyle name="Normal 5 5 2 3 2 3" xfId="11677" xr:uid="{5A1D0BCF-2B42-4C4F-94D1-F65E00137140}"/>
    <cellStyle name="Normal 5 5 2 3 3" xfId="5250" xr:uid="{00000000-0005-0000-0000-0000651B0000}"/>
    <cellStyle name="Normal 5 5 2 3 3 2" xfId="13745" xr:uid="{9F6A3794-800B-4101-B884-0C3C8E70E959}"/>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2 2 2" xfId="16303" xr:uid="{8C2976CF-9D29-47EF-8024-21F6392180FF}"/>
    <cellStyle name="Normal 5 5 2 4 2 3" xfId="12090" xr:uid="{251AED61-122B-4BD6-915B-65E5A3C8848E}"/>
    <cellStyle name="Normal 5 5 2 4 3" xfId="5663" xr:uid="{00000000-0005-0000-0000-0000691B0000}"/>
    <cellStyle name="Normal 5 5 2 4 3 2" xfId="14158" xr:uid="{AC16EDD6-967F-40BA-8D58-7ED773C1723F}"/>
    <cellStyle name="Normal 5 5 2 4 4" xfId="9945" xr:uid="{EB63B6FD-1D04-49F6-8340-DA90E7B8C09B}"/>
    <cellStyle name="Normal 5 5 2 5" xfId="1769" xr:uid="{00000000-0005-0000-0000-00006A1B0000}"/>
    <cellStyle name="Normal 5 5 2 5 2" xfId="3999" xr:uid="{00000000-0005-0000-0000-00006B1B0000}"/>
    <cellStyle name="Normal 5 5 2 5 2 2" xfId="8221" xr:uid="{00000000-0005-0000-0000-00006C1B0000}"/>
    <cellStyle name="Normal 5 5 2 5 2 2 2" xfId="16716" xr:uid="{464AF855-C43D-4334-AF81-7A9790D814E8}"/>
    <cellStyle name="Normal 5 5 2 5 2 3" xfId="12503" xr:uid="{5E69B3C9-2C55-44FB-BE46-69C0DE48341F}"/>
    <cellStyle name="Normal 5 5 2 5 3" xfId="6076" xr:uid="{00000000-0005-0000-0000-00006D1B0000}"/>
    <cellStyle name="Normal 5 5 2 5 3 2" xfId="14571" xr:uid="{A6125374-3620-4073-9662-F14D9CFA6EEF}"/>
    <cellStyle name="Normal 5 5 2 5 4" xfId="10358" xr:uid="{A14BA329-1851-4DCC-8BAC-69658F56DDBA}"/>
    <cellStyle name="Normal 5 5 2 6" xfId="2183" xr:uid="{00000000-0005-0000-0000-00006E1B0000}"/>
    <cellStyle name="Normal 5 5 2 6 2" xfId="4412" xr:uid="{00000000-0005-0000-0000-00006F1B0000}"/>
    <cellStyle name="Normal 5 5 2 6 2 2" xfId="8634" xr:uid="{00000000-0005-0000-0000-0000701B0000}"/>
    <cellStyle name="Normal 5 5 2 6 2 2 2" xfId="17129" xr:uid="{B51AA1EF-C44F-4C7E-BE34-D9AD6D2C7152}"/>
    <cellStyle name="Normal 5 5 2 6 2 3" xfId="12916" xr:uid="{8522DDD7-5D03-43FE-BB1D-227ABBD27093}"/>
    <cellStyle name="Normal 5 5 2 6 3" xfId="6489" xr:uid="{00000000-0005-0000-0000-0000711B0000}"/>
    <cellStyle name="Normal 5 5 2 6 3 2" xfId="14984" xr:uid="{E36E232E-CF2D-473C-8F3D-A63A3EA77AFA}"/>
    <cellStyle name="Normal 5 5 2 6 4" xfId="10771" xr:uid="{7E77DBA2-6AEB-4F7A-84B1-6BE21BEDF3A5}"/>
    <cellStyle name="Normal 5 5 2 7" xfId="2619" xr:uid="{00000000-0005-0000-0000-0000721B0000}"/>
    <cellStyle name="Normal 5 5 2 7 2" xfId="6902" xr:uid="{00000000-0005-0000-0000-0000731B0000}"/>
    <cellStyle name="Normal 5 5 2 7 2 2" xfId="15397" xr:uid="{3BA29255-4BFE-4067-9A47-4C234F1B272F}"/>
    <cellStyle name="Normal 5 5 2 7 3" xfId="11184" xr:uid="{685B0AD9-9703-4D02-A38E-EFC21D80B4CB}"/>
    <cellStyle name="Normal 5 5 2 8" xfId="4837" xr:uid="{00000000-0005-0000-0000-0000741B0000}"/>
    <cellStyle name="Normal 5 5 2 8 2" xfId="13332" xr:uid="{848FCAA3-6DB6-48F5-AAAB-3449D2EEE26B}"/>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5892" xr:uid="{3B26AAC9-57C2-45C3-A2AD-F53DA45BDB22}"/>
    <cellStyle name="Normal 5 5 3 2 2 3" xfId="11679" xr:uid="{A8E45085-69E5-4C49-BC0A-38D94836D243}"/>
    <cellStyle name="Normal 5 5 3 2 3" xfId="5252" xr:uid="{00000000-0005-0000-0000-0000791B0000}"/>
    <cellStyle name="Normal 5 5 3 2 3 2" xfId="13747" xr:uid="{226F0E8E-B180-4B7C-9EB3-1985C417A374}"/>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2 2 2" xfId="16305" xr:uid="{81C8278A-A7D5-400C-B9FC-594AC478434E}"/>
    <cellStyle name="Normal 5 5 3 3 2 3" xfId="12092" xr:uid="{5760FEA7-96F8-4F59-B581-AE1B4FD74BF1}"/>
    <cellStyle name="Normal 5 5 3 3 3" xfId="5665" xr:uid="{00000000-0005-0000-0000-00007D1B0000}"/>
    <cellStyle name="Normal 5 5 3 3 3 2" xfId="14160" xr:uid="{1C58E325-76ED-4123-ABE3-FED4A41EAE40}"/>
    <cellStyle name="Normal 5 5 3 3 4" xfId="9947" xr:uid="{BB1D6E81-039A-4EDF-B947-072631155D35}"/>
    <cellStyle name="Normal 5 5 3 4" xfId="1771" xr:uid="{00000000-0005-0000-0000-00007E1B0000}"/>
    <cellStyle name="Normal 5 5 3 4 2" xfId="4001" xr:uid="{00000000-0005-0000-0000-00007F1B0000}"/>
    <cellStyle name="Normal 5 5 3 4 2 2" xfId="8223" xr:uid="{00000000-0005-0000-0000-0000801B0000}"/>
    <cellStyle name="Normal 5 5 3 4 2 2 2" xfId="16718" xr:uid="{4C011392-771B-4BDA-8C57-E951362AC9A7}"/>
    <cellStyle name="Normal 5 5 3 4 2 3" xfId="12505" xr:uid="{EB0EF612-A3C3-4B6C-897D-13DF06C22EBD}"/>
    <cellStyle name="Normal 5 5 3 4 3" xfId="6078" xr:uid="{00000000-0005-0000-0000-0000811B0000}"/>
    <cellStyle name="Normal 5 5 3 4 3 2" xfId="14573" xr:uid="{A4FE349E-8038-416E-BCDB-FA0390449012}"/>
    <cellStyle name="Normal 5 5 3 4 4" xfId="10360" xr:uid="{C268FB7F-8838-4444-802C-EE1932510EAE}"/>
    <cellStyle name="Normal 5 5 3 5" xfId="2185" xr:uid="{00000000-0005-0000-0000-0000821B0000}"/>
    <cellStyle name="Normal 5 5 3 5 2" xfId="4414" xr:uid="{00000000-0005-0000-0000-0000831B0000}"/>
    <cellStyle name="Normal 5 5 3 5 2 2" xfId="8636" xr:uid="{00000000-0005-0000-0000-0000841B0000}"/>
    <cellStyle name="Normal 5 5 3 5 2 2 2" xfId="17131" xr:uid="{AB8BDDB3-C709-4A98-A4FF-527590F81A64}"/>
    <cellStyle name="Normal 5 5 3 5 2 3" xfId="12918" xr:uid="{13C74567-AF2D-4469-80AA-4C9878EEEA51}"/>
    <cellStyle name="Normal 5 5 3 5 3" xfId="6491" xr:uid="{00000000-0005-0000-0000-0000851B0000}"/>
    <cellStyle name="Normal 5 5 3 5 3 2" xfId="14986" xr:uid="{F2D86286-0192-4835-9893-36829F9B10C5}"/>
    <cellStyle name="Normal 5 5 3 5 4" xfId="10773" xr:uid="{FCC8F8D1-D6FE-423C-B63F-38323D397186}"/>
    <cellStyle name="Normal 5 5 3 6" xfId="2621" xr:uid="{00000000-0005-0000-0000-0000861B0000}"/>
    <cellStyle name="Normal 5 5 3 6 2" xfId="6904" xr:uid="{00000000-0005-0000-0000-0000871B0000}"/>
    <cellStyle name="Normal 5 5 3 6 2 2" xfId="15399" xr:uid="{C4C38022-8B78-44EF-A94F-892E2790509D}"/>
    <cellStyle name="Normal 5 5 3 6 3" xfId="11186" xr:uid="{5DA56A92-4DAE-4079-97D9-F9F5B5DBC0BB}"/>
    <cellStyle name="Normal 5 5 3 7" xfId="4839" xr:uid="{00000000-0005-0000-0000-0000881B0000}"/>
    <cellStyle name="Normal 5 5 3 7 2" xfId="13334" xr:uid="{4690DA09-BA36-4B1B-96C8-C91721737A95}"/>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2 2 2" xfId="15889" xr:uid="{C8362441-4B9D-4A9F-96C4-9551A284180B}"/>
    <cellStyle name="Normal 5 5 4 2 3" xfId="11676" xr:uid="{26C6EA0E-EE55-4330-9F2A-0B8AB25126C2}"/>
    <cellStyle name="Normal 5 5 4 3" xfId="5249" xr:uid="{00000000-0005-0000-0000-00008C1B0000}"/>
    <cellStyle name="Normal 5 5 4 3 2" xfId="13744" xr:uid="{D3C354B4-F04B-4294-A899-C317C6FB5A2C}"/>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2 2 2" xfId="16302" xr:uid="{44F29A53-A3EF-494F-9A01-E51265216A7B}"/>
    <cellStyle name="Normal 5 5 5 2 3" xfId="12089" xr:uid="{C514D682-83E7-4B70-B929-8C0C8F7E022E}"/>
    <cellStyle name="Normal 5 5 5 3" xfId="5662" xr:uid="{00000000-0005-0000-0000-0000901B0000}"/>
    <cellStyle name="Normal 5 5 5 3 2" xfId="14157" xr:uid="{5935B78C-99EC-45B2-9182-BFEE38FFB954}"/>
    <cellStyle name="Normal 5 5 5 4" xfId="9944" xr:uid="{26124EAC-D701-45F6-8EEC-0390CEF6827B}"/>
    <cellStyle name="Normal 5 5 6" xfId="1768" xr:uid="{00000000-0005-0000-0000-0000911B0000}"/>
    <cellStyle name="Normal 5 5 6 2" xfId="3998" xr:uid="{00000000-0005-0000-0000-0000921B0000}"/>
    <cellStyle name="Normal 5 5 6 2 2" xfId="8220" xr:uid="{00000000-0005-0000-0000-0000931B0000}"/>
    <cellStyle name="Normal 5 5 6 2 2 2" xfId="16715" xr:uid="{06611384-47E2-4627-A2AB-0D81798547FE}"/>
    <cellStyle name="Normal 5 5 6 2 3" xfId="12502" xr:uid="{6E8A395A-2974-418D-809E-EA5EA47B19D6}"/>
    <cellStyle name="Normal 5 5 6 3" xfId="6075" xr:uid="{00000000-0005-0000-0000-0000941B0000}"/>
    <cellStyle name="Normal 5 5 6 3 2" xfId="14570" xr:uid="{226FC0FD-1FA2-48C2-9F17-06776A59972B}"/>
    <cellStyle name="Normal 5 5 6 4" xfId="10357" xr:uid="{76BD6A86-F61B-4183-8472-71DD2A73B16E}"/>
    <cellStyle name="Normal 5 5 7" xfId="2182" xr:uid="{00000000-0005-0000-0000-0000951B0000}"/>
    <cellStyle name="Normal 5 5 7 2" xfId="4411" xr:uid="{00000000-0005-0000-0000-0000961B0000}"/>
    <cellStyle name="Normal 5 5 7 2 2" xfId="8633" xr:uid="{00000000-0005-0000-0000-0000971B0000}"/>
    <cellStyle name="Normal 5 5 7 2 2 2" xfId="17128" xr:uid="{94F439EE-91A2-4C41-9F6E-4EAD8585B6C1}"/>
    <cellStyle name="Normal 5 5 7 2 3" xfId="12915" xr:uid="{56C53D60-866E-4AEA-9092-CA7C0480AB1A}"/>
    <cellStyle name="Normal 5 5 7 3" xfId="6488" xr:uid="{00000000-0005-0000-0000-0000981B0000}"/>
    <cellStyle name="Normal 5 5 7 3 2" xfId="14983" xr:uid="{7BC8A3F2-5BB5-4494-AED6-650BFAF9667B}"/>
    <cellStyle name="Normal 5 5 7 4" xfId="10770" xr:uid="{7EAAFF5B-761E-46AB-A57C-FB133B123B94}"/>
    <cellStyle name="Normal 5 5 8" xfId="2618" xr:uid="{00000000-0005-0000-0000-0000991B0000}"/>
    <cellStyle name="Normal 5 5 8 2" xfId="6901" xr:uid="{00000000-0005-0000-0000-00009A1B0000}"/>
    <cellStyle name="Normal 5 5 8 2 2" xfId="15396" xr:uid="{3C6C53EF-452E-4272-AC12-81C9FE13AE90}"/>
    <cellStyle name="Normal 5 5 8 3" xfId="11183" xr:uid="{4DC1F41E-3B57-441A-8291-9321643FC012}"/>
    <cellStyle name="Normal 5 5 9" xfId="4836" xr:uid="{00000000-0005-0000-0000-00009B1B0000}"/>
    <cellStyle name="Normal 5 5 9 2" xfId="13331" xr:uid="{C565BF7E-1A10-49BE-B50E-D96BEA106E24}"/>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5894" xr:uid="{7E6C7257-9D27-442F-BEF0-AF4F45B3BD93}"/>
    <cellStyle name="Normal 5 6 2 2 2 3" xfId="11681" xr:uid="{93930CD6-64E6-4459-B53F-C74633E32C48}"/>
    <cellStyle name="Normal 5 6 2 2 3" xfId="5254" xr:uid="{00000000-0005-0000-0000-0000A11B0000}"/>
    <cellStyle name="Normal 5 6 2 2 3 2" xfId="13749" xr:uid="{B9837436-049D-4D72-AB57-95DEFE86B404}"/>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2 2 2" xfId="16307" xr:uid="{F2645AE1-7A5E-4266-A011-3BE4AF9205EB}"/>
    <cellStyle name="Normal 5 6 2 3 2 3" xfId="12094" xr:uid="{01F95B02-DB46-4362-BE2A-C803C34DEBA5}"/>
    <cellStyle name="Normal 5 6 2 3 3" xfId="5667" xr:uid="{00000000-0005-0000-0000-0000A51B0000}"/>
    <cellStyle name="Normal 5 6 2 3 3 2" xfId="14162" xr:uid="{FBF9284C-8673-4479-93B2-5E820D641940}"/>
    <cellStyle name="Normal 5 6 2 3 4" xfId="9949" xr:uid="{9B297744-3B33-447A-A33A-6A9DBBA65B7A}"/>
    <cellStyle name="Normal 5 6 2 4" xfId="1773" xr:uid="{00000000-0005-0000-0000-0000A61B0000}"/>
    <cellStyle name="Normal 5 6 2 4 2" xfId="4003" xr:uid="{00000000-0005-0000-0000-0000A71B0000}"/>
    <cellStyle name="Normal 5 6 2 4 2 2" xfId="8225" xr:uid="{00000000-0005-0000-0000-0000A81B0000}"/>
    <cellStyle name="Normal 5 6 2 4 2 2 2" xfId="16720" xr:uid="{AB433399-85F5-485D-AE79-36763C57B0E9}"/>
    <cellStyle name="Normal 5 6 2 4 2 3" xfId="12507" xr:uid="{FDED8459-A608-4117-BB65-777A2CD59108}"/>
    <cellStyle name="Normal 5 6 2 4 3" xfId="6080" xr:uid="{00000000-0005-0000-0000-0000A91B0000}"/>
    <cellStyle name="Normal 5 6 2 4 3 2" xfId="14575" xr:uid="{1C4D27A6-0743-4F81-BA0D-4499B40F9F5D}"/>
    <cellStyle name="Normal 5 6 2 4 4" xfId="10362" xr:uid="{13940B85-4294-4B90-9295-E2F614CB6450}"/>
    <cellStyle name="Normal 5 6 2 5" xfId="2187" xr:uid="{00000000-0005-0000-0000-0000AA1B0000}"/>
    <cellStyle name="Normal 5 6 2 5 2" xfId="4416" xr:uid="{00000000-0005-0000-0000-0000AB1B0000}"/>
    <cellStyle name="Normal 5 6 2 5 2 2" xfId="8638" xr:uid="{00000000-0005-0000-0000-0000AC1B0000}"/>
    <cellStyle name="Normal 5 6 2 5 2 2 2" xfId="17133" xr:uid="{D8A22836-A9F9-4622-B1AA-87CD87A397E5}"/>
    <cellStyle name="Normal 5 6 2 5 2 3" xfId="12920" xr:uid="{9F4ED1A0-61C8-4F82-945B-1ACDDE18BACD}"/>
    <cellStyle name="Normal 5 6 2 5 3" xfId="6493" xr:uid="{00000000-0005-0000-0000-0000AD1B0000}"/>
    <cellStyle name="Normal 5 6 2 5 3 2" xfId="14988" xr:uid="{1D136176-B1BA-4BD7-BB90-D902F6DA966F}"/>
    <cellStyle name="Normal 5 6 2 5 4" xfId="10775" xr:uid="{12852758-1863-405F-9AD9-0A982F7418B5}"/>
    <cellStyle name="Normal 5 6 2 6" xfId="2623" xr:uid="{00000000-0005-0000-0000-0000AE1B0000}"/>
    <cellStyle name="Normal 5 6 2 6 2" xfId="6906" xr:uid="{00000000-0005-0000-0000-0000AF1B0000}"/>
    <cellStyle name="Normal 5 6 2 6 2 2" xfId="15401" xr:uid="{0B18D28E-9058-480F-A559-B04EDAC13E8A}"/>
    <cellStyle name="Normal 5 6 2 6 3" xfId="11188" xr:uid="{8681604D-FE3E-4029-AEE0-8835835F708C}"/>
    <cellStyle name="Normal 5 6 2 7" xfId="4841" xr:uid="{00000000-0005-0000-0000-0000B01B0000}"/>
    <cellStyle name="Normal 5 6 2 7 2" xfId="13336" xr:uid="{2017C681-A7AC-4D4B-B015-2547DA3C193C}"/>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2 2 2" xfId="15893" xr:uid="{5F169F72-5CD1-44E5-A7E9-E0625471C164}"/>
    <cellStyle name="Normal 5 6 3 2 3" xfId="11680" xr:uid="{84849F78-4DA4-47BF-96E0-BABCD9FB37FB}"/>
    <cellStyle name="Normal 5 6 3 3" xfId="5253" xr:uid="{00000000-0005-0000-0000-0000B41B0000}"/>
    <cellStyle name="Normal 5 6 3 3 2" xfId="13748" xr:uid="{E2435C95-4479-4AF7-B22C-78DB27110441}"/>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2 2 2" xfId="16306" xr:uid="{E13F6F09-5013-4B89-80D2-8D0B4ACEF242}"/>
    <cellStyle name="Normal 5 6 4 2 3" xfId="12093" xr:uid="{C6B59B71-6138-421B-AB9D-25E7B08342D0}"/>
    <cellStyle name="Normal 5 6 4 3" xfId="5666" xr:uid="{00000000-0005-0000-0000-0000B81B0000}"/>
    <cellStyle name="Normal 5 6 4 3 2" xfId="14161" xr:uid="{A3664D93-12CC-4DAC-9D97-563697EF3F67}"/>
    <cellStyle name="Normal 5 6 4 4" xfId="9948" xr:uid="{CCA795EE-1DFB-48E3-8910-7201D92728BF}"/>
    <cellStyle name="Normal 5 6 5" xfId="1772" xr:uid="{00000000-0005-0000-0000-0000B91B0000}"/>
    <cellStyle name="Normal 5 6 5 2" xfId="4002" xr:uid="{00000000-0005-0000-0000-0000BA1B0000}"/>
    <cellStyle name="Normal 5 6 5 2 2" xfId="8224" xr:uid="{00000000-0005-0000-0000-0000BB1B0000}"/>
    <cellStyle name="Normal 5 6 5 2 2 2" xfId="16719" xr:uid="{D18EA218-8F4B-4F06-AE1E-ADE6A00F42F8}"/>
    <cellStyle name="Normal 5 6 5 2 3" xfId="12506" xr:uid="{FDA1F81C-13A9-45B9-BABE-B8AA49D57952}"/>
    <cellStyle name="Normal 5 6 5 3" xfId="6079" xr:uid="{00000000-0005-0000-0000-0000BC1B0000}"/>
    <cellStyle name="Normal 5 6 5 3 2" xfId="14574" xr:uid="{5D0C83AC-02D5-4942-A6E8-37B2D6CA2CFB}"/>
    <cellStyle name="Normal 5 6 5 4" xfId="10361" xr:uid="{D8C99011-504F-4F38-AFC5-8E5F193693FC}"/>
    <cellStyle name="Normal 5 6 6" xfId="2186" xr:uid="{00000000-0005-0000-0000-0000BD1B0000}"/>
    <cellStyle name="Normal 5 6 6 2" xfId="4415" xr:uid="{00000000-0005-0000-0000-0000BE1B0000}"/>
    <cellStyle name="Normal 5 6 6 2 2" xfId="8637" xr:uid="{00000000-0005-0000-0000-0000BF1B0000}"/>
    <cellStyle name="Normal 5 6 6 2 2 2" xfId="17132" xr:uid="{AB54CA41-2FF6-4801-8FCC-98724AA42E43}"/>
    <cellStyle name="Normal 5 6 6 2 3" xfId="12919" xr:uid="{7315DB6C-FA6B-4BBF-B8D4-661EF8A9FFA8}"/>
    <cellStyle name="Normal 5 6 6 3" xfId="6492" xr:uid="{00000000-0005-0000-0000-0000C01B0000}"/>
    <cellStyle name="Normal 5 6 6 3 2" xfId="14987" xr:uid="{33098AA7-D0FA-400B-BF26-1D164F23BDC9}"/>
    <cellStyle name="Normal 5 6 6 4" xfId="10774" xr:uid="{2405BEBA-D02C-4A59-8C29-FCE335370F77}"/>
    <cellStyle name="Normal 5 6 7" xfId="2622" xr:uid="{00000000-0005-0000-0000-0000C11B0000}"/>
    <cellStyle name="Normal 5 6 7 2" xfId="6905" xr:uid="{00000000-0005-0000-0000-0000C21B0000}"/>
    <cellStyle name="Normal 5 6 7 2 2" xfId="15400" xr:uid="{3DCACC87-C685-4745-BFBB-10572FADF751}"/>
    <cellStyle name="Normal 5 6 7 3" xfId="11187" xr:uid="{9735BFC6-6696-44B8-A808-03DA627619B7}"/>
    <cellStyle name="Normal 5 6 8" xfId="4840" xr:uid="{00000000-0005-0000-0000-0000C31B0000}"/>
    <cellStyle name="Normal 5 6 8 2" xfId="13335" xr:uid="{1C585270-024C-4329-9B7D-AA271AC3FEB4}"/>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5895" xr:uid="{0A505945-807A-4C3C-A24B-9913F69BD386}"/>
    <cellStyle name="Normal 5 7 2 2 3" xfId="11682" xr:uid="{B47CFCAA-4D6F-49AB-B179-F660C5D5AC7A}"/>
    <cellStyle name="Normal 5 7 2 3" xfId="5255" xr:uid="{00000000-0005-0000-0000-0000C81B0000}"/>
    <cellStyle name="Normal 5 7 2 3 2" xfId="13750" xr:uid="{094619F3-0C8F-432C-9FCC-E97774C20272}"/>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2 2 2" xfId="16308" xr:uid="{A9E17470-7BD6-4E2F-B81F-BD47C30C4156}"/>
    <cellStyle name="Normal 5 7 3 2 3" xfId="12095" xr:uid="{DB1CDDF8-7BD6-4037-9BE2-D83F300C5163}"/>
    <cellStyle name="Normal 5 7 3 3" xfId="5668" xr:uid="{00000000-0005-0000-0000-0000CC1B0000}"/>
    <cellStyle name="Normal 5 7 3 3 2" xfId="14163" xr:uid="{BAA81C54-F137-4E9A-B14A-3F45BBC272B8}"/>
    <cellStyle name="Normal 5 7 3 4" xfId="9950" xr:uid="{D988AD19-9ACF-41AA-AC13-88B225876B1C}"/>
    <cellStyle name="Normal 5 7 4" xfId="1774" xr:uid="{00000000-0005-0000-0000-0000CD1B0000}"/>
    <cellStyle name="Normal 5 7 4 2" xfId="4004" xr:uid="{00000000-0005-0000-0000-0000CE1B0000}"/>
    <cellStyle name="Normal 5 7 4 2 2" xfId="8226" xr:uid="{00000000-0005-0000-0000-0000CF1B0000}"/>
    <cellStyle name="Normal 5 7 4 2 2 2" xfId="16721" xr:uid="{6BA23744-EB35-4328-9410-D00EB7EEEA35}"/>
    <cellStyle name="Normal 5 7 4 2 3" xfId="12508" xr:uid="{DABC6E10-C507-4C9B-A6DF-D7128CEC856E}"/>
    <cellStyle name="Normal 5 7 4 3" xfId="6081" xr:uid="{00000000-0005-0000-0000-0000D01B0000}"/>
    <cellStyle name="Normal 5 7 4 3 2" xfId="14576" xr:uid="{EEA117F1-F534-41C9-B3CE-721AA18E7049}"/>
    <cellStyle name="Normal 5 7 4 4" xfId="10363" xr:uid="{B9C9997B-7FEF-40C2-BD88-1161051EFB2B}"/>
    <cellStyle name="Normal 5 7 5" xfId="2188" xr:uid="{00000000-0005-0000-0000-0000D11B0000}"/>
    <cellStyle name="Normal 5 7 5 2" xfId="4417" xr:uid="{00000000-0005-0000-0000-0000D21B0000}"/>
    <cellStyle name="Normal 5 7 5 2 2" xfId="8639" xr:uid="{00000000-0005-0000-0000-0000D31B0000}"/>
    <cellStyle name="Normal 5 7 5 2 2 2" xfId="17134" xr:uid="{0AFFC98F-ADF8-45D1-8042-CD12E536103B}"/>
    <cellStyle name="Normal 5 7 5 2 3" xfId="12921" xr:uid="{3A009ABB-425A-43AB-8D3E-7E3262AA4FF2}"/>
    <cellStyle name="Normal 5 7 5 3" xfId="6494" xr:uid="{00000000-0005-0000-0000-0000D41B0000}"/>
    <cellStyle name="Normal 5 7 5 3 2" xfId="14989" xr:uid="{8E079A0A-08CA-4914-A56D-3C7A17CAC65F}"/>
    <cellStyle name="Normal 5 7 5 4" xfId="10776" xr:uid="{6358A895-A433-48AE-8827-BA761E144416}"/>
    <cellStyle name="Normal 5 7 6" xfId="2624" xr:uid="{00000000-0005-0000-0000-0000D51B0000}"/>
    <cellStyle name="Normal 5 7 6 2" xfId="6907" xr:uid="{00000000-0005-0000-0000-0000D61B0000}"/>
    <cellStyle name="Normal 5 7 6 2 2" xfId="15402" xr:uid="{52BC4EF8-AAD0-43D5-AB68-2518BABAE4FB}"/>
    <cellStyle name="Normal 5 7 6 3" xfId="11189" xr:uid="{2193637C-8400-4E98-B86A-41269FA292DF}"/>
    <cellStyle name="Normal 5 7 7" xfId="4842" xr:uid="{00000000-0005-0000-0000-0000D71B0000}"/>
    <cellStyle name="Normal 5 7 7 2" xfId="13337" xr:uid="{7350D181-164C-416C-8BA2-44B180C1A07E}"/>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2 2 2" xfId="15832" xr:uid="{603D17ED-5ACE-4409-BE9B-5FF28BA3D7EB}"/>
    <cellStyle name="Normal 5 8 2 3" xfId="11619" xr:uid="{936EDE85-EAB4-4D16-B1C7-E31D514EA8F7}"/>
    <cellStyle name="Normal 5 8 3" xfId="5192" xr:uid="{00000000-0005-0000-0000-0000DB1B0000}"/>
    <cellStyle name="Normal 5 8 3 2" xfId="13687" xr:uid="{EA8BE915-B64C-4E15-B3AE-733F2C73C86F}"/>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2 2 2" xfId="16245" xr:uid="{4EFFEF5A-8238-4DF0-B81B-E906A7890061}"/>
    <cellStyle name="Normal 5 9 2 3" xfId="12032" xr:uid="{D1A7CBF2-4A63-4F5A-B021-27DD8BEC3764}"/>
    <cellStyle name="Normal 5 9 3" xfId="5605" xr:uid="{00000000-0005-0000-0000-0000DF1B0000}"/>
    <cellStyle name="Normal 5 9 3 2" xfId="14100" xr:uid="{2B9EC163-368D-4CE8-8ACB-78A3D0303527}"/>
    <cellStyle name="Normal 5 9 4" xfId="9887" xr:uid="{AEDCAF5A-1E1B-493A-8B25-04382C125A9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135" xr:uid="{EC546342-BA34-4AA4-808B-886411419227}"/>
    <cellStyle name="Normal 8 10 2 3" xfId="12922" xr:uid="{EDF39150-EED6-41FA-B56D-670900FE2869}"/>
    <cellStyle name="Normal 8 10 3" xfId="6495" xr:uid="{00000000-0005-0000-0000-0000EB1B0000}"/>
    <cellStyle name="Normal 8 10 3 2" xfId="14990" xr:uid="{E8EF228C-3C4F-4D8D-8843-B3120D3BC4A6}"/>
    <cellStyle name="Normal 8 10 4" xfId="10777" xr:uid="{93AE4C0A-0254-4E7D-8A07-C113F38EE342}"/>
    <cellStyle name="Normal 8 11" xfId="2625" xr:uid="{00000000-0005-0000-0000-0000EC1B0000}"/>
    <cellStyle name="Normal 8 11 2" xfId="6908" xr:uid="{00000000-0005-0000-0000-0000ED1B0000}"/>
    <cellStyle name="Normal 8 11 2 2" xfId="15403" xr:uid="{5E38E657-7B10-431C-8494-CD6F4064F678}"/>
    <cellStyle name="Normal 8 11 3" xfId="11190" xr:uid="{A93BBFE6-8E51-48B2-8A2E-AA9258269733}"/>
    <cellStyle name="Normal 8 12" xfId="4843" xr:uid="{00000000-0005-0000-0000-0000EE1B0000}"/>
    <cellStyle name="Normal 8 12 2" xfId="13338" xr:uid="{10B23476-5FB9-4D32-89B4-70967B5E49A6}"/>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0 2 2" xfId="15404" xr:uid="{CB7CD65B-51D1-42F6-BDA7-91C35330DEBD}"/>
    <cellStyle name="Normal 8 2 10 3" xfId="11191" xr:uid="{4C47DE1F-F1B8-4E13-B606-0B0CA8DEE2CD}"/>
    <cellStyle name="Normal 8 2 11" xfId="4844" xr:uid="{00000000-0005-0000-0000-0000F21B0000}"/>
    <cellStyle name="Normal 8 2 11 2" xfId="13339" xr:uid="{4A6AD0E2-00BF-4BE7-949F-77E5FC7D7994}"/>
    <cellStyle name="Normal 8 2 12" xfId="8751" xr:uid="{476D0553-3387-4D9F-B05B-56EC7A36F7A1}"/>
    <cellStyle name="Normal 8 2 2" xfId="480" xr:uid="{00000000-0005-0000-0000-0000F31B0000}"/>
    <cellStyle name="Normal 8 2 2 10" xfId="4845" xr:uid="{00000000-0005-0000-0000-0000F41B0000}"/>
    <cellStyle name="Normal 8 2 2 10 2" xfId="13340" xr:uid="{2708E3AA-DD4B-41ED-B58D-8D005FC77F53}"/>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5901" xr:uid="{4BCEE73E-E4B5-4FA8-A28A-015082DD14EB}"/>
    <cellStyle name="Normal 8 2 2 2 2 2 2 2 3" xfId="11688" xr:uid="{838D99FC-F0F3-4CBF-B5E1-CE30CC9A612E}"/>
    <cellStyle name="Normal 8 2 2 2 2 2 2 3" xfId="5261" xr:uid="{00000000-0005-0000-0000-0000FB1B0000}"/>
    <cellStyle name="Normal 8 2 2 2 2 2 2 3 2" xfId="13756" xr:uid="{FFDC2455-9644-4CFE-87AE-8E6DA2B88891}"/>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6314" xr:uid="{933F1B67-68A6-4F46-97C6-760B2A306123}"/>
    <cellStyle name="Normal 8 2 2 2 2 2 3 2 3" xfId="12101" xr:uid="{0B780DC8-0F5B-4287-B0BB-F167ED56337B}"/>
    <cellStyle name="Normal 8 2 2 2 2 2 3 3" xfId="5674" xr:uid="{00000000-0005-0000-0000-0000FF1B0000}"/>
    <cellStyle name="Normal 8 2 2 2 2 2 3 3 2" xfId="14169" xr:uid="{A67ED79C-C340-48CA-B098-FD60C3F76A6A}"/>
    <cellStyle name="Normal 8 2 2 2 2 2 3 4" xfId="9956" xr:uid="{3D76657B-006B-4623-99DE-0C5A5D445A53}"/>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6727" xr:uid="{D6C68AB7-EAE8-4B93-9CAA-11336BE2E523}"/>
    <cellStyle name="Normal 8 2 2 2 2 2 4 2 3" xfId="12514" xr:uid="{40F46320-1756-4940-900C-2710E4E57CBE}"/>
    <cellStyle name="Normal 8 2 2 2 2 2 4 3" xfId="6087" xr:uid="{00000000-0005-0000-0000-0000031C0000}"/>
    <cellStyle name="Normal 8 2 2 2 2 2 4 3 2" xfId="14582" xr:uid="{F1997A61-DBE9-4937-BAED-576E68ACD4EB}"/>
    <cellStyle name="Normal 8 2 2 2 2 2 4 4" xfId="10369" xr:uid="{FCA2F9D1-A5E8-43D6-956E-468156730DD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140" xr:uid="{D601EE00-A75C-41DF-9BB6-CC0AC210D6FD}"/>
    <cellStyle name="Normal 8 2 2 2 2 2 5 2 3" xfId="12927" xr:uid="{AFED5456-3AC0-4193-BAE6-EF0D94AC6CE7}"/>
    <cellStyle name="Normal 8 2 2 2 2 2 5 3" xfId="6500" xr:uid="{00000000-0005-0000-0000-0000071C0000}"/>
    <cellStyle name="Normal 8 2 2 2 2 2 5 3 2" xfId="14995" xr:uid="{59628939-A378-4155-B2A3-1846AE40B2E7}"/>
    <cellStyle name="Normal 8 2 2 2 2 2 5 4" xfId="10782" xr:uid="{EB4D7703-305F-428D-8D60-5B7F0631DE8F}"/>
    <cellStyle name="Normal 8 2 2 2 2 2 6" xfId="2630" xr:uid="{00000000-0005-0000-0000-0000081C0000}"/>
    <cellStyle name="Normal 8 2 2 2 2 2 6 2" xfId="6913" xr:uid="{00000000-0005-0000-0000-0000091C0000}"/>
    <cellStyle name="Normal 8 2 2 2 2 2 6 2 2" xfId="15408" xr:uid="{560F5A07-0BA0-491E-8437-D3602389B235}"/>
    <cellStyle name="Normal 8 2 2 2 2 2 6 3" xfId="11195" xr:uid="{C457E301-12E0-4B80-A247-001F078A5C5A}"/>
    <cellStyle name="Normal 8 2 2 2 2 2 7" xfId="4848" xr:uid="{00000000-0005-0000-0000-00000A1C0000}"/>
    <cellStyle name="Normal 8 2 2 2 2 2 7 2" xfId="13343" xr:uid="{0DF2E406-B334-40B1-8625-79AB113EA8D3}"/>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5900" xr:uid="{202093BF-A108-4068-A655-D4BAEC63FBC4}"/>
    <cellStyle name="Normal 8 2 2 2 2 3 2 3" xfId="11687" xr:uid="{419DA671-1F66-42FA-A57E-92816ACF401C}"/>
    <cellStyle name="Normal 8 2 2 2 2 3 3" xfId="5260" xr:uid="{00000000-0005-0000-0000-00000E1C0000}"/>
    <cellStyle name="Normal 8 2 2 2 2 3 3 2" xfId="13755" xr:uid="{D018E117-8017-4C03-9B3F-B54047E87F21}"/>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6313" xr:uid="{8338B539-820E-4A2B-9897-5B9D9D76394E}"/>
    <cellStyle name="Normal 8 2 2 2 2 4 2 3" xfId="12100" xr:uid="{A3D8FA29-EE5D-46F3-A05F-51EC01C7FACC}"/>
    <cellStyle name="Normal 8 2 2 2 2 4 3" xfId="5673" xr:uid="{00000000-0005-0000-0000-0000121C0000}"/>
    <cellStyle name="Normal 8 2 2 2 2 4 3 2" xfId="14168" xr:uid="{3756E472-ACF5-4D96-BB23-385BEDA54992}"/>
    <cellStyle name="Normal 8 2 2 2 2 4 4" xfId="9955" xr:uid="{1A036889-BA43-460F-B62B-78AECF791A79}"/>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6726" xr:uid="{AC0DE233-6501-4654-9245-BA9D4A06B7CA}"/>
    <cellStyle name="Normal 8 2 2 2 2 5 2 3" xfId="12513" xr:uid="{52AD3D6B-E636-437A-8181-7ECC26BA9A98}"/>
    <cellStyle name="Normal 8 2 2 2 2 5 3" xfId="6086" xr:uid="{00000000-0005-0000-0000-0000161C0000}"/>
    <cellStyle name="Normal 8 2 2 2 2 5 3 2" xfId="14581" xr:uid="{14E75E79-1270-423C-862E-BB2232B1174D}"/>
    <cellStyle name="Normal 8 2 2 2 2 5 4" xfId="10368" xr:uid="{1F6007F1-5946-4867-8732-6B0F5E0E2718}"/>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139" xr:uid="{11B4A0E0-2225-4981-8C3E-EA81F23D07DC}"/>
    <cellStyle name="Normal 8 2 2 2 2 6 2 3" xfId="12926" xr:uid="{A65120B9-0CD0-4FED-B6DD-5A2DDBDC298C}"/>
    <cellStyle name="Normal 8 2 2 2 2 6 3" xfId="6499" xr:uid="{00000000-0005-0000-0000-00001A1C0000}"/>
    <cellStyle name="Normal 8 2 2 2 2 6 3 2" xfId="14994" xr:uid="{40FA6D48-08B4-4807-8839-0A9AFFE82BE8}"/>
    <cellStyle name="Normal 8 2 2 2 2 6 4" xfId="10781" xr:uid="{EC7A8326-22F0-4829-B6F4-A66958B87EB0}"/>
    <cellStyle name="Normal 8 2 2 2 2 7" xfId="2629" xr:uid="{00000000-0005-0000-0000-00001B1C0000}"/>
    <cellStyle name="Normal 8 2 2 2 2 7 2" xfId="6912" xr:uid="{00000000-0005-0000-0000-00001C1C0000}"/>
    <cellStyle name="Normal 8 2 2 2 2 7 2 2" xfId="15407" xr:uid="{43F649D8-51A9-4EAE-9DAB-BEDFD893C821}"/>
    <cellStyle name="Normal 8 2 2 2 2 7 3" xfId="11194" xr:uid="{5DD23D98-9E74-44D9-AFC4-407EB87CBDCA}"/>
    <cellStyle name="Normal 8 2 2 2 2 8" xfId="4847" xr:uid="{00000000-0005-0000-0000-00001D1C0000}"/>
    <cellStyle name="Normal 8 2 2 2 2 8 2" xfId="13342" xr:uid="{50556693-00F5-4066-83A8-E48CF007145D}"/>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5902" xr:uid="{E40C9552-A9BB-4278-81EE-D8BA2008352E}"/>
    <cellStyle name="Normal 8 2 2 2 3 2 2 3" xfId="11689" xr:uid="{9FC38F8A-31E8-4BF5-A24E-D84E9F561C22}"/>
    <cellStyle name="Normal 8 2 2 2 3 2 3" xfId="5262" xr:uid="{00000000-0005-0000-0000-0000221C0000}"/>
    <cellStyle name="Normal 8 2 2 2 3 2 3 2" xfId="13757" xr:uid="{0278164F-4A1A-4DEE-B65A-02222087F311}"/>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6315" xr:uid="{158E350D-F6A8-4CE4-A403-F5425FA00522}"/>
    <cellStyle name="Normal 8 2 2 2 3 3 2 3" xfId="12102" xr:uid="{339D0974-E35B-4DC0-AA20-15E402D7A1CC}"/>
    <cellStyle name="Normal 8 2 2 2 3 3 3" xfId="5675" xr:uid="{00000000-0005-0000-0000-0000261C0000}"/>
    <cellStyle name="Normal 8 2 2 2 3 3 3 2" xfId="14170" xr:uid="{FD81725C-FA33-45E5-905E-F2CB5FC4C8EC}"/>
    <cellStyle name="Normal 8 2 2 2 3 3 4" xfId="9957" xr:uid="{3721A969-76CC-48EC-8E8A-FA17172F6A85}"/>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6728" xr:uid="{B18CE363-9C37-4003-A46A-8141EF767303}"/>
    <cellStyle name="Normal 8 2 2 2 3 4 2 3" xfId="12515" xr:uid="{9F0F2618-6CBC-431D-8506-61C44C046EFE}"/>
    <cellStyle name="Normal 8 2 2 2 3 4 3" xfId="6088" xr:uid="{00000000-0005-0000-0000-00002A1C0000}"/>
    <cellStyle name="Normal 8 2 2 2 3 4 3 2" xfId="14583" xr:uid="{1BD27BC7-D7D7-4A19-A350-67110AFFD90A}"/>
    <cellStyle name="Normal 8 2 2 2 3 4 4" xfId="10370" xr:uid="{9EDA702B-8318-4ED7-A626-F359142ADE8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141" xr:uid="{6A004FD5-4B89-49C5-A42A-1F52985C9CD1}"/>
    <cellStyle name="Normal 8 2 2 2 3 5 2 3" xfId="12928" xr:uid="{EDDF6EDF-2DA1-47BF-BEED-A37A309DF2EE}"/>
    <cellStyle name="Normal 8 2 2 2 3 5 3" xfId="6501" xr:uid="{00000000-0005-0000-0000-00002E1C0000}"/>
    <cellStyle name="Normal 8 2 2 2 3 5 3 2" xfId="14996" xr:uid="{FBF1FC66-E623-4D9B-9F19-FA50CE48AB0D}"/>
    <cellStyle name="Normal 8 2 2 2 3 5 4" xfId="10783" xr:uid="{33713F0A-408A-4034-ABF7-EFEBCFDB0767}"/>
    <cellStyle name="Normal 8 2 2 2 3 6" xfId="2631" xr:uid="{00000000-0005-0000-0000-00002F1C0000}"/>
    <cellStyle name="Normal 8 2 2 2 3 6 2" xfId="6914" xr:uid="{00000000-0005-0000-0000-0000301C0000}"/>
    <cellStyle name="Normal 8 2 2 2 3 6 2 2" xfId="15409" xr:uid="{0D70092C-4C5B-4D74-8143-FCA9BEF2DEED}"/>
    <cellStyle name="Normal 8 2 2 2 3 6 3" xfId="11196" xr:uid="{40A4C947-E876-4E32-A322-85896A9C551B}"/>
    <cellStyle name="Normal 8 2 2 2 3 7" xfId="4849" xr:uid="{00000000-0005-0000-0000-0000311C0000}"/>
    <cellStyle name="Normal 8 2 2 2 3 7 2" xfId="13344" xr:uid="{F351D164-DE55-4B71-8A37-F01CC3E5AD19}"/>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5899" xr:uid="{3F16082F-0622-464E-B3A6-4511EC0E6151}"/>
    <cellStyle name="Normal 8 2 2 2 4 2 3" xfId="11686" xr:uid="{6AAAA4BA-FAA1-4AEB-B1CE-EF27890EEA4C}"/>
    <cellStyle name="Normal 8 2 2 2 4 3" xfId="5259" xr:uid="{00000000-0005-0000-0000-0000351C0000}"/>
    <cellStyle name="Normal 8 2 2 2 4 3 2" xfId="13754" xr:uid="{60805AA7-228B-401E-AE25-CA343D6705E5}"/>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6312" xr:uid="{35DFA515-A4FF-42E5-A764-9FCC4D63EFBE}"/>
    <cellStyle name="Normal 8 2 2 2 5 2 3" xfId="12099" xr:uid="{50F2082B-351B-492A-B56C-77C8DB63781C}"/>
    <cellStyle name="Normal 8 2 2 2 5 3" xfId="5672" xr:uid="{00000000-0005-0000-0000-0000391C0000}"/>
    <cellStyle name="Normal 8 2 2 2 5 3 2" xfId="14167" xr:uid="{046B095C-A7D7-41AD-870D-38890D7C8054}"/>
    <cellStyle name="Normal 8 2 2 2 5 4" xfId="9954" xr:uid="{75E9DF38-C254-44AB-BA65-B39B557051DF}"/>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6725" xr:uid="{846849F2-2D33-4C5C-8B19-7DE6B43D13D7}"/>
    <cellStyle name="Normal 8 2 2 2 6 2 3" xfId="12512" xr:uid="{88ECE360-5ABE-4C58-8AF0-45F283097306}"/>
    <cellStyle name="Normal 8 2 2 2 6 3" xfId="6085" xr:uid="{00000000-0005-0000-0000-00003D1C0000}"/>
    <cellStyle name="Normal 8 2 2 2 6 3 2" xfId="14580" xr:uid="{89451D5C-F190-45C9-9BEA-901DDDE08076}"/>
    <cellStyle name="Normal 8 2 2 2 6 4" xfId="10367" xr:uid="{61BC6B63-DE17-4E3D-A073-D5DA990DDD37}"/>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138" xr:uid="{A212C354-05FA-4322-B39D-C85BD867BBA6}"/>
    <cellStyle name="Normal 8 2 2 2 7 2 3" xfId="12925" xr:uid="{1A0829F5-3AB6-4C50-A5ED-85465CE4F11B}"/>
    <cellStyle name="Normal 8 2 2 2 7 3" xfId="6498" xr:uid="{00000000-0005-0000-0000-0000411C0000}"/>
    <cellStyle name="Normal 8 2 2 2 7 3 2" xfId="14993" xr:uid="{845AD39E-0261-49FB-A481-134BF61DF06F}"/>
    <cellStyle name="Normal 8 2 2 2 7 4" xfId="10780" xr:uid="{893D766F-A6D3-4F5B-853C-A276933E6FC1}"/>
    <cellStyle name="Normal 8 2 2 2 8" xfId="2628" xr:uid="{00000000-0005-0000-0000-0000421C0000}"/>
    <cellStyle name="Normal 8 2 2 2 8 2" xfId="6911" xr:uid="{00000000-0005-0000-0000-0000431C0000}"/>
    <cellStyle name="Normal 8 2 2 2 8 2 2" xfId="15406" xr:uid="{404F9ECC-F0F3-4E17-9BBF-A84D038E3ADB}"/>
    <cellStyle name="Normal 8 2 2 2 8 3" xfId="11193" xr:uid="{7C67EA50-E3BC-4E47-89C2-EFBB5EE21A6D}"/>
    <cellStyle name="Normal 8 2 2 2 9" xfId="4846" xr:uid="{00000000-0005-0000-0000-0000441C0000}"/>
    <cellStyle name="Normal 8 2 2 2 9 2" xfId="13341" xr:uid="{BCE7DC24-22D7-4594-B638-751ACFC1AD18}"/>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5904" xr:uid="{0728180A-6405-4653-8177-CAE8C1966DA0}"/>
    <cellStyle name="Normal 8 2 2 3 2 2 2 3" xfId="11691" xr:uid="{12D8BE56-B2D4-40BA-9528-3EE257E619A3}"/>
    <cellStyle name="Normal 8 2 2 3 2 2 3" xfId="5264" xr:uid="{00000000-0005-0000-0000-00004A1C0000}"/>
    <cellStyle name="Normal 8 2 2 3 2 2 3 2" xfId="13759" xr:uid="{0A59803F-CC97-4D43-9470-723932605C1B}"/>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6317" xr:uid="{DDE41E14-65B0-4F11-A99D-342139D776E8}"/>
    <cellStyle name="Normal 8 2 2 3 2 3 2 3" xfId="12104" xr:uid="{A47A84B0-29D5-405C-ACF9-EB767E714AB8}"/>
    <cellStyle name="Normal 8 2 2 3 2 3 3" xfId="5677" xr:uid="{00000000-0005-0000-0000-00004E1C0000}"/>
    <cellStyle name="Normal 8 2 2 3 2 3 3 2" xfId="14172" xr:uid="{7F68B1D4-D450-4AF2-80CE-BA0E18D221B2}"/>
    <cellStyle name="Normal 8 2 2 3 2 3 4" xfId="9959" xr:uid="{CB78DCD4-5414-4B23-BD8D-7C9A6CBDC82A}"/>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6730" xr:uid="{296E94E9-21A5-4233-9F48-9EE55936D713}"/>
    <cellStyle name="Normal 8 2 2 3 2 4 2 3" xfId="12517" xr:uid="{98D7A6CD-991A-4ADD-9F65-7181EBBBF4B2}"/>
    <cellStyle name="Normal 8 2 2 3 2 4 3" xfId="6090" xr:uid="{00000000-0005-0000-0000-0000521C0000}"/>
    <cellStyle name="Normal 8 2 2 3 2 4 3 2" xfId="14585" xr:uid="{1F5690E2-B9DD-4FCF-9E17-49D546FC7FE4}"/>
    <cellStyle name="Normal 8 2 2 3 2 4 4" xfId="10372" xr:uid="{4EADE25A-2317-43B3-8B57-2841B43121F1}"/>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143" xr:uid="{5182B102-0ACD-471D-8BB9-D25B9057ABE0}"/>
    <cellStyle name="Normal 8 2 2 3 2 5 2 3" xfId="12930" xr:uid="{07520000-023A-4B65-AF0E-A26FAC3DDDAB}"/>
    <cellStyle name="Normal 8 2 2 3 2 5 3" xfId="6503" xr:uid="{00000000-0005-0000-0000-0000561C0000}"/>
    <cellStyle name="Normal 8 2 2 3 2 5 3 2" xfId="14998" xr:uid="{3108F392-1066-4ED1-9C6D-97F030A8426B}"/>
    <cellStyle name="Normal 8 2 2 3 2 5 4" xfId="10785" xr:uid="{70D8788C-5D82-4F36-ADA1-F931ACE7ADEB}"/>
    <cellStyle name="Normal 8 2 2 3 2 6" xfId="2633" xr:uid="{00000000-0005-0000-0000-0000571C0000}"/>
    <cellStyle name="Normal 8 2 2 3 2 6 2" xfId="6916" xr:uid="{00000000-0005-0000-0000-0000581C0000}"/>
    <cellStyle name="Normal 8 2 2 3 2 6 2 2" xfId="15411" xr:uid="{A6B060B0-BB9B-468C-B9CE-46DD7F40D92B}"/>
    <cellStyle name="Normal 8 2 2 3 2 6 3" xfId="11198" xr:uid="{D892A7F3-C8A6-43C0-9D8F-80CAE5423EDF}"/>
    <cellStyle name="Normal 8 2 2 3 2 7" xfId="4851" xr:uid="{00000000-0005-0000-0000-0000591C0000}"/>
    <cellStyle name="Normal 8 2 2 3 2 7 2" xfId="13346" xr:uid="{46EACC3E-48F6-4641-B0C3-BC46020EF81E}"/>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5903" xr:uid="{CAE6A932-38AD-427E-A775-DDAE5DC74070}"/>
    <cellStyle name="Normal 8 2 2 3 3 2 3" xfId="11690" xr:uid="{2170E996-F7E1-4A07-9142-53C6A9032FBF}"/>
    <cellStyle name="Normal 8 2 2 3 3 3" xfId="5263" xr:uid="{00000000-0005-0000-0000-00005D1C0000}"/>
    <cellStyle name="Normal 8 2 2 3 3 3 2" xfId="13758" xr:uid="{2538C123-8815-4EB4-9871-2990562758B9}"/>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6316" xr:uid="{FAF73D84-E7FC-4B5D-ABF2-64DA8ADEC9F6}"/>
    <cellStyle name="Normal 8 2 2 3 4 2 3" xfId="12103" xr:uid="{3EA46C5B-024F-4401-9B13-8F51BF81A0E9}"/>
    <cellStyle name="Normal 8 2 2 3 4 3" xfId="5676" xr:uid="{00000000-0005-0000-0000-0000611C0000}"/>
    <cellStyle name="Normal 8 2 2 3 4 3 2" xfId="14171" xr:uid="{1076BA66-5364-44EF-9CE9-B9A92C0D8E6B}"/>
    <cellStyle name="Normal 8 2 2 3 4 4" xfId="9958" xr:uid="{0EC8D9D3-DA77-4D33-839E-440D6966A637}"/>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6729" xr:uid="{B9C75CF9-A002-4A93-8D97-A6F6925070FB}"/>
    <cellStyle name="Normal 8 2 2 3 5 2 3" xfId="12516" xr:uid="{391F417F-6DE4-4882-BCF6-01B9F5E619C6}"/>
    <cellStyle name="Normal 8 2 2 3 5 3" xfId="6089" xr:uid="{00000000-0005-0000-0000-0000651C0000}"/>
    <cellStyle name="Normal 8 2 2 3 5 3 2" xfId="14584" xr:uid="{CD3A0D23-4AEC-4BFA-81ED-BE5BB57E7F63}"/>
    <cellStyle name="Normal 8 2 2 3 5 4" xfId="10371" xr:uid="{F5BB94DB-8859-4432-B1DF-7394F1D4E0C3}"/>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142" xr:uid="{CDA7392B-6206-4106-9D09-67DCF375934A}"/>
    <cellStyle name="Normal 8 2 2 3 6 2 3" xfId="12929" xr:uid="{81BE75F7-6B02-4152-B43C-9391DFC82FB1}"/>
    <cellStyle name="Normal 8 2 2 3 6 3" xfId="6502" xr:uid="{00000000-0005-0000-0000-0000691C0000}"/>
    <cellStyle name="Normal 8 2 2 3 6 3 2" xfId="14997" xr:uid="{02E77DBB-AFBF-41B0-BB5B-D74B4FF8BBBC}"/>
    <cellStyle name="Normal 8 2 2 3 6 4" xfId="10784" xr:uid="{51F13EE4-D4FE-421D-B0F3-0B172E181172}"/>
    <cellStyle name="Normal 8 2 2 3 7" xfId="2632" xr:uid="{00000000-0005-0000-0000-00006A1C0000}"/>
    <cellStyle name="Normal 8 2 2 3 7 2" xfId="6915" xr:uid="{00000000-0005-0000-0000-00006B1C0000}"/>
    <cellStyle name="Normal 8 2 2 3 7 2 2" xfId="15410" xr:uid="{4A1D782C-A6EA-40DF-A096-A1307F7EE755}"/>
    <cellStyle name="Normal 8 2 2 3 7 3" xfId="11197" xr:uid="{1C8CA16A-71C7-4573-A5CA-D992283FEFA6}"/>
    <cellStyle name="Normal 8 2 2 3 8" xfId="4850" xr:uid="{00000000-0005-0000-0000-00006C1C0000}"/>
    <cellStyle name="Normal 8 2 2 3 8 2" xfId="13345" xr:uid="{9ECE7131-2297-4A88-8F6C-606D9AEC3C9A}"/>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5905" xr:uid="{8CD8FB94-335B-4C1C-BC64-A0BF68053FD6}"/>
    <cellStyle name="Normal 8 2 2 4 2 2 3" xfId="11692" xr:uid="{B288A85E-3DDA-4FB8-90C2-1F1E0699C3E6}"/>
    <cellStyle name="Normal 8 2 2 4 2 3" xfId="5265" xr:uid="{00000000-0005-0000-0000-0000711C0000}"/>
    <cellStyle name="Normal 8 2 2 4 2 3 2" xfId="13760" xr:uid="{6955A7EF-ECF9-484F-A210-F7AD505A0F16}"/>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6318" xr:uid="{FAD689AC-D811-4F88-8100-3530F5690DFB}"/>
    <cellStyle name="Normal 8 2 2 4 3 2 3" xfId="12105" xr:uid="{DA35938C-2CBB-4D62-A5E7-7FF50169D4B3}"/>
    <cellStyle name="Normal 8 2 2 4 3 3" xfId="5678" xr:uid="{00000000-0005-0000-0000-0000751C0000}"/>
    <cellStyle name="Normal 8 2 2 4 3 3 2" xfId="14173" xr:uid="{EB9641C1-56EC-4369-9336-D91DC913C81C}"/>
    <cellStyle name="Normal 8 2 2 4 3 4" xfId="9960" xr:uid="{C0E3086B-74FC-4363-AFB9-CDDEFE533AE2}"/>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6731" xr:uid="{3936EB28-59CC-4AE5-8FD5-6D18005ABF81}"/>
    <cellStyle name="Normal 8 2 2 4 4 2 3" xfId="12518" xr:uid="{E1176D58-1D85-4F2A-BEB5-7698033862CD}"/>
    <cellStyle name="Normal 8 2 2 4 4 3" xfId="6091" xr:uid="{00000000-0005-0000-0000-0000791C0000}"/>
    <cellStyle name="Normal 8 2 2 4 4 3 2" xfId="14586" xr:uid="{6520B9DA-2D6A-4261-86D0-38A4841E4B3C}"/>
    <cellStyle name="Normal 8 2 2 4 4 4" xfId="10373" xr:uid="{A5C854A7-FE37-4609-91EF-0AD4C466AF30}"/>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144" xr:uid="{BA5BCDBC-A25A-41C3-9DCB-C6B36EF51CA6}"/>
    <cellStyle name="Normal 8 2 2 4 5 2 3" xfId="12931" xr:uid="{4EA5432B-C550-4271-9CC5-6A8BC4DF4574}"/>
    <cellStyle name="Normal 8 2 2 4 5 3" xfId="6504" xr:uid="{00000000-0005-0000-0000-00007D1C0000}"/>
    <cellStyle name="Normal 8 2 2 4 5 3 2" xfId="14999" xr:uid="{98F0BDF9-5822-4408-AA1D-7EC16FA30589}"/>
    <cellStyle name="Normal 8 2 2 4 5 4" xfId="10786" xr:uid="{F106EF78-A857-4625-84DE-977A1BADFE92}"/>
    <cellStyle name="Normal 8 2 2 4 6" xfId="2634" xr:uid="{00000000-0005-0000-0000-00007E1C0000}"/>
    <cellStyle name="Normal 8 2 2 4 6 2" xfId="6917" xr:uid="{00000000-0005-0000-0000-00007F1C0000}"/>
    <cellStyle name="Normal 8 2 2 4 6 2 2" xfId="15412" xr:uid="{123A53EF-D45D-44A0-97C0-F7BC8CE3817B}"/>
    <cellStyle name="Normal 8 2 2 4 6 3" xfId="11199" xr:uid="{6039DEFE-DD66-4E00-9F33-1335987EE229}"/>
    <cellStyle name="Normal 8 2 2 4 7" xfId="4852" xr:uid="{00000000-0005-0000-0000-0000801C0000}"/>
    <cellStyle name="Normal 8 2 2 4 7 2" xfId="13347" xr:uid="{0F4F40F2-6C13-432F-8FDD-C515CCEF42CD}"/>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2 2 2" xfId="15898" xr:uid="{70412B3A-3DE7-449F-90A7-4DD4FD23CD30}"/>
    <cellStyle name="Normal 8 2 2 5 2 3" xfId="11685" xr:uid="{42DACCD6-EBE0-4D25-B18B-6728DE987B89}"/>
    <cellStyle name="Normal 8 2 2 5 3" xfId="5258" xr:uid="{00000000-0005-0000-0000-0000841C0000}"/>
    <cellStyle name="Normal 8 2 2 5 3 2" xfId="13753" xr:uid="{37B89A97-F82C-47EB-A519-90103DB05D6F}"/>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2 2 2" xfId="16311" xr:uid="{4538DEA1-1B2C-4C3C-AECC-06FB8DEED8A9}"/>
    <cellStyle name="Normal 8 2 2 6 2 3" xfId="12098" xr:uid="{EC7C85D9-79CA-4572-9EB8-B57264E1EE49}"/>
    <cellStyle name="Normal 8 2 2 6 3" xfId="5671" xr:uid="{00000000-0005-0000-0000-0000881C0000}"/>
    <cellStyle name="Normal 8 2 2 6 3 2" xfId="14166" xr:uid="{072397CC-C2BC-49B9-828E-43E34516E9B9}"/>
    <cellStyle name="Normal 8 2 2 6 4" xfId="9953" xr:uid="{025F79F7-B5E2-45D8-A3C8-BB4F18CD5DA7}"/>
    <cellStyle name="Normal 8 2 2 7" xfId="1777" xr:uid="{00000000-0005-0000-0000-0000891C0000}"/>
    <cellStyle name="Normal 8 2 2 7 2" xfId="4007" xr:uid="{00000000-0005-0000-0000-00008A1C0000}"/>
    <cellStyle name="Normal 8 2 2 7 2 2" xfId="8229" xr:uid="{00000000-0005-0000-0000-00008B1C0000}"/>
    <cellStyle name="Normal 8 2 2 7 2 2 2" xfId="16724" xr:uid="{2078B3C1-BE86-4370-B45D-2941B4D46CF8}"/>
    <cellStyle name="Normal 8 2 2 7 2 3" xfId="12511" xr:uid="{45152090-046A-47A8-8C57-11C4CCA36CA5}"/>
    <cellStyle name="Normal 8 2 2 7 3" xfId="6084" xr:uid="{00000000-0005-0000-0000-00008C1C0000}"/>
    <cellStyle name="Normal 8 2 2 7 3 2" xfId="14579" xr:uid="{B9EF67E5-A6E1-46F8-8BC5-04B0CC7520C0}"/>
    <cellStyle name="Normal 8 2 2 7 4" xfId="10366" xr:uid="{C3779D3A-6CC3-475E-921B-0F20620E0EAE}"/>
    <cellStyle name="Normal 8 2 2 8" xfId="2191" xr:uid="{00000000-0005-0000-0000-00008D1C0000}"/>
    <cellStyle name="Normal 8 2 2 8 2" xfId="4420" xr:uid="{00000000-0005-0000-0000-00008E1C0000}"/>
    <cellStyle name="Normal 8 2 2 8 2 2" xfId="8642" xr:uid="{00000000-0005-0000-0000-00008F1C0000}"/>
    <cellStyle name="Normal 8 2 2 8 2 2 2" xfId="17137" xr:uid="{5CAA0D2A-32A3-409D-B111-8DD80A45EECF}"/>
    <cellStyle name="Normal 8 2 2 8 2 3" xfId="12924" xr:uid="{4200F060-05B7-4B9E-B5C7-8E79ED4B0049}"/>
    <cellStyle name="Normal 8 2 2 8 3" xfId="6497" xr:uid="{00000000-0005-0000-0000-0000901C0000}"/>
    <cellStyle name="Normal 8 2 2 8 3 2" xfId="14992" xr:uid="{0D225D85-B874-440E-BDAF-F56DC7489A1B}"/>
    <cellStyle name="Normal 8 2 2 8 4" xfId="10779" xr:uid="{9E88C16B-5635-4BAA-AB39-ACE13EA9C862}"/>
    <cellStyle name="Normal 8 2 2 9" xfId="2627" xr:uid="{00000000-0005-0000-0000-0000911C0000}"/>
    <cellStyle name="Normal 8 2 2 9 2" xfId="6910" xr:uid="{00000000-0005-0000-0000-0000921C0000}"/>
    <cellStyle name="Normal 8 2 2 9 2 2" xfId="15405" xr:uid="{E06024F0-0A71-4CDD-8E3F-98FC81DF6D92}"/>
    <cellStyle name="Normal 8 2 2 9 3" xfId="11192" xr:uid="{E5DE1EBB-D0AB-4E5B-9655-5AFB8CE7B809}"/>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5908" xr:uid="{EA807869-3849-480E-B263-4437CA176AEB}"/>
    <cellStyle name="Normal 8 2 3 2 2 2 2 3" xfId="11695" xr:uid="{3018820D-283A-49FA-975C-936146E0AABD}"/>
    <cellStyle name="Normal 8 2 3 2 2 2 3" xfId="5268" xr:uid="{00000000-0005-0000-0000-0000991C0000}"/>
    <cellStyle name="Normal 8 2 3 2 2 2 3 2" xfId="13763" xr:uid="{758ED632-4291-41D9-917F-6A26F57A60AB}"/>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6321" xr:uid="{C7ADCE3C-141E-444A-8685-1E29F5B3DE10}"/>
    <cellStyle name="Normal 8 2 3 2 2 3 2 3" xfId="12108" xr:uid="{BC45A80B-7D9A-4F39-85E1-D9804FE30130}"/>
    <cellStyle name="Normal 8 2 3 2 2 3 3" xfId="5681" xr:uid="{00000000-0005-0000-0000-00009D1C0000}"/>
    <cellStyle name="Normal 8 2 3 2 2 3 3 2" xfId="14176" xr:uid="{284D3197-B02E-4AC9-8126-31C01EC21D7C}"/>
    <cellStyle name="Normal 8 2 3 2 2 3 4" xfId="9963" xr:uid="{894D30FE-D85E-4E26-8573-1EDBBD85DF8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6734" xr:uid="{6DB23E82-A778-43B0-8DEA-4299680C3173}"/>
    <cellStyle name="Normal 8 2 3 2 2 4 2 3" xfId="12521" xr:uid="{7F707D2A-3E86-4BE8-B47E-2AF99722C117}"/>
    <cellStyle name="Normal 8 2 3 2 2 4 3" xfId="6094" xr:uid="{00000000-0005-0000-0000-0000A11C0000}"/>
    <cellStyle name="Normal 8 2 3 2 2 4 3 2" xfId="14589" xr:uid="{0FB594AD-7376-4D27-AA79-475E908F3481}"/>
    <cellStyle name="Normal 8 2 3 2 2 4 4" xfId="10376" xr:uid="{C1556652-2404-478D-8E53-D0940EFA435F}"/>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147" xr:uid="{AB6E788E-E654-4A70-85C7-CCD7460E72D6}"/>
    <cellStyle name="Normal 8 2 3 2 2 5 2 3" xfId="12934" xr:uid="{8E299D9F-3409-46D3-B282-771B2D05BC9F}"/>
    <cellStyle name="Normal 8 2 3 2 2 5 3" xfId="6507" xr:uid="{00000000-0005-0000-0000-0000A51C0000}"/>
    <cellStyle name="Normal 8 2 3 2 2 5 3 2" xfId="15002" xr:uid="{AB97D532-67FB-4386-8968-6C5E7256F40D}"/>
    <cellStyle name="Normal 8 2 3 2 2 5 4" xfId="10789" xr:uid="{C18312E1-6775-4645-AFF1-DF8AF17C7BD8}"/>
    <cellStyle name="Normal 8 2 3 2 2 6" xfId="2637" xr:uid="{00000000-0005-0000-0000-0000A61C0000}"/>
    <cellStyle name="Normal 8 2 3 2 2 6 2" xfId="6920" xr:uid="{00000000-0005-0000-0000-0000A71C0000}"/>
    <cellStyle name="Normal 8 2 3 2 2 6 2 2" xfId="15415" xr:uid="{F79ACA00-556E-4F78-A956-E7364009C671}"/>
    <cellStyle name="Normal 8 2 3 2 2 6 3" xfId="11202" xr:uid="{22EB805A-422C-42F8-B47C-6AF216971CE0}"/>
    <cellStyle name="Normal 8 2 3 2 2 7" xfId="4855" xr:uid="{00000000-0005-0000-0000-0000A81C0000}"/>
    <cellStyle name="Normal 8 2 3 2 2 7 2" xfId="13350" xr:uid="{33BD5AB9-B2FF-4DDB-A40C-DFB982413C46}"/>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5907" xr:uid="{48E089C1-1A56-4A06-BBEF-DBC46EA02F98}"/>
    <cellStyle name="Normal 8 2 3 2 3 2 3" xfId="11694" xr:uid="{B70AE568-3491-4F25-ABB9-2D3DCE87EFF6}"/>
    <cellStyle name="Normal 8 2 3 2 3 3" xfId="5267" xr:uid="{00000000-0005-0000-0000-0000AC1C0000}"/>
    <cellStyle name="Normal 8 2 3 2 3 3 2" xfId="13762" xr:uid="{737DA49C-E582-43C9-BCCD-07AC180BA243}"/>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6320" xr:uid="{C1B3CE87-9CE6-428A-BEE4-944AC3090D9D}"/>
    <cellStyle name="Normal 8 2 3 2 4 2 3" xfId="12107" xr:uid="{24FAE65C-608D-4A92-AD74-58034E530C12}"/>
    <cellStyle name="Normal 8 2 3 2 4 3" xfId="5680" xr:uid="{00000000-0005-0000-0000-0000B01C0000}"/>
    <cellStyle name="Normal 8 2 3 2 4 3 2" xfId="14175" xr:uid="{CB64FCC4-BD42-4999-A61B-CF7F6FC82BD4}"/>
    <cellStyle name="Normal 8 2 3 2 4 4" xfId="9962" xr:uid="{A54471CC-4052-472D-B43E-967CC6A20A4C}"/>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6733" xr:uid="{41BFFEB6-A110-49F7-846C-8AAA0CC0EEDE}"/>
    <cellStyle name="Normal 8 2 3 2 5 2 3" xfId="12520" xr:uid="{D700066F-D1D0-43AC-8E0E-729FE95279D3}"/>
    <cellStyle name="Normal 8 2 3 2 5 3" xfId="6093" xr:uid="{00000000-0005-0000-0000-0000B41C0000}"/>
    <cellStyle name="Normal 8 2 3 2 5 3 2" xfId="14588" xr:uid="{246D1FFB-2EDE-485C-BC88-86D154111C20}"/>
    <cellStyle name="Normal 8 2 3 2 5 4" xfId="10375" xr:uid="{BE2B1F51-79B5-4668-A167-C588DF6BAAE5}"/>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146" xr:uid="{44266F4E-25C5-4114-A2D3-D727F6425C9F}"/>
    <cellStyle name="Normal 8 2 3 2 6 2 3" xfId="12933" xr:uid="{DA00F6AC-2E17-45D8-BFFC-D86A10B289AC}"/>
    <cellStyle name="Normal 8 2 3 2 6 3" xfId="6506" xr:uid="{00000000-0005-0000-0000-0000B81C0000}"/>
    <cellStyle name="Normal 8 2 3 2 6 3 2" xfId="15001" xr:uid="{9D97E486-6AC9-4F0F-BD23-F9B025E28FE4}"/>
    <cellStyle name="Normal 8 2 3 2 6 4" xfId="10788" xr:uid="{1DD5A1E5-33BF-4F3C-8935-C54CAAE41AC7}"/>
    <cellStyle name="Normal 8 2 3 2 7" xfId="2636" xr:uid="{00000000-0005-0000-0000-0000B91C0000}"/>
    <cellStyle name="Normal 8 2 3 2 7 2" xfId="6919" xr:uid="{00000000-0005-0000-0000-0000BA1C0000}"/>
    <cellStyle name="Normal 8 2 3 2 7 2 2" xfId="15414" xr:uid="{B52B1D68-3500-4079-9A02-BC12975F6102}"/>
    <cellStyle name="Normal 8 2 3 2 7 3" xfId="11201" xr:uid="{B3D1829C-FCE5-4475-97F2-12BB891E0DC9}"/>
    <cellStyle name="Normal 8 2 3 2 8" xfId="4854" xr:uid="{00000000-0005-0000-0000-0000BB1C0000}"/>
    <cellStyle name="Normal 8 2 3 2 8 2" xfId="13349" xr:uid="{3118314F-D6FE-4E9A-9F35-C3950DAE72B3}"/>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5909" xr:uid="{CD8ED069-1B64-442D-A465-25630113A097}"/>
    <cellStyle name="Normal 8 2 3 3 2 2 3" xfId="11696" xr:uid="{64137C95-008F-44FB-ADF0-2E42A9722D5C}"/>
    <cellStyle name="Normal 8 2 3 3 2 3" xfId="5269" xr:uid="{00000000-0005-0000-0000-0000C01C0000}"/>
    <cellStyle name="Normal 8 2 3 3 2 3 2" xfId="13764" xr:uid="{DB2D4630-F1FB-4500-A119-8269C88CCC9B}"/>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6322" xr:uid="{8C5F0AB6-A6EF-42F9-9818-E40D8B9CB803}"/>
    <cellStyle name="Normal 8 2 3 3 3 2 3" xfId="12109" xr:uid="{04FC119C-76E5-448C-9D85-1AFA19CE2349}"/>
    <cellStyle name="Normal 8 2 3 3 3 3" xfId="5682" xr:uid="{00000000-0005-0000-0000-0000C41C0000}"/>
    <cellStyle name="Normal 8 2 3 3 3 3 2" xfId="14177" xr:uid="{5FF19EBC-D9A1-42BE-8F82-E38719C5FAAC}"/>
    <cellStyle name="Normal 8 2 3 3 3 4" xfId="9964" xr:uid="{6F312DC2-2E6B-450D-9D92-EF8260E30F4A}"/>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6735" xr:uid="{A9341931-2016-4E47-8A52-00EC755E853D}"/>
    <cellStyle name="Normal 8 2 3 3 4 2 3" xfId="12522" xr:uid="{0D9D7CAA-EAA5-4CD5-83E9-AE36A5B39C21}"/>
    <cellStyle name="Normal 8 2 3 3 4 3" xfId="6095" xr:uid="{00000000-0005-0000-0000-0000C81C0000}"/>
    <cellStyle name="Normal 8 2 3 3 4 3 2" xfId="14590" xr:uid="{96261C86-DB26-4A42-AEF2-B7D1D1BD6743}"/>
    <cellStyle name="Normal 8 2 3 3 4 4" xfId="10377" xr:uid="{525F6D7B-F55F-4828-9567-51FE8D5D39D9}"/>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148" xr:uid="{BA6E5562-BAB1-4B1A-AFFA-CECD52D587B4}"/>
    <cellStyle name="Normal 8 2 3 3 5 2 3" xfId="12935" xr:uid="{000743B5-A505-43E3-8AF5-64A16397438E}"/>
    <cellStyle name="Normal 8 2 3 3 5 3" xfId="6508" xr:uid="{00000000-0005-0000-0000-0000CC1C0000}"/>
    <cellStyle name="Normal 8 2 3 3 5 3 2" xfId="15003" xr:uid="{3E726B6C-C75E-4AFB-8C76-5865DB4F7C37}"/>
    <cellStyle name="Normal 8 2 3 3 5 4" xfId="10790" xr:uid="{96A76AE1-8B77-4F3B-81A5-9121EA861695}"/>
    <cellStyle name="Normal 8 2 3 3 6" xfId="2638" xr:uid="{00000000-0005-0000-0000-0000CD1C0000}"/>
    <cellStyle name="Normal 8 2 3 3 6 2" xfId="6921" xr:uid="{00000000-0005-0000-0000-0000CE1C0000}"/>
    <cellStyle name="Normal 8 2 3 3 6 2 2" xfId="15416" xr:uid="{9F4FD67D-DB38-4E66-A0ED-7010B888F646}"/>
    <cellStyle name="Normal 8 2 3 3 6 3" xfId="11203" xr:uid="{BF7980E8-E42B-4623-8BAF-175DE6D861B9}"/>
    <cellStyle name="Normal 8 2 3 3 7" xfId="4856" xr:uid="{00000000-0005-0000-0000-0000CF1C0000}"/>
    <cellStyle name="Normal 8 2 3 3 7 2" xfId="13351" xr:uid="{0EB834F7-7E0F-4075-9397-5BF721125D76}"/>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2 2 2" xfId="15906" xr:uid="{C104543F-EE74-4799-BED9-88E1C29CC877}"/>
    <cellStyle name="Normal 8 2 3 4 2 3" xfId="11693" xr:uid="{4A086DF8-0D94-4BC3-8A52-28DA44090E79}"/>
    <cellStyle name="Normal 8 2 3 4 3" xfId="5266" xr:uid="{00000000-0005-0000-0000-0000D31C0000}"/>
    <cellStyle name="Normal 8 2 3 4 3 2" xfId="13761" xr:uid="{EE8D71E4-E548-4AE2-996F-C3450A44658B}"/>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2 2 2" xfId="16319" xr:uid="{A3EEA387-2C37-4B77-849E-CF9C23A33932}"/>
    <cellStyle name="Normal 8 2 3 5 2 3" xfId="12106" xr:uid="{A33D744D-D766-4371-BA36-FBDB82934067}"/>
    <cellStyle name="Normal 8 2 3 5 3" xfId="5679" xr:uid="{00000000-0005-0000-0000-0000D71C0000}"/>
    <cellStyle name="Normal 8 2 3 5 3 2" xfId="14174" xr:uid="{BC0FD27B-5176-4352-97A1-D0088916E192}"/>
    <cellStyle name="Normal 8 2 3 5 4" xfId="9961" xr:uid="{3F06D975-F6F4-46D2-84E1-C6A52CD83576}"/>
    <cellStyle name="Normal 8 2 3 6" xfId="1785" xr:uid="{00000000-0005-0000-0000-0000D81C0000}"/>
    <cellStyle name="Normal 8 2 3 6 2" xfId="4015" xr:uid="{00000000-0005-0000-0000-0000D91C0000}"/>
    <cellStyle name="Normal 8 2 3 6 2 2" xfId="8237" xr:uid="{00000000-0005-0000-0000-0000DA1C0000}"/>
    <cellStyle name="Normal 8 2 3 6 2 2 2" xfId="16732" xr:uid="{95D2CFB3-2134-479B-9DD3-353E4B1A3B5C}"/>
    <cellStyle name="Normal 8 2 3 6 2 3" xfId="12519" xr:uid="{9AA08C08-56E5-4AC0-9EEA-D7BE55E915E0}"/>
    <cellStyle name="Normal 8 2 3 6 3" xfId="6092" xr:uid="{00000000-0005-0000-0000-0000DB1C0000}"/>
    <cellStyle name="Normal 8 2 3 6 3 2" xfId="14587" xr:uid="{A426FFFA-9370-496D-8E57-0083EFDE213B}"/>
    <cellStyle name="Normal 8 2 3 6 4" xfId="10374" xr:uid="{E0B017AF-12F9-4C64-A703-2F1481FDFB74}"/>
    <cellStyle name="Normal 8 2 3 7" xfId="2199" xr:uid="{00000000-0005-0000-0000-0000DC1C0000}"/>
    <cellStyle name="Normal 8 2 3 7 2" xfId="4428" xr:uid="{00000000-0005-0000-0000-0000DD1C0000}"/>
    <cellStyle name="Normal 8 2 3 7 2 2" xfId="8650" xr:uid="{00000000-0005-0000-0000-0000DE1C0000}"/>
    <cellStyle name="Normal 8 2 3 7 2 2 2" xfId="17145" xr:uid="{EC3377E8-00D3-43EE-9B15-3D58A2776757}"/>
    <cellStyle name="Normal 8 2 3 7 2 3" xfId="12932" xr:uid="{FA273534-F1E6-4A7F-81BC-3AD4CB625F0C}"/>
    <cellStyle name="Normal 8 2 3 7 3" xfId="6505" xr:uid="{00000000-0005-0000-0000-0000DF1C0000}"/>
    <cellStyle name="Normal 8 2 3 7 3 2" xfId="15000" xr:uid="{6D8335BE-AF8D-4A07-80C1-5970C1365555}"/>
    <cellStyle name="Normal 8 2 3 7 4" xfId="10787" xr:uid="{C10D1D37-B362-42EB-A996-D5792682D2E7}"/>
    <cellStyle name="Normal 8 2 3 8" xfId="2635" xr:uid="{00000000-0005-0000-0000-0000E01C0000}"/>
    <cellStyle name="Normal 8 2 3 8 2" xfId="6918" xr:uid="{00000000-0005-0000-0000-0000E11C0000}"/>
    <cellStyle name="Normal 8 2 3 8 2 2" xfId="15413" xr:uid="{DFFE5CFF-EF03-402F-8F78-83638DA0E801}"/>
    <cellStyle name="Normal 8 2 3 8 3" xfId="11200" xr:uid="{AA43341D-04D9-4048-9667-21D5B786BD8D}"/>
    <cellStyle name="Normal 8 2 3 9" xfId="4853" xr:uid="{00000000-0005-0000-0000-0000E21C0000}"/>
    <cellStyle name="Normal 8 2 3 9 2" xfId="13348" xr:uid="{27178D6E-E044-4471-A8D0-B4076B15A451}"/>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5911" xr:uid="{25822CB0-88F8-42EC-9BAA-20241AA13593}"/>
    <cellStyle name="Normal 8 2 4 2 2 2 3" xfId="11698" xr:uid="{396E163C-4F44-426F-BFA8-43709488D735}"/>
    <cellStyle name="Normal 8 2 4 2 2 3" xfId="5271" xr:uid="{00000000-0005-0000-0000-0000E81C0000}"/>
    <cellStyle name="Normal 8 2 4 2 2 3 2" xfId="13766" xr:uid="{C03B5971-25D5-4A55-848A-F88AEC1E75B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6324" xr:uid="{DC17842D-3491-45A2-9F47-AAB456FD15DE}"/>
    <cellStyle name="Normal 8 2 4 2 3 2 3" xfId="12111" xr:uid="{B0BAE353-5D3B-44DA-8415-287D9803102C}"/>
    <cellStyle name="Normal 8 2 4 2 3 3" xfId="5684" xr:uid="{00000000-0005-0000-0000-0000EC1C0000}"/>
    <cellStyle name="Normal 8 2 4 2 3 3 2" xfId="14179" xr:uid="{FE7F086F-91BF-4346-A1DD-FD4AB1C4EBA1}"/>
    <cellStyle name="Normal 8 2 4 2 3 4" xfId="9966" xr:uid="{C1342079-BEE9-4C57-B6AB-334F86EF94BA}"/>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6737" xr:uid="{1A62EEFE-4684-48EB-AC14-CF019FE1D0C3}"/>
    <cellStyle name="Normal 8 2 4 2 4 2 3" xfId="12524" xr:uid="{AB8EE6EE-D5AE-482E-B54E-04740481D8C9}"/>
    <cellStyle name="Normal 8 2 4 2 4 3" xfId="6097" xr:uid="{00000000-0005-0000-0000-0000F01C0000}"/>
    <cellStyle name="Normal 8 2 4 2 4 3 2" xfId="14592" xr:uid="{CE489D59-F9D7-4908-9116-6985F32435F4}"/>
    <cellStyle name="Normal 8 2 4 2 4 4" xfId="10379" xr:uid="{15F9C172-D7DF-4C23-913F-B0427CD6D320}"/>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150" xr:uid="{659430C3-2C51-472E-949B-DBEC4AC3D3CF}"/>
    <cellStyle name="Normal 8 2 4 2 5 2 3" xfId="12937" xr:uid="{0E22163A-BD9F-4FED-A24D-113C47514AD5}"/>
    <cellStyle name="Normal 8 2 4 2 5 3" xfId="6510" xr:uid="{00000000-0005-0000-0000-0000F41C0000}"/>
    <cellStyle name="Normal 8 2 4 2 5 3 2" xfId="15005" xr:uid="{5ABFCC23-B33C-4128-BBAE-966E8F5E80AE}"/>
    <cellStyle name="Normal 8 2 4 2 5 4" xfId="10792" xr:uid="{965E5972-BA25-4B13-AA2A-7B16F6F551F4}"/>
    <cellStyle name="Normal 8 2 4 2 6" xfId="2640" xr:uid="{00000000-0005-0000-0000-0000F51C0000}"/>
    <cellStyle name="Normal 8 2 4 2 6 2" xfId="6923" xr:uid="{00000000-0005-0000-0000-0000F61C0000}"/>
    <cellStyle name="Normal 8 2 4 2 6 2 2" xfId="15418" xr:uid="{6004F013-E332-4811-B856-52FA5AD23861}"/>
    <cellStyle name="Normal 8 2 4 2 6 3" xfId="11205" xr:uid="{B1E9BB9E-1DBC-4986-8FD8-E96FB03A0F26}"/>
    <cellStyle name="Normal 8 2 4 2 7" xfId="4858" xr:uid="{00000000-0005-0000-0000-0000F71C0000}"/>
    <cellStyle name="Normal 8 2 4 2 7 2" xfId="13353" xr:uid="{D550CB62-80BE-4A2F-9794-E07EEB82C61A}"/>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2 2 2" xfId="15910" xr:uid="{8860DF74-890D-4E37-9753-D5F48FE4B595}"/>
    <cellStyle name="Normal 8 2 4 3 2 3" xfId="11697" xr:uid="{00153E48-368E-45AA-BA7E-4A9798F6CB48}"/>
    <cellStyle name="Normal 8 2 4 3 3" xfId="5270" xr:uid="{00000000-0005-0000-0000-0000FB1C0000}"/>
    <cellStyle name="Normal 8 2 4 3 3 2" xfId="13765" xr:uid="{DEAD05A5-7110-4641-9B64-807FA79CED0C}"/>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2 2 2" xfId="16323" xr:uid="{59E364A2-D3D7-4DDC-A8EF-5EAD77099030}"/>
    <cellStyle name="Normal 8 2 4 4 2 3" xfId="12110" xr:uid="{C34EE2B5-3737-4A4A-B671-DA4C7CE659AF}"/>
    <cellStyle name="Normal 8 2 4 4 3" xfId="5683" xr:uid="{00000000-0005-0000-0000-0000FF1C0000}"/>
    <cellStyle name="Normal 8 2 4 4 3 2" xfId="14178" xr:uid="{08D3C49D-B3AF-4163-978A-090993719B44}"/>
    <cellStyle name="Normal 8 2 4 4 4" xfId="9965" xr:uid="{2BE46A4E-1BD2-4A4C-AFF0-F9B276BD2754}"/>
    <cellStyle name="Normal 8 2 4 5" xfId="1789" xr:uid="{00000000-0005-0000-0000-0000001D0000}"/>
    <cellStyle name="Normal 8 2 4 5 2" xfId="4019" xr:uid="{00000000-0005-0000-0000-0000011D0000}"/>
    <cellStyle name="Normal 8 2 4 5 2 2" xfId="8241" xr:uid="{00000000-0005-0000-0000-0000021D0000}"/>
    <cellStyle name="Normal 8 2 4 5 2 2 2" xfId="16736" xr:uid="{4457C455-23A0-496F-B458-9A08EC7D36CF}"/>
    <cellStyle name="Normal 8 2 4 5 2 3" xfId="12523" xr:uid="{568C918D-E3BF-4F82-B0B8-E0FE4A6CC074}"/>
    <cellStyle name="Normal 8 2 4 5 3" xfId="6096" xr:uid="{00000000-0005-0000-0000-0000031D0000}"/>
    <cellStyle name="Normal 8 2 4 5 3 2" xfId="14591" xr:uid="{FF21625A-4248-4D33-8639-81EF67EAA221}"/>
    <cellStyle name="Normal 8 2 4 5 4" xfId="10378" xr:uid="{FD77E013-0AA8-4AC4-875B-854B6E17939D}"/>
    <cellStyle name="Normal 8 2 4 6" xfId="2203" xr:uid="{00000000-0005-0000-0000-0000041D0000}"/>
    <cellStyle name="Normal 8 2 4 6 2" xfId="4432" xr:uid="{00000000-0005-0000-0000-0000051D0000}"/>
    <cellStyle name="Normal 8 2 4 6 2 2" xfId="8654" xr:uid="{00000000-0005-0000-0000-0000061D0000}"/>
    <cellStyle name="Normal 8 2 4 6 2 2 2" xfId="17149" xr:uid="{5A90934D-7E94-4621-94FD-D68ED287B8D9}"/>
    <cellStyle name="Normal 8 2 4 6 2 3" xfId="12936" xr:uid="{BE93442F-3457-44A5-B39D-7CCF01B00411}"/>
    <cellStyle name="Normal 8 2 4 6 3" xfId="6509" xr:uid="{00000000-0005-0000-0000-0000071D0000}"/>
    <cellStyle name="Normal 8 2 4 6 3 2" xfId="15004" xr:uid="{EF92CB64-B2B3-4DDE-B5B4-00D1CAF98DD6}"/>
    <cellStyle name="Normal 8 2 4 6 4" xfId="10791" xr:uid="{DB9D84B3-EF38-41C6-80F5-5A31510AEAC7}"/>
    <cellStyle name="Normal 8 2 4 7" xfId="2639" xr:uid="{00000000-0005-0000-0000-0000081D0000}"/>
    <cellStyle name="Normal 8 2 4 7 2" xfId="6922" xr:uid="{00000000-0005-0000-0000-0000091D0000}"/>
    <cellStyle name="Normal 8 2 4 7 2 2" xfId="15417" xr:uid="{A3533BF6-467B-456E-862B-9FCC12C513A6}"/>
    <cellStyle name="Normal 8 2 4 7 3" xfId="11204" xr:uid="{BB8D413E-41F8-4F2A-9FFF-25469EAAC97B}"/>
    <cellStyle name="Normal 8 2 4 8" xfId="4857" xr:uid="{00000000-0005-0000-0000-00000A1D0000}"/>
    <cellStyle name="Normal 8 2 4 8 2" xfId="13352" xr:uid="{8BD62357-DF7C-4528-9DE1-8E181EF9CE26}"/>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5912" xr:uid="{DCED66E1-14A8-4FE2-BF24-FDCBFBF324B7}"/>
    <cellStyle name="Normal 8 2 5 2 2 3" xfId="11699" xr:uid="{5CA1D3C7-EF91-431C-9B17-0C21410FB52B}"/>
    <cellStyle name="Normal 8 2 5 2 3" xfId="5272" xr:uid="{00000000-0005-0000-0000-00000F1D0000}"/>
    <cellStyle name="Normal 8 2 5 2 3 2" xfId="13767" xr:uid="{5C7FAA7F-F393-4CC9-A03B-DFC86527597D}"/>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2 2 2" xfId="16325" xr:uid="{9D355C9C-7E6C-40F5-A34B-AE95B0DEC0CF}"/>
    <cellStyle name="Normal 8 2 5 3 2 3" xfId="12112" xr:uid="{24C46CC5-B4D7-42B9-BC36-3EEF018126F1}"/>
    <cellStyle name="Normal 8 2 5 3 3" xfId="5685" xr:uid="{00000000-0005-0000-0000-0000131D0000}"/>
    <cellStyle name="Normal 8 2 5 3 3 2" xfId="14180" xr:uid="{0FC4F888-F7F4-4846-9B20-E7B75E13B81C}"/>
    <cellStyle name="Normal 8 2 5 3 4" xfId="9967" xr:uid="{F6E182F7-A10D-4CCB-A7C7-B7BCCB9F12EF}"/>
    <cellStyle name="Normal 8 2 5 4" xfId="1791" xr:uid="{00000000-0005-0000-0000-0000141D0000}"/>
    <cellStyle name="Normal 8 2 5 4 2" xfId="4021" xr:uid="{00000000-0005-0000-0000-0000151D0000}"/>
    <cellStyle name="Normal 8 2 5 4 2 2" xfId="8243" xr:uid="{00000000-0005-0000-0000-0000161D0000}"/>
    <cellStyle name="Normal 8 2 5 4 2 2 2" xfId="16738" xr:uid="{E5E20BC3-866B-467C-A81A-E155E6F29A84}"/>
    <cellStyle name="Normal 8 2 5 4 2 3" xfId="12525" xr:uid="{467E673E-DB22-40F3-A2DE-3032EFA5C472}"/>
    <cellStyle name="Normal 8 2 5 4 3" xfId="6098" xr:uid="{00000000-0005-0000-0000-0000171D0000}"/>
    <cellStyle name="Normal 8 2 5 4 3 2" xfId="14593" xr:uid="{0246C311-EB37-4117-A5D2-6F4FE8D4E7AA}"/>
    <cellStyle name="Normal 8 2 5 4 4" xfId="10380" xr:uid="{9652717C-AB82-47B4-824D-55931F48443A}"/>
    <cellStyle name="Normal 8 2 5 5" xfId="2205" xr:uid="{00000000-0005-0000-0000-0000181D0000}"/>
    <cellStyle name="Normal 8 2 5 5 2" xfId="4434" xr:uid="{00000000-0005-0000-0000-0000191D0000}"/>
    <cellStyle name="Normal 8 2 5 5 2 2" xfId="8656" xr:uid="{00000000-0005-0000-0000-00001A1D0000}"/>
    <cellStyle name="Normal 8 2 5 5 2 2 2" xfId="17151" xr:uid="{F886379B-08C0-497C-82D3-2E200FFBE651}"/>
    <cellStyle name="Normal 8 2 5 5 2 3" xfId="12938" xr:uid="{49307B1B-FB2F-4ED6-8C14-0C01B07DEFE2}"/>
    <cellStyle name="Normal 8 2 5 5 3" xfId="6511" xr:uid="{00000000-0005-0000-0000-00001B1D0000}"/>
    <cellStyle name="Normal 8 2 5 5 3 2" xfId="15006" xr:uid="{D4A0FD58-476B-4F46-9EBA-0FEEBC0EB402}"/>
    <cellStyle name="Normal 8 2 5 5 4" xfId="10793" xr:uid="{D99DA01B-DA3F-43DB-B45B-3AAF6CA86907}"/>
    <cellStyle name="Normal 8 2 5 6" xfId="2641" xr:uid="{00000000-0005-0000-0000-00001C1D0000}"/>
    <cellStyle name="Normal 8 2 5 6 2" xfId="6924" xr:uid="{00000000-0005-0000-0000-00001D1D0000}"/>
    <cellStyle name="Normal 8 2 5 6 2 2" xfId="15419" xr:uid="{00AAAE6B-06DF-4097-96E2-776F754A5190}"/>
    <cellStyle name="Normal 8 2 5 6 3" xfId="11206" xr:uid="{DCE1A8EC-C4E4-4285-998A-D1B6D713EB38}"/>
    <cellStyle name="Normal 8 2 5 7" xfId="4859" xr:uid="{00000000-0005-0000-0000-00001E1D0000}"/>
    <cellStyle name="Normal 8 2 5 7 2" xfId="13354" xr:uid="{E9FE4E61-0C75-4C01-B22A-D17815257F01}"/>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2 2 2" xfId="15897" xr:uid="{002E9ED1-182B-4B58-88A3-71CF4D03BCEB}"/>
    <cellStyle name="Normal 8 2 6 2 3" xfId="11684" xr:uid="{9C749A20-464C-4766-8A6D-C38C58AB6975}"/>
    <cellStyle name="Normal 8 2 6 3" xfId="5257" xr:uid="{00000000-0005-0000-0000-0000221D0000}"/>
    <cellStyle name="Normal 8 2 6 3 2" xfId="13752" xr:uid="{6C1CCCA5-64EC-4153-AA28-6A5DD7CF8F7E}"/>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2 2 2" xfId="16310" xr:uid="{015A0136-7326-4EA0-AD48-107AAABD07FC}"/>
    <cellStyle name="Normal 8 2 7 2 3" xfId="12097" xr:uid="{BA43D11F-36EC-4159-A382-31D95CBA927F}"/>
    <cellStyle name="Normal 8 2 7 3" xfId="5670" xr:uid="{00000000-0005-0000-0000-0000261D0000}"/>
    <cellStyle name="Normal 8 2 7 3 2" xfId="14165" xr:uid="{CDFAB2A6-7D0C-45F6-BE00-018D7E385F24}"/>
    <cellStyle name="Normal 8 2 7 4" xfId="9952" xr:uid="{F6FFD86B-879D-4158-B4F4-136E6121D5AB}"/>
    <cellStyle name="Normal 8 2 8" xfId="1776" xr:uid="{00000000-0005-0000-0000-0000271D0000}"/>
    <cellStyle name="Normal 8 2 8 2" xfId="4006" xr:uid="{00000000-0005-0000-0000-0000281D0000}"/>
    <cellStyle name="Normal 8 2 8 2 2" xfId="8228" xr:uid="{00000000-0005-0000-0000-0000291D0000}"/>
    <cellStyle name="Normal 8 2 8 2 2 2" xfId="16723" xr:uid="{8F472D6F-508F-4F8F-B173-9E722BA2118F}"/>
    <cellStyle name="Normal 8 2 8 2 3" xfId="12510" xr:uid="{6AD202EF-1D0A-42BD-8322-5022E0EF6147}"/>
    <cellStyle name="Normal 8 2 8 3" xfId="6083" xr:uid="{00000000-0005-0000-0000-00002A1D0000}"/>
    <cellStyle name="Normal 8 2 8 3 2" xfId="14578" xr:uid="{5E7B610F-447D-4BA6-84D1-A523EE4005EA}"/>
    <cellStyle name="Normal 8 2 8 4" xfId="10365" xr:uid="{A0E2E4BD-513F-4560-A38A-F0CE5A3DCD05}"/>
    <cellStyle name="Normal 8 2 9" xfId="2190" xr:uid="{00000000-0005-0000-0000-00002B1D0000}"/>
    <cellStyle name="Normal 8 2 9 2" xfId="4419" xr:uid="{00000000-0005-0000-0000-00002C1D0000}"/>
    <cellStyle name="Normal 8 2 9 2 2" xfId="8641" xr:uid="{00000000-0005-0000-0000-00002D1D0000}"/>
    <cellStyle name="Normal 8 2 9 2 2 2" xfId="17136" xr:uid="{CC3A6469-37D9-47DD-8F59-5565D8516FB3}"/>
    <cellStyle name="Normal 8 2 9 2 3" xfId="12923" xr:uid="{97EBB979-B65D-4358-BE40-A245FF0CBCAC}"/>
    <cellStyle name="Normal 8 2 9 3" xfId="6496" xr:uid="{00000000-0005-0000-0000-00002E1D0000}"/>
    <cellStyle name="Normal 8 2 9 3 2" xfId="14991" xr:uid="{7780241D-8B8D-4534-A762-AAF50C9D9985}"/>
    <cellStyle name="Normal 8 2 9 4" xfId="10778" xr:uid="{22AF81E2-F0B7-4479-915E-9F3A17F28852}"/>
    <cellStyle name="Normal 8 3" xfId="495" xr:uid="{00000000-0005-0000-0000-00002F1D0000}"/>
    <cellStyle name="Normal 8 3 10" xfId="4860" xr:uid="{00000000-0005-0000-0000-0000301D0000}"/>
    <cellStyle name="Normal 8 3 10 2" xfId="13355" xr:uid="{36CC4A37-8086-47E9-8C61-A9A76810F646}"/>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5916" xr:uid="{A3CAAA69-BFE2-44F0-8A8A-517CF400A9E6}"/>
    <cellStyle name="Normal 8 3 2 2 2 2 2 3" xfId="11703" xr:uid="{79F62B30-64B8-4DE9-8C9A-3D595A8C328E}"/>
    <cellStyle name="Normal 8 3 2 2 2 2 3" xfId="5276" xr:uid="{00000000-0005-0000-0000-0000371D0000}"/>
    <cellStyle name="Normal 8 3 2 2 2 2 3 2" xfId="13771" xr:uid="{F1455FB3-5247-474C-8F0E-A67E0A82AF46}"/>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6329" xr:uid="{203AE531-4C16-4FBA-96CB-913D1E225F5B}"/>
    <cellStyle name="Normal 8 3 2 2 2 3 2 3" xfId="12116" xr:uid="{9CF0580B-7F89-45FC-A7A2-DD9202218238}"/>
    <cellStyle name="Normal 8 3 2 2 2 3 3" xfId="5689" xr:uid="{00000000-0005-0000-0000-00003B1D0000}"/>
    <cellStyle name="Normal 8 3 2 2 2 3 3 2" xfId="14184" xr:uid="{1B8B1410-B408-44B4-8104-6A4577075788}"/>
    <cellStyle name="Normal 8 3 2 2 2 3 4" xfId="9971" xr:uid="{12225FDA-1687-494D-8CBD-99D6E14B11EB}"/>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6742" xr:uid="{DA6B8A70-725F-4285-A705-0596CE37175B}"/>
    <cellStyle name="Normal 8 3 2 2 2 4 2 3" xfId="12529" xr:uid="{45D3362F-3E43-444A-872E-57D3B52511C0}"/>
    <cellStyle name="Normal 8 3 2 2 2 4 3" xfId="6102" xr:uid="{00000000-0005-0000-0000-00003F1D0000}"/>
    <cellStyle name="Normal 8 3 2 2 2 4 3 2" xfId="14597" xr:uid="{B6790E85-99D7-4948-B188-23C94EB2EBDF}"/>
    <cellStyle name="Normal 8 3 2 2 2 4 4" xfId="10384" xr:uid="{161D903A-2939-419E-803A-20E1ADF1B55F}"/>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155" xr:uid="{3CEE1EFA-E57A-4377-A6FA-AEF61015B546}"/>
    <cellStyle name="Normal 8 3 2 2 2 5 2 3" xfId="12942" xr:uid="{94FDF4BC-056B-459F-87F4-68E40922EE66}"/>
    <cellStyle name="Normal 8 3 2 2 2 5 3" xfId="6515" xr:uid="{00000000-0005-0000-0000-0000431D0000}"/>
    <cellStyle name="Normal 8 3 2 2 2 5 3 2" xfId="15010" xr:uid="{8B248182-3358-4C88-8FE7-9ABA260458B4}"/>
    <cellStyle name="Normal 8 3 2 2 2 5 4" xfId="10797" xr:uid="{22F9D078-F06A-4B9A-AB69-AE0AB613A493}"/>
    <cellStyle name="Normal 8 3 2 2 2 6" xfId="2645" xr:uid="{00000000-0005-0000-0000-0000441D0000}"/>
    <cellStyle name="Normal 8 3 2 2 2 6 2" xfId="6928" xr:uid="{00000000-0005-0000-0000-0000451D0000}"/>
    <cellStyle name="Normal 8 3 2 2 2 6 2 2" xfId="15423" xr:uid="{F2F4CD37-FA85-444A-8A49-4C60CA3A6334}"/>
    <cellStyle name="Normal 8 3 2 2 2 6 3" xfId="11210" xr:uid="{0A5D7922-E497-463D-BCD9-69EB8BECC797}"/>
    <cellStyle name="Normal 8 3 2 2 2 7" xfId="4863" xr:uid="{00000000-0005-0000-0000-0000461D0000}"/>
    <cellStyle name="Normal 8 3 2 2 2 7 2" xfId="13358" xr:uid="{94EE5FC9-81A9-4A06-96F9-11A901CD89AB}"/>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5915" xr:uid="{FF462D2D-5FBB-47E5-B491-C217AFE066C3}"/>
    <cellStyle name="Normal 8 3 2 2 3 2 3" xfId="11702" xr:uid="{CF65CCE3-2124-4C9E-8551-840B331E1657}"/>
    <cellStyle name="Normal 8 3 2 2 3 3" xfId="5275" xr:uid="{00000000-0005-0000-0000-00004A1D0000}"/>
    <cellStyle name="Normal 8 3 2 2 3 3 2" xfId="13770" xr:uid="{83557422-79E0-4514-B9C1-9F512A4A4C7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6328" xr:uid="{12C16F0B-C0E2-4EEE-A1AE-F718837ED752}"/>
    <cellStyle name="Normal 8 3 2 2 4 2 3" xfId="12115" xr:uid="{8F3F13B6-715A-45CA-BBD9-3AF494FF39D9}"/>
    <cellStyle name="Normal 8 3 2 2 4 3" xfId="5688" xr:uid="{00000000-0005-0000-0000-00004E1D0000}"/>
    <cellStyle name="Normal 8 3 2 2 4 3 2" xfId="14183" xr:uid="{D5CFDF12-C8E5-48B0-BE0A-95907D127EE5}"/>
    <cellStyle name="Normal 8 3 2 2 4 4" xfId="9970" xr:uid="{BBF653F5-590C-42FC-9218-507FF3D683C6}"/>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6741" xr:uid="{423DD075-7F4F-47BA-BC12-0EB55D97AD1A}"/>
    <cellStyle name="Normal 8 3 2 2 5 2 3" xfId="12528" xr:uid="{54F9C4A5-BC3A-4D88-A167-9DA672B7B868}"/>
    <cellStyle name="Normal 8 3 2 2 5 3" xfId="6101" xr:uid="{00000000-0005-0000-0000-0000521D0000}"/>
    <cellStyle name="Normal 8 3 2 2 5 3 2" xfId="14596" xr:uid="{D48A1A28-6F0F-490E-A85A-1AE14BB8B6A7}"/>
    <cellStyle name="Normal 8 3 2 2 5 4" xfId="10383" xr:uid="{71461B9C-72E0-43CF-8753-FB0E597CDE04}"/>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154" xr:uid="{170EF90D-6C57-4A79-9458-211F95D7E8BD}"/>
    <cellStyle name="Normal 8 3 2 2 6 2 3" xfId="12941" xr:uid="{A97E6EDA-BA77-4A30-8F9E-11F12C7A8852}"/>
    <cellStyle name="Normal 8 3 2 2 6 3" xfId="6514" xr:uid="{00000000-0005-0000-0000-0000561D0000}"/>
    <cellStyle name="Normal 8 3 2 2 6 3 2" xfId="15009" xr:uid="{00EFAC5B-354C-4DDC-A0FA-2086E6DF3F31}"/>
    <cellStyle name="Normal 8 3 2 2 6 4" xfId="10796" xr:uid="{22D1B0F1-EEDD-4ADD-9F74-BAEC162CE8E6}"/>
    <cellStyle name="Normal 8 3 2 2 7" xfId="2644" xr:uid="{00000000-0005-0000-0000-0000571D0000}"/>
    <cellStyle name="Normal 8 3 2 2 7 2" xfId="6927" xr:uid="{00000000-0005-0000-0000-0000581D0000}"/>
    <cellStyle name="Normal 8 3 2 2 7 2 2" xfId="15422" xr:uid="{F70650E4-7579-4181-9C88-E030054666BC}"/>
    <cellStyle name="Normal 8 3 2 2 7 3" xfId="11209" xr:uid="{E67ECDD7-C0C5-45A4-B3D1-2C29C2824F4B}"/>
    <cellStyle name="Normal 8 3 2 2 8" xfId="4862" xr:uid="{00000000-0005-0000-0000-0000591D0000}"/>
    <cellStyle name="Normal 8 3 2 2 8 2" xfId="13357" xr:uid="{23080950-F989-41FD-ABD1-6B14ADFC984E}"/>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5917" xr:uid="{F097E1CF-54DB-460C-BCF8-3285385E2844}"/>
    <cellStyle name="Normal 8 3 2 3 2 2 3" xfId="11704" xr:uid="{5BE340FA-7493-400C-B4FA-6AAD97811202}"/>
    <cellStyle name="Normal 8 3 2 3 2 3" xfId="5277" xr:uid="{00000000-0005-0000-0000-00005E1D0000}"/>
    <cellStyle name="Normal 8 3 2 3 2 3 2" xfId="13772" xr:uid="{C88D9FA0-4633-4113-9DEE-427882E25286}"/>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6330" xr:uid="{19DD9256-8C88-4648-8F12-95FAF05E6083}"/>
    <cellStyle name="Normal 8 3 2 3 3 2 3" xfId="12117" xr:uid="{1E48B165-5DA4-4AF9-9AAF-DA5621C9AECB}"/>
    <cellStyle name="Normal 8 3 2 3 3 3" xfId="5690" xr:uid="{00000000-0005-0000-0000-0000621D0000}"/>
    <cellStyle name="Normal 8 3 2 3 3 3 2" xfId="14185" xr:uid="{79724025-AFD1-4DD0-859D-A9AD921515A7}"/>
    <cellStyle name="Normal 8 3 2 3 3 4" xfId="9972" xr:uid="{BA3CB835-B01A-4B46-A5DE-E625C9857744}"/>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6743" xr:uid="{700C8640-8F7C-48B4-81EE-415FC67A0B35}"/>
    <cellStyle name="Normal 8 3 2 3 4 2 3" xfId="12530" xr:uid="{82502971-2704-4428-85A9-6D2468587B65}"/>
    <cellStyle name="Normal 8 3 2 3 4 3" xfId="6103" xr:uid="{00000000-0005-0000-0000-0000661D0000}"/>
    <cellStyle name="Normal 8 3 2 3 4 3 2" xfId="14598" xr:uid="{82C247E6-AE7A-4684-A5F1-31722ADA2460}"/>
    <cellStyle name="Normal 8 3 2 3 4 4" xfId="10385" xr:uid="{36F2B8FF-54A6-4429-9CFD-2051EBECEC32}"/>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156" xr:uid="{AD35A4DE-5AEF-406A-B130-7FB487EA6654}"/>
    <cellStyle name="Normal 8 3 2 3 5 2 3" xfId="12943" xr:uid="{464DCEB7-AC39-4F69-822D-CA623F4C18A3}"/>
    <cellStyle name="Normal 8 3 2 3 5 3" xfId="6516" xr:uid="{00000000-0005-0000-0000-00006A1D0000}"/>
    <cellStyle name="Normal 8 3 2 3 5 3 2" xfId="15011" xr:uid="{67F4515C-3ABC-4CBB-91CF-B02DE1A476FA}"/>
    <cellStyle name="Normal 8 3 2 3 5 4" xfId="10798" xr:uid="{2DC6033E-6555-46B2-9783-9081308FE6C7}"/>
    <cellStyle name="Normal 8 3 2 3 6" xfId="2646" xr:uid="{00000000-0005-0000-0000-00006B1D0000}"/>
    <cellStyle name="Normal 8 3 2 3 6 2" xfId="6929" xr:uid="{00000000-0005-0000-0000-00006C1D0000}"/>
    <cellStyle name="Normal 8 3 2 3 6 2 2" xfId="15424" xr:uid="{972BE256-E978-4571-9E71-1F935DF05F57}"/>
    <cellStyle name="Normal 8 3 2 3 6 3" xfId="11211" xr:uid="{0EB51D6F-B7F6-4EC1-878E-C2D8DCBE5793}"/>
    <cellStyle name="Normal 8 3 2 3 7" xfId="4864" xr:uid="{00000000-0005-0000-0000-00006D1D0000}"/>
    <cellStyle name="Normal 8 3 2 3 7 2" xfId="13359" xr:uid="{C97AB849-9DA3-4618-B939-2F88A4B7175F}"/>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2 2 2" xfId="15914" xr:uid="{89266408-740C-4E37-BF91-D8F41A116959}"/>
    <cellStyle name="Normal 8 3 2 4 2 3" xfId="11701" xr:uid="{81A323C8-AAE0-456F-B7EC-6C1AE2142662}"/>
    <cellStyle name="Normal 8 3 2 4 3" xfId="5274" xr:uid="{00000000-0005-0000-0000-0000711D0000}"/>
    <cellStyle name="Normal 8 3 2 4 3 2" xfId="13769" xr:uid="{A0D7CFDA-F79F-4536-80BF-69D60DFE549F}"/>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2 2 2" xfId="16327" xr:uid="{BA781B07-3061-4BFC-B862-367C0019BB2E}"/>
    <cellStyle name="Normal 8 3 2 5 2 3" xfId="12114" xr:uid="{9FBDFBA7-73FB-46DC-85EB-7B61815F6D85}"/>
    <cellStyle name="Normal 8 3 2 5 3" xfId="5687" xr:uid="{00000000-0005-0000-0000-0000751D0000}"/>
    <cellStyle name="Normal 8 3 2 5 3 2" xfId="14182" xr:uid="{6D4147A7-40DA-401D-88F9-83F187D7AA04}"/>
    <cellStyle name="Normal 8 3 2 5 4" xfId="9969" xr:uid="{E3A4BA9B-8A79-48D3-8450-9A46803F1F2A}"/>
    <cellStyle name="Normal 8 3 2 6" xfId="1793" xr:uid="{00000000-0005-0000-0000-0000761D0000}"/>
    <cellStyle name="Normal 8 3 2 6 2" xfId="4023" xr:uid="{00000000-0005-0000-0000-0000771D0000}"/>
    <cellStyle name="Normal 8 3 2 6 2 2" xfId="8245" xr:uid="{00000000-0005-0000-0000-0000781D0000}"/>
    <cellStyle name="Normal 8 3 2 6 2 2 2" xfId="16740" xr:uid="{7B8B0289-3D54-4543-8FCF-CBBDAA1B316D}"/>
    <cellStyle name="Normal 8 3 2 6 2 3" xfId="12527" xr:uid="{4CBBE493-EC4F-4460-879F-0F8FEF8DF296}"/>
    <cellStyle name="Normal 8 3 2 6 3" xfId="6100" xr:uid="{00000000-0005-0000-0000-0000791D0000}"/>
    <cellStyle name="Normal 8 3 2 6 3 2" xfId="14595" xr:uid="{095FC2C5-762B-4F9C-9E3F-9F9AFD18FC18}"/>
    <cellStyle name="Normal 8 3 2 6 4" xfId="10382" xr:uid="{2BCCBE58-5E4D-4D7E-A410-45E1CF4E99AB}"/>
    <cellStyle name="Normal 8 3 2 7" xfId="2207" xr:uid="{00000000-0005-0000-0000-00007A1D0000}"/>
    <cellStyle name="Normal 8 3 2 7 2" xfId="4436" xr:uid="{00000000-0005-0000-0000-00007B1D0000}"/>
    <cellStyle name="Normal 8 3 2 7 2 2" xfId="8658" xr:uid="{00000000-0005-0000-0000-00007C1D0000}"/>
    <cellStyle name="Normal 8 3 2 7 2 2 2" xfId="17153" xr:uid="{36362264-CB83-444F-8D0D-9CE4C0C32D65}"/>
    <cellStyle name="Normal 8 3 2 7 2 3" xfId="12940" xr:uid="{2B54831E-BE1A-448A-8F42-C8822C24DB25}"/>
    <cellStyle name="Normal 8 3 2 7 3" xfId="6513" xr:uid="{00000000-0005-0000-0000-00007D1D0000}"/>
    <cellStyle name="Normal 8 3 2 7 3 2" xfId="15008" xr:uid="{7A92FDAE-ABF3-49ED-8045-9B36FA718E0A}"/>
    <cellStyle name="Normal 8 3 2 7 4" xfId="10795" xr:uid="{04142EDA-7C7B-4385-99E4-5504B411084E}"/>
    <cellStyle name="Normal 8 3 2 8" xfId="2643" xr:uid="{00000000-0005-0000-0000-00007E1D0000}"/>
    <cellStyle name="Normal 8 3 2 8 2" xfId="6926" xr:uid="{00000000-0005-0000-0000-00007F1D0000}"/>
    <cellStyle name="Normal 8 3 2 8 2 2" xfId="15421" xr:uid="{F29C009F-9204-4454-9130-AA24A4B293F7}"/>
    <cellStyle name="Normal 8 3 2 8 3" xfId="11208" xr:uid="{8E3C7362-BE86-42C4-A923-CDD09A0DE31D}"/>
    <cellStyle name="Normal 8 3 2 9" xfId="4861" xr:uid="{00000000-0005-0000-0000-0000801D0000}"/>
    <cellStyle name="Normal 8 3 2 9 2" xfId="13356" xr:uid="{1FA39E77-10B8-47B5-ACC3-2A7BF8DB27C6}"/>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5919" xr:uid="{06DA3BF6-BB30-4D1E-8968-A06B05529B11}"/>
    <cellStyle name="Normal 8 3 3 2 2 2 3" xfId="11706" xr:uid="{4296338B-9CC4-42B6-9EA3-6641939A436A}"/>
    <cellStyle name="Normal 8 3 3 2 2 3" xfId="5279" xr:uid="{00000000-0005-0000-0000-0000861D0000}"/>
    <cellStyle name="Normal 8 3 3 2 2 3 2" xfId="13774" xr:uid="{F2829600-59CC-414E-9B3B-C311E1955F13}"/>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6332" xr:uid="{3A3BA7A3-463F-4C32-B5C9-09A065DFDD67}"/>
    <cellStyle name="Normal 8 3 3 2 3 2 3" xfId="12119" xr:uid="{7ACCF417-5759-4148-BBFC-B8C2D9070F6F}"/>
    <cellStyle name="Normal 8 3 3 2 3 3" xfId="5692" xr:uid="{00000000-0005-0000-0000-00008A1D0000}"/>
    <cellStyle name="Normal 8 3 3 2 3 3 2" xfId="14187" xr:uid="{1F5EF0E7-7145-4E91-A6DA-90B7D676E884}"/>
    <cellStyle name="Normal 8 3 3 2 3 4" xfId="9974" xr:uid="{71CC4AB6-4942-4F87-9B5C-BE139A25CDF9}"/>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6745" xr:uid="{CF08BF08-8B77-48CD-8AB7-FC9A6AFE8B2A}"/>
    <cellStyle name="Normal 8 3 3 2 4 2 3" xfId="12532" xr:uid="{0AAD990C-3051-4519-B9AB-8F613BB76B5E}"/>
    <cellStyle name="Normal 8 3 3 2 4 3" xfId="6105" xr:uid="{00000000-0005-0000-0000-00008E1D0000}"/>
    <cellStyle name="Normal 8 3 3 2 4 3 2" xfId="14600" xr:uid="{072561E4-CA1F-449C-AE39-58CB6E84E53B}"/>
    <cellStyle name="Normal 8 3 3 2 4 4" xfId="10387" xr:uid="{9A46F0EE-05A7-47F0-A446-B38E9CD2C010}"/>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158" xr:uid="{45044DC8-6783-42B2-BF9B-279BE641D078}"/>
    <cellStyle name="Normal 8 3 3 2 5 2 3" xfId="12945" xr:uid="{0887530F-B6F0-4DFC-8B56-73CDFA78ED27}"/>
    <cellStyle name="Normal 8 3 3 2 5 3" xfId="6518" xr:uid="{00000000-0005-0000-0000-0000921D0000}"/>
    <cellStyle name="Normal 8 3 3 2 5 3 2" xfId="15013" xr:uid="{A3FAA070-439B-4296-A1DE-636FB1ECAD8E}"/>
    <cellStyle name="Normal 8 3 3 2 5 4" xfId="10800" xr:uid="{8AE1E330-1FA4-472E-848B-DB9A4B297E2D}"/>
    <cellStyle name="Normal 8 3 3 2 6" xfId="2648" xr:uid="{00000000-0005-0000-0000-0000931D0000}"/>
    <cellStyle name="Normal 8 3 3 2 6 2" xfId="6931" xr:uid="{00000000-0005-0000-0000-0000941D0000}"/>
    <cellStyle name="Normal 8 3 3 2 6 2 2" xfId="15426" xr:uid="{B552A583-F5A5-4EBF-9D3F-07AF8DBCC8DD}"/>
    <cellStyle name="Normal 8 3 3 2 6 3" xfId="11213" xr:uid="{409DAE89-F6C0-4309-AB81-B48C565D4BA3}"/>
    <cellStyle name="Normal 8 3 3 2 7" xfId="4866" xr:uid="{00000000-0005-0000-0000-0000951D0000}"/>
    <cellStyle name="Normal 8 3 3 2 7 2" xfId="13361" xr:uid="{728182BB-1E7E-4745-B6D1-A698D1C1E1A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2 2 2" xfId="15918" xr:uid="{91756CD2-6F1D-42FC-9834-8D743E0B2A8E}"/>
    <cellStyle name="Normal 8 3 3 3 2 3" xfId="11705" xr:uid="{F18C6D07-DFDA-45CF-831E-10AFD4855056}"/>
    <cellStyle name="Normal 8 3 3 3 3" xfId="5278" xr:uid="{00000000-0005-0000-0000-0000991D0000}"/>
    <cellStyle name="Normal 8 3 3 3 3 2" xfId="13773" xr:uid="{0DE8F26C-CBF3-401E-9913-8F351BCE22A4}"/>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2 2 2" xfId="16331" xr:uid="{C8BFDE7F-F364-4122-9C3F-1C73EA80D4B2}"/>
    <cellStyle name="Normal 8 3 3 4 2 3" xfId="12118" xr:uid="{189B8126-1347-44B6-A961-FA446E2011D0}"/>
    <cellStyle name="Normal 8 3 3 4 3" xfId="5691" xr:uid="{00000000-0005-0000-0000-00009D1D0000}"/>
    <cellStyle name="Normal 8 3 3 4 3 2" xfId="14186" xr:uid="{D2433925-E8CE-4E50-8539-9044D68E3CD3}"/>
    <cellStyle name="Normal 8 3 3 4 4" xfId="9973" xr:uid="{2CD3E958-B5FD-4A3A-8084-C6D4334FAE14}"/>
    <cellStyle name="Normal 8 3 3 5" xfId="1797" xr:uid="{00000000-0005-0000-0000-00009E1D0000}"/>
    <cellStyle name="Normal 8 3 3 5 2" xfId="4027" xr:uid="{00000000-0005-0000-0000-00009F1D0000}"/>
    <cellStyle name="Normal 8 3 3 5 2 2" xfId="8249" xr:uid="{00000000-0005-0000-0000-0000A01D0000}"/>
    <cellStyle name="Normal 8 3 3 5 2 2 2" xfId="16744" xr:uid="{805F1E1E-1381-43A7-84A7-E18DA1425B3D}"/>
    <cellStyle name="Normal 8 3 3 5 2 3" xfId="12531" xr:uid="{2AA53F4C-8B50-46AE-AE0D-4F2966EEA4E4}"/>
    <cellStyle name="Normal 8 3 3 5 3" xfId="6104" xr:uid="{00000000-0005-0000-0000-0000A11D0000}"/>
    <cellStyle name="Normal 8 3 3 5 3 2" xfId="14599" xr:uid="{28B6F2DE-C732-4C52-B1A1-D59415DAC44E}"/>
    <cellStyle name="Normal 8 3 3 5 4" xfId="10386" xr:uid="{369E4B1A-100E-4E27-84B6-5D1AD51EDB94}"/>
    <cellStyle name="Normal 8 3 3 6" xfId="2211" xr:uid="{00000000-0005-0000-0000-0000A21D0000}"/>
    <cellStyle name="Normal 8 3 3 6 2" xfId="4440" xr:uid="{00000000-0005-0000-0000-0000A31D0000}"/>
    <cellStyle name="Normal 8 3 3 6 2 2" xfId="8662" xr:uid="{00000000-0005-0000-0000-0000A41D0000}"/>
    <cellStyle name="Normal 8 3 3 6 2 2 2" xfId="17157" xr:uid="{2D69A2B3-9838-4EB8-8D64-49BFE6356F92}"/>
    <cellStyle name="Normal 8 3 3 6 2 3" xfId="12944" xr:uid="{6E2AB674-853F-4571-A24A-77A7AEDA30EB}"/>
    <cellStyle name="Normal 8 3 3 6 3" xfId="6517" xr:uid="{00000000-0005-0000-0000-0000A51D0000}"/>
    <cellStyle name="Normal 8 3 3 6 3 2" xfId="15012" xr:uid="{C3BD0415-17C7-40C7-A8E3-099C61C51B3B}"/>
    <cellStyle name="Normal 8 3 3 6 4" xfId="10799" xr:uid="{E4172B94-20B1-4572-9B7E-D1FC7394D6EC}"/>
    <cellStyle name="Normal 8 3 3 7" xfId="2647" xr:uid="{00000000-0005-0000-0000-0000A61D0000}"/>
    <cellStyle name="Normal 8 3 3 7 2" xfId="6930" xr:uid="{00000000-0005-0000-0000-0000A71D0000}"/>
    <cellStyle name="Normal 8 3 3 7 2 2" xfId="15425" xr:uid="{D4A014F0-330E-468E-9585-BAEAF3452FD1}"/>
    <cellStyle name="Normal 8 3 3 7 3" xfId="11212" xr:uid="{27E08842-EE57-4BB8-A224-651A296DBAA6}"/>
    <cellStyle name="Normal 8 3 3 8" xfId="4865" xr:uid="{00000000-0005-0000-0000-0000A81D0000}"/>
    <cellStyle name="Normal 8 3 3 8 2" xfId="13360" xr:uid="{2580559C-C121-4B50-BBAE-23591C5EA4FF}"/>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5920" xr:uid="{F42220FF-9722-4002-A951-CA19958A5767}"/>
    <cellStyle name="Normal 8 3 4 2 2 3" xfId="11707" xr:uid="{8F81322D-B7F3-4CC2-A5D0-3537C5591DA3}"/>
    <cellStyle name="Normal 8 3 4 2 3" xfId="5280" xr:uid="{00000000-0005-0000-0000-0000AD1D0000}"/>
    <cellStyle name="Normal 8 3 4 2 3 2" xfId="13775" xr:uid="{3B96BE81-ECAF-45FB-8BBD-8249628FA283}"/>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2 2 2" xfId="16333" xr:uid="{565EB3BD-6375-4FCA-9CBA-0EAD43BAF217}"/>
    <cellStyle name="Normal 8 3 4 3 2 3" xfId="12120" xr:uid="{DC132553-F7A0-474D-8DF9-0ED1BBE2F557}"/>
    <cellStyle name="Normal 8 3 4 3 3" xfId="5693" xr:uid="{00000000-0005-0000-0000-0000B11D0000}"/>
    <cellStyle name="Normal 8 3 4 3 3 2" xfId="14188" xr:uid="{1011E9AD-5E7E-4ED6-ADFD-AF721C50D427}"/>
    <cellStyle name="Normal 8 3 4 3 4" xfId="9975" xr:uid="{299F56E9-285B-4708-88B9-9ECB16954C51}"/>
    <cellStyle name="Normal 8 3 4 4" xfId="1799" xr:uid="{00000000-0005-0000-0000-0000B21D0000}"/>
    <cellStyle name="Normal 8 3 4 4 2" xfId="4029" xr:uid="{00000000-0005-0000-0000-0000B31D0000}"/>
    <cellStyle name="Normal 8 3 4 4 2 2" xfId="8251" xr:uid="{00000000-0005-0000-0000-0000B41D0000}"/>
    <cellStyle name="Normal 8 3 4 4 2 2 2" xfId="16746" xr:uid="{57ACBD2E-AE7A-4756-A081-E2F76D569026}"/>
    <cellStyle name="Normal 8 3 4 4 2 3" xfId="12533" xr:uid="{4EE24FA8-EEF8-4FDF-B16A-A6B6E5B90019}"/>
    <cellStyle name="Normal 8 3 4 4 3" xfId="6106" xr:uid="{00000000-0005-0000-0000-0000B51D0000}"/>
    <cellStyle name="Normal 8 3 4 4 3 2" xfId="14601" xr:uid="{887D4758-C619-430C-95AF-01A68855D7A3}"/>
    <cellStyle name="Normal 8 3 4 4 4" xfId="10388" xr:uid="{F92522CF-51FC-4A89-BCA1-BBD78766FC6E}"/>
    <cellStyle name="Normal 8 3 4 5" xfId="2213" xr:uid="{00000000-0005-0000-0000-0000B61D0000}"/>
    <cellStyle name="Normal 8 3 4 5 2" xfId="4442" xr:uid="{00000000-0005-0000-0000-0000B71D0000}"/>
    <cellStyle name="Normal 8 3 4 5 2 2" xfId="8664" xr:uid="{00000000-0005-0000-0000-0000B81D0000}"/>
    <cellStyle name="Normal 8 3 4 5 2 2 2" xfId="17159" xr:uid="{F7FDB14E-C4AA-44CA-9BD6-46A43E844B05}"/>
    <cellStyle name="Normal 8 3 4 5 2 3" xfId="12946" xr:uid="{B4C1A205-43EF-4B9A-BD80-811A607E148B}"/>
    <cellStyle name="Normal 8 3 4 5 3" xfId="6519" xr:uid="{00000000-0005-0000-0000-0000B91D0000}"/>
    <cellStyle name="Normal 8 3 4 5 3 2" xfId="15014" xr:uid="{50F0C17B-89C8-4DFA-B524-553A27F61472}"/>
    <cellStyle name="Normal 8 3 4 5 4" xfId="10801" xr:uid="{FCC975F2-27DF-4A6D-86D4-C25712245BE3}"/>
    <cellStyle name="Normal 8 3 4 6" xfId="2649" xr:uid="{00000000-0005-0000-0000-0000BA1D0000}"/>
    <cellStyle name="Normal 8 3 4 6 2" xfId="6932" xr:uid="{00000000-0005-0000-0000-0000BB1D0000}"/>
    <cellStyle name="Normal 8 3 4 6 2 2" xfId="15427" xr:uid="{2870D385-C7B5-4002-9B7E-D15C6EABEB29}"/>
    <cellStyle name="Normal 8 3 4 6 3" xfId="11214" xr:uid="{A57186D9-5B9A-42C4-B318-0E763C03AD91}"/>
    <cellStyle name="Normal 8 3 4 7" xfId="4867" xr:uid="{00000000-0005-0000-0000-0000BC1D0000}"/>
    <cellStyle name="Normal 8 3 4 7 2" xfId="13362" xr:uid="{78C875E8-D4E6-4044-8023-82C573C96EF5}"/>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2 2 2" xfId="15913" xr:uid="{169DB5E1-9F8B-4D4A-9AE8-267542E8689D}"/>
    <cellStyle name="Normal 8 3 5 2 3" xfId="11700" xr:uid="{A545A86F-BEF6-473F-9B6B-CE5E47CFA38E}"/>
    <cellStyle name="Normal 8 3 5 3" xfId="5273" xr:uid="{00000000-0005-0000-0000-0000C01D0000}"/>
    <cellStyle name="Normal 8 3 5 3 2" xfId="13768" xr:uid="{55A5BC7A-C305-4CE6-80F1-FA3C4B8B38EB}"/>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2 2 2" xfId="16326" xr:uid="{FA4753FD-EE74-4635-B5E3-FF83D1B277FE}"/>
    <cellStyle name="Normal 8 3 6 2 3" xfId="12113" xr:uid="{05DE4233-948C-44C7-ABBF-B7B9EE5350CB}"/>
    <cellStyle name="Normal 8 3 6 3" xfId="5686" xr:uid="{00000000-0005-0000-0000-0000C41D0000}"/>
    <cellStyle name="Normal 8 3 6 3 2" xfId="14181" xr:uid="{4155BAE9-BE77-41E7-81C9-669A9A53AE8B}"/>
    <cellStyle name="Normal 8 3 6 4" xfId="9968" xr:uid="{4DE46AAA-8581-4BE9-9FF3-1CB0B6D7C6EB}"/>
    <cellStyle name="Normal 8 3 7" xfId="1792" xr:uid="{00000000-0005-0000-0000-0000C51D0000}"/>
    <cellStyle name="Normal 8 3 7 2" xfId="4022" xr:uid="{00000000-0005-0000-0000-0000C61D0000}"/>
    <cellStyle name="Normal 8 3 7 2 2" xfId="8244" xr:uid="{00000000-0005-0000-0000-0000C71D0000}"/>
    <cellStyle name="Normal 8 3 7 2 2 2" xfId="16739" xr:uid="{9596A82F-8A5A-40F8-AF55-CFF9C71D3293}"/>
    <cellStyle name="Normal 8 3 7 2 3" xfId="12526" xr:uid="{89C59B4C-7F78-484B-B0F1-3ECA6BE5707A}"/>
    <cellStyle name="Normal 8 3 7 3" xfId="6099" xr:uid="{00000000-0005-0000-0000-0000C81D0000}"/>
    <cellStyle name="Normal 8 3 7 3 2" xfId="14594" xr:uid="{6E05E28A-2848-4626-80CB-E38F7AF2E76A}"/>
    <cellStyle name="Normal 8 3 7 4" xfId="10381" xr:uid="{4DE7B08B-2374-4F3B-BAEC-B560BBF26F36}"/>
    <cellStyle name="Normal 8 3 8" xfId="2206" xr:uid="{00000000-0005-0000-0000-0000C91D0000}"/>
    <cellStyle name="Normal 8 3 8 2" xfId="4435" xr:uid="{00000000-0005-0000-0000-0000CA1D0000}"/>
    <cellStyle name="Normal 8 3 8 2 2" xfId="8657" xr:uid="{00000000-0005-0000-0000-0000CB1D0000}"/>
    <cellStyle name="Normal 8 3 8 2 2 2" xfId="17152" xr:uid="{498B2250-A990-4FFF-98B1-E39791009D63}"/>
    <cellStyle name="Normal 8 3 8 2 3" xfId="12939" xr:uid="{5EDE40C8-3AF2-466F-A223-BF33F4368131}"/>
    <cellStyle name="Normal 8 3 8 3" xfId="6512" xr:uid="{00000000-0005-0000-0000-0000CC1D0000}"/>
    <cellStyle name="Normal 8 3 8 3 2" xfId="15007" xr:uid="{5EE54381-2312-4324-AF87-E622C65F8205}"/>
    <cellStyle name="Normal 8 3 8 4" xfId="10794" xr:uid="{7D747D55-CFF6-403E-96C1-287D96C3A64D}"/>
    <cellStyle name="Normal 8 3 9" xfId="2642" xr:uid="{00000000-0005-0000-0000-0000CD1D0000}"/>
    <cellStyle name="Normal 8 3 9 2" xfId="6925" xr:uid="{00000000-0005-0000-0000-0000CE1D0000}"/>
    <cellStyle name="Normal 8 3 9 2 2" xfId="15420" xr:uid="{71AC3ADA-AB16-44EE-800C-5041A9814AAD}"/>
    <cellStyle name="Normal 8 3 9 3" xfId="11207" xr:uid="{6B7415EC-6D05-454C-BB84-4B8797CF0FB5}"/>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5923" xr:uid="{BBD4A668-C1C0-4714-8D17-A890573E135F}"/>
    <cellStyle name="Normal 8 4 2 2 2 2 3" xfId="11710" xr:uid="{9BFF5882-D0EE-4C03-9786-962EFD7BAF26}"/>
    <cellStyle name="Normal 8 4 2 2 2 3" xfId="5283" xr:uid="{00000000-0005-0000-0000-0000D51D0000}"/>
    <cellStyle name="Normal 8 4 2 2 2 3 2" xfId="13778" xr:uid="{21C783A5-DAE6-4672-AC82-2A8F8B79D6BF}"/>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6336" xr:uid="{08680754-D55D-45BE-8DA4-B721E147C64D}"/>
    <cellStyle name="Normal 8 4 2 2 3 2 3" xfId="12123" xr:uid="{B9F96EA5-02FE-43D4-90F9-A54F1329B0DE}"/>
    <cellStyle name="Normal 8 4 2 2 3 3" xfId="5696" xr:uid="{00000000-0005-0000-0000-0000D91D0000}"/>
    <cellStyle name="Normal 8 4 2 2 3 3 2" xfId="14191" xr:uid="{4BCA0A13-8741-4F50-B1DA-58B3CB70CDF0}"/>
    <cellStyle name="Normal 8 4 2 2 3 4" xfId="9978" xr:uid="{5721917C-122D-4FF5-A367-A58584482CAA}"/>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6749" xr:uid="{EF2C81CE-6A6B-48A5-8FFC-A7C74D149426}"/>
    <cellStyle name="Normal 8 4 2 2 4 2 3" xfId="12536" xr:uid="{BDB7C3CD-D965-48F8-9D9E-CC8E1D75D1AB}"/>
    <cellStyle name="Normal 8 4 2 2 4 3" xfId="6109" xr:uid="{00000000-0005-0000-0000-0000DD1D0000}"/>
    <cellStyle name="Normal 8 4 2 2 4 3 2" xfId="14604" xr:uid="{43EDE12C-5F67-4212-ADF9-20B6D486D3E9}"/>
    <cellStyle name="Normal 8 4 2 2 4 4" xfId="10391" xr:uid="{A110B517-A5F5-4C17-821B-EF4F8F4F101F}"/>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162" xr:uid="{584D45C7-C4C0-4742-8769-7DCE68451849}"/>
    <cellStyle name="Normal 8 4 2 2 5 2 3" xfId="12949" xr:uid="{FB614403-4A56-465B-94A0-2CECE7959F12}"/>
    <cellStyle name="Normal 8 4 2 2 5 3" xfId="6522" xr:uid="{00000000-0005-0000-0000-0000E11D0000}"/>
    <cellStyle name="Normal 8 4 2 2 5 3 2" xfId="15017" xr:uid="{AF29B032-AB00-42BC-9F1B-4F44573AE512}"/>
    <cellStyle name="Normal 8 4 2 2 5 4" xfId="10804" xr:uid="{8399D512-1F58-47D9-A92B-1ADDD4CF9C37}"/>
    <cellStyle name="Normal 8 4 2 2 6" xfId="2652" xr:uid="{00000000-0005-0000-0000-0000E21D0000}"/>
    <cellStyle name="Normal 8 4 2 2 6 2" xfId="6935" xr:uid="{00000000-0005-0000-0000-0000E31D0000}"/>
    <cellStyle name="Normal 8 4 2 2 6 2 2" xfId="15430" xr:uid="{94AFB877-4A7D-415F-A740-F55799B28CFD}"/>
    <cellStyle name="Normal 8 4 2 2 6 3" xfId="11217" xr:uid="{2034ED7B-B461-42BF-BC05-59004A3E66F4}"/>
    <cellStyle name="Normal 8 4 2 2 7" xfId="4870" xr:uid="{00000000-0005-0000-0000-0000E41D0000}"/>
    <cellStyle name="Normal 8 4 2 2 7 2" xfId="13365" xr:uid="{3DAA7D26-2601-466F-822F-43991DD54F55}"/>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2 2 2" xfId="15922" xr:uid="{A22BDC38-E8A2-4742-B71B-835EF4DDB8E8}"/>
    <cellStyle name="Normal 8 4 2 3 2 3" xfId="11709" xr:uid="{EC1BF99A-398B-4DA5-BCF3-00A94A6D7970}"/>
    <cellStyle name="Normal 8 4 2 3 3" xfId="5282" xr:uid="{00000000-0005-0000-0000-0000E81D0000}"/>
    <cellStyle name="Normal 8 4 2 3 3 2" xfId="13777" xr:uid="{6025466E-F941-4466-8367-0D758063DE81}"/>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2 2 2" xfId="16335" xr:uid="{ABF75C46-D3D4-45C6-898B-B1B9BB29CBBA}"/>
    <cellStyle name="Normal 8 4 2 4 2 3" xfId="12122" xr:uid="{293B5E7E-FF85-4B88-BBE9-35A6BFB6FF8F}"/>
    <cellStyle name="Normal 8 4 2 4 3" xfId="5695" xr:uid="{00000000-0005-0000-0000-0000EC1D0000}"/>
    <cellStyle name="Normal 8 4 2 4 3 2" xfId="14190" xr:uid="{70E0C63C-05A9-40A2-97F3-EF393EBF9592}"/>
    <cellStyle name="Normal 8 4 2 4 4" xfId="9977" xr:uid="{88213CE1-30CC-4B41-82F8-A1FFFE320439}"/>
    <cellStyle name="Normal 8 4 2 5" xfId="1801" xr:uid="{00000000-0005-0000-0000-0000ED1D0000}"/>
    <cellStyle name="Normal 8 4 2 5 2" xfId="4031" xr:uid="{00000000-0005-0000-0000-0000EE1D0000}"/>
    <cellStyle name="Normal 8 4 2 5 2 2" xfId="8253" xr:uid="{00000000-0005-0000-0000-0000EF1D0000}"/>
    <cellStyle name="Normal 8 4 2 5 2 2 2" xfId="16748" xr:uid="{8DD6B9B2-BFD9-4D9F-94B2-65941065CCE4}"/>
    <cellStyle name="Normal 8 4 2 5 2 3" xfId="12535" xr:uid="{A5734C3E-79DF-4EDE-BBCC-9DCDA4A56C1D}"/>
    <cellStyle name="Normal 8 4 2 5 3" xfId="6108" xr:uid="{00000000-0005-0000-0000-0000F01D0000}"/>
    <cellStyle name="Normal 8 4 2 5 3 2" xfId="14603" xr:uid="{911F2155-4754-426B-8D1E-761D7726A6AE}"/>
    <cellStyle name="Normal 8 4 2 5 4" xfId="10390" xr:uid="{D6EDBEC5-27EB-4828-B9CD-A4EE557D8E22}"/>
    <cellStyle name="Normal 8 4 2 6" xfId="2215" xr:uid="{00000000-0005-0000-0000-0000F11D0000}"/>
    <cellStyle name="Normal 8 4 2 6 2" xfId="4444" xr:uid="{00000000-0005-0000-0000-0000F21D0000}"/>
    <cellStyle name="Normal 8 4 2 6 2 2" xfId="8666" xr:uid="{00000000-0005-0000-0000-0000F31D0000}"/>
    <cellStyle name="Normal 8 4 2 6 2 2 2" xfId="17161" xr:uid="{1DF9894E-F905-4615-B9DE-6FBF020C6134}"/>
    <cellStyle name="Normal 8 4 2 6 2 3" xfId="12948" xr:uid="{E0DBEFA6-9C23-4C57-8D8A-59E54D3BE921}"/>
    <cellStyle name="Normal 8 4 2 6 3" xfId="6521" xr:uid="{00000000-0005-0000-0000-0000F41D0000}"/>
    <cellStyle name="Normal 8 4 2 6 3 2" xfId="15016" xr:uid="{184CBAA4-FADA-43D3-AD9B-ED2A6E773B6B}"/>
    <cellStyle name="Normal 8 4 2 6 4" xfId="10803" xr:uid="{C7DAB423-7116-40ED-AD9B-3EDF06779EB2}"/>
    <cellStyle name="Normal 8 4 2 7" xfId="2651" xr:uid="{00000000-0005-0000-0000-0000F51D0000}"/>
    <cellStyle name="Normal 8 4 2 7 2" xfId="6934" xr:uid="{00000000-0005-0000-0000-0000F61D0000}"/>
    <cellStyle name="Normal 8 4 2 7 2 2" xfId="15429" xr:uid="{B9401637-4879-4981-B4DE-86CA115E9423}"/>
    <cellStyle name="Normal 8 4 2 7 3" xfId="11216" xr:uid="{B17DB67D-9FD5-482A-B7A5-5B15E291F9B2}"/>
    <cellStyle name="Normal 8 4 2 8" xfId="4869" xr:uid="{00000000-0005-0000-0000-0000F71D0000}"/>
    <cellStyle name="Normal 8 4 2 8 2" xfId="13364" xr:uid="{FFCF9344-5FBB-40E4-AC46-73A30FCFE6FE}"/>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5924" xr:uid="{4BC3733C-2E22-4CC8-8C90-4D8954E5929F}"/>
    <cellStyle name="Normal 8 4 3 2 2 3" xfId="11711" xr:uid="{6F32C3F0-B4FD-48BC-8716-B624562D3231}"/>
    <cellStyle name="Normal 8 4 3 2 3" xfId="5284" xr:uid="{00000000-0005-0000-0000-0000FC1D0000}"/>
    <cellStyle name="Normal 8 4 3 2 3 2" xfId="13779" xr:uid="{BAB42373-B091-413F-843B-5642443567B3}"/>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2 2 2" xfId="16337" xr:uid="{CCCC9ACE-D236-43FA-9E5E-3C2294508E20}"/>
    <cellStyle name="Normal 8 4 3 3 2 3" xfId="12124" xr:uid="{888DBF66-90DE-48A7-8FD5-03593C3FED19}"/>
    <cellStyle name="Normal 8 4 3 3 3" xfId="5697" xr:uid="{00000000-0005-0000-0000-0000001E0000}"/>
    <cellStyle name="Normal 8 4 3 3 3 2" xfId="14192" xr:uid="{EAB16869-4D3E-406F-B8D2-3F7A9D4D3C70}"/>
    <cellStyle name="Normal 8 4 3 3 4" xfId="9979" xr:uid="{76EBB940-DF5E-41A7-8A24-C1B825801D38}"/>
    <cellStyle name="Normal 8 4 3 4" xfId="1803" xr:uid="{00000000-0005-0000-0000-0000011E0000}"/>
    <cellStyle name="Normal 8 4 3 4 2" xfId="4033" xr:uid="{00000000-0005-0000-0000-0000021E0000}"/>
    <cellStyle name="Normal 8 4 3 4 2 2" xfId="8255" xr:uid="{00000000-0005-0000-0000-0000031E0000}"/>
    <cellStyle name="Normal 8 4 3 4 2 2 2" xfId="16750" xr:uid="{C9EEA3CA-1900-4926-B574-77372122C695}"/>
    <cellStyle name="Normal 8 4 3 4 2 3" xfId="12537" xr:uid="{583AAA59-A1F9-4BD3-A1A9-421C2BB7C882}"/>
    <cellStyle name="Normal 8 4 3 4 3" xfId="6110" xr:uid="{00000000-0005-0000-0000-0000041E0000}"/>
    <cellStyle name="Normal 8 4 3 4 3 2" xfId="14605" xr:uid="{B8811FD0-B9C6-4F56-92A1-77B967C2AFF5}"/>
    <cellStyle name="Normal 8 4 3 4 4" xfId="10392" xr:uid="{AD1DE88D-152B-4817-B98F-25DA4B682EAD}"/>
    <cellStyle name="Normal 8 4 3 5" xfId="2217" xr:uid="{00000000-0005-0000-0000-0000051E0000}"/>
    <cellStyle name="Normal 8 4 3 5 2" xfId="4446" xr:uid="{00000000-0005-0000-0000-0000061E0000}"/>
    <cellStyle name="Normal 8 4 3 5 2 2" xfId="8668" xr:uid="{00000000-0005-0000-0000-0000071E0000}"/>
    <cellStyle name="Normal 8 4 3 5 2 2 2" xfId="17163" xr:uid="{24840C7E-2EB7-4DFC-A841-0D24D297112B}"/>
    <cellStyle name="Normal 8 4 3 5 2 3" xfId="12950" xr:uid="{AD41FF9D-A532-471D-B5F6-FF5D3ABEBEB4}"/>
    <cellStyle name="Normal 8 4 3 5 3" xfId="6523" xr:uid="{00000000-0005-0000-0000-0000081E0000}"/>
    <cellStyle name="Normal 8 4 3 5 3 2" xfId="15018" xr:uid="{76878CDD-60EF-4C32-87E4-CE9CD0F0DBEE}"/>
    <cellStyle name="Normal 8 4 3 5 4" xfId="10805" xr:uid="{E5AF5E18-2370-410D-97B7-BBD5732A9576}"/>
    <cellStyle name="Normal 8 4 3 6" xfId="2653" xr:uid="{00000000-0005-0000-0000-0000091E0000}"/>
    <cellStyle name="Normal 8 4 3 6 2" xfId="6936" xr:uid="{00000000-0005-0000-0000-00000A1E0000}"/>
    <cellStyle name="Normal 8 4 3 6 2 2" xfId="15431" xr:uid="{D7CF12D5-887D-4801-828C-23F5C036082A}"/>
    <cellStyle name="Normal 8 4 3 6 3" xfId="11218" xr:uid="{D3A1A195-2F23-4CB3-9BE7-7FF253A1D275}"/>
    <cellStyle name="Normal 8 4 3 7" xfId="4871" xr:uid="{00000000-0005-0000-0000-00000B1E0000}"/>
    <cellStyle name="Normal 8 4 3 7 2" xfId="13366" xr:uid="{05CD939F-68B5-4C64-8655-FE6E03C9950D}"/>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2 2 2" xfId="15921" xr:uid="{360A586F-D416-48F7-9B39-7E6523AA3148}"/>
    <cellStyle name="Normal 8 4 4 2 3" xfId="11708" xr:uid="{7570EC85-8954-4859-AF2C-409D67663ECA}"/>
    <cellStyle name="Normal 8 4 4 3" xfId="5281" xr:uid="{00000000-0005-0000-0000-00000F1E0000}"/>
    <cellStyle name="Normal 8 4 4 3 2" xfId="13776" xr:uid="{104E86EE-1BF4-42C3-8E74-2C4E05B476C8}"/>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2 2 2" xfId="16334" xr:uid="{E677DB4A-BE3C-4240-B1AD-F6918DE64189}"/>
    <cellStyle name="Normal 8 4 5 2 3" xfId="12121" xr:uid="{4C125861-95F8-417D-82A1-36F0D83EC768}"/>
    <cellStyle name="Normal 8 4 5 3" xfId="5694" xr:uid="{00000000-0005-0000-0000-0000131E0000}"/>
    <cellStyle name="Normal 8 4 5 3 2" xfId="14189" xr:uid="{B26790B9-FBC2-431D-AE19-9D41E5EE4502}"/>
    <cellStyle name="Normal 8 4 5 4" xfId="9976" xr:uid="{73814649-B91D-40B7-B7CE-87C738851767}"/>
    <cellStyle name="Normal 8 4 6" xfId="1800" xr:uid="{00000000-0005-0000-0000-0000141E0000}"/>
    <cellStyle name="Normal 8 4 6 2" xfId="4030" xr:uid="{00000000-0005-0000-0000-0000151E0000}"/>
    <cellStyle name="Normal 8 4 6 2 2" xfId="8252" xr:uid="{00000000-0005-0000-0000-0000161E0000}"/>
    <cellStyle name="Normal 8 4 6 2 2 2" xfId="16747" xr:uid="{0EBCDF65-EFEB-4724-ADC5-16C715EC2CF0}"/>
    <cellStyle name="Normal 8 4 6 2 3" xfId="12534" xr:uid="{4F2D4381-EDF8-494C-8532-F06BD3B38734}"/>
    <cellStyle name="Normal 8 4 6 3" xfId="6107" xr:uid="{00000000-0005-0000-0000-0000171E0000}"/>
    <cellStyle name="Normal 8 4 6 3 2" xfId="14602" xr:uid="{96216196-CCA1-4664-8406-B6904F250A38}"/>
    <cellStyle name="Normal 8 4 6 4" xfId="10389" xr:uid="{B97D9F24-0D3D-4B29-8DE4-7E548F66C1AA}"/>
    <cellStyle name="Normal 8 4 7" xfId="2214" xr:uid="{00000000-0005-0000-0000-0000181E0000}"/>
    <cellStyle name="Normal 8 4 7 2" xfId="4443" xr:uid="{00000000-0005-0000-0000-0000191E0000}"/>
    <cellStyle name="Normal 8 4 7 2 2" xfId="8665" xr:uid="{00000000-0005-0000-0000-00001A1E0000}"/>
    <cellStyle name="Normal 8 4 7 2 2 2" xfId="17160" xr:uid="{0ADED75F-1BBC-4676-9ACD-0A3E689DE5D2}"/>
    <cellStyle name="Normal 8 4 7 2 3" xfId="12947" xr:uid="{9337EC79-1B43-40F4-BE0F-CF7EB9461E00}"/>
    <cellStyle name="Normal 8 4 7 3" xfId="6520" xr:uid="{00000000-0005-0000-0000-00001B1E0000}"/>
    <cellStyle name="Normal 8 4 7 3 2" xfId="15015" xr:uid="{FBFDD7F3-7DA6-44C2-BD73-DB0A9CC2D3AE}"/>
    <cellStyle name="Normal 8 4 7 4" xfId="10802" xr:uid="{4B02D0BB-AFE8-49C4-8D7F-E923241321D9}"/>
    <cellStyle name="Normal 8 4 8" xfId="2650" xr:uid="{00000000-0005-0000-0000-00001C1E0000}"/>
    <cellStyle name="Normal 8 4 8 2" xfId="6933" xr:uid="{00000000-0005-0000-0000-00001D1E0000}"/>
    <cellStyle name="Normal 8 4 8 2 2" xfId="15428" xr:uid="{64E604D3-BCDB-4BA9-BABF-EA16648BD27C}"/>
    <cellStyle name="Normal 8 4 8 3" xfId="11215" xr:uid="{9014F281-C0FD-44A3-B74D-43930B6184BE}"/>
    <cellStyle name="Normal 8 4 9" xfId="4868" xr:uid="{00000000-0005-0000-0000-00001E1E0000}"/>
    <cellStyle name="Normal 8 4 9 2" xfId="13363" xr:uid="{65BE0806-DAF9-4C8F-AED6-184046D2F9DF}"/>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5926" xr:uid="{6C9E6084-B532-4A45-95FB-D34016B2EF42}"/>
    <cellStyle name="Normal 8 5 2 2 2 3" xfId="11713" xr:uid="{F2A2455F-14ED-4937-AC87-CEDE750C5F8F}"/>
    <cellStyle name="Normal 8 5 2 2 3" xfId="5286" xr:uid="{00000000-0005-0000-0000-0000241E0000}"/>
    <cellStyle name="Normal 8 5 2 2 3 2" xfId="13781" xr:uid="{9337C66C-0171-4B28-96A5-56F7FB7E8F45}"/>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2 2 2" xfId="16339" xr:uid="{DEBCF01D-C74C-46F2-AA45-77E7C5E06850}"/>
    <cellStyle name="Normal 8 5 2 3 2 3" xfId="12126" xr:uid="{281BFBA5-9795-41BC-854F-0E3C059CF7ED}"/>
    <cellStyle name="Normal 8 5 2 3 3" xfId="5699" xr:uid="{00000000-0005-0000-0000-0000281E0000}"/>
    <cellStyle name="Normal 8 5 2 3 3 2" xfId="14194" xr:uid="{F8AE5377-F188-4C0B-B135-76E1A76354C6}"/>
    <cellStyle name="Normal 8 5 2 3 4" xfId="9981" xr:uid="{5480BD4F-1AEF-4A14-BDA4-1028CFEE152A}"/>
    <cellStyle name="Normal 8 5 2 4" xfId="1805" xr:uid="{00000000-0005-0000-0000-0000291E0000}"/>
    <cellStyle name="Normal 8 5 2 4 2" xfId="4035" xr:uid="{00000000-0005-0000-0000-00002A1E0000}"/>
    <cellStyle name="Normal 8 5 2 4 2 2" xfId="8257" xr:uid="{00000000-0005-0000-0000-00002B1E0000}"/>
    <cellStyle name="Normal 8 5 2 4 2 2 2" xfId="16752" xr:uid="{51266D94-BB92-46A2-8C08-A61D8EA1EFBA}"/>
    <cellStyle name="Normal 8 5 2 4 2 3" xfId="12539" xr:uid="{5ACA09AA-F45A-4228-A145-6861656B00AF}"/>
    <cellStyle name="Normal 8 5 2 4 3" xfId="6112" xr:uid="{00000000-0005-0000-0000-00002C1E0000}"/>
    <cellStyle name="Normal 8 5 2 4 3 2" xfId="14607" xr:uid="{E4E7B384-D6E9-4B17-97AF-DF9EEEFC3785}"/>
    <cellStyle name="Normal 8 5 2 4 4" xfId="10394" xr:uid="{18E34EBF-38AD-4162-8447-AF2B111D01B4}"/>
    <cellStyle name="Normal 8 5 2 5" xfId="2219" xr:uid="{00000000-0005-0000-0000-00002D1E0000}"/>
    <cellStyle name="Normal 8 5 2 5 2" xfId="4448" xr:uid="{00000000-0005-0000-0000-00002E1E0000}"/>
    <cellStyle name="Normal 8 5 2 5 2 2" xfId="8670" xr:uid="{00000000-0005-0000-0000-00002F1E0000}"/>
    <cellStyle name="Normal 8 5 2 5 2 2 2" xfId="17165" xr:uid="{BE37C1E6-2C61-4D59-9E54-69BCD78BBE11}"/>
    <cellStyle name="Normal 8 5 2 5 2 3" xfId="12952" xr:uid="{33CEA47A-D216-4E24-9E1E-7DA037B8ABF0}"/>
    <cellStyle name="Normal 8 5 2 5 3" xfId="6525" xr:uid="{00000000-0005-0000-0000-0000301E0000}"/>
    <cellStyle name="Normal 8 5 2 5 3 2" xfId="15020" xr:uid="{9814209F-BB89-4D5D-B247-90C8626C12EC}"/>
    <cellStyle name="Normal 8 5 2 5 4" xfId="10807" xr:uid="{C8FC0BE5-1BE9-4943-AB90-FE70BEB4FD7E}"/>
    <cellStyle name="Normal 8 5 2 6" xfId="2655" xr:uid="{00000000-0005-0000-0000-0000311E0000}"/>
    <cellStyle name="Normal 8 5 2 6 2" xfId="6938" xr:uid="{00000000-0005-0000-0000-0000321E0000}"/>
    <cellStyle name="Normal 8 5 2 6 2 2" xfId="15433" xr:uid="{B29D19B8-1C91-4997-B196-5618A0314782}"/>
    <cellStyle name="Normal 8 5 2 6 3" xfId="11220" xr:uid="{C40FCBF0-18D0-43AD-8C3D-F1C9BB5F83FE}"/>
    <cellStyle name="Normal 8 5 2 7" xfId="4873" xr:uid="{00000000-0005-0000-0000-0000331E0000}"/>
    <cellStyle name="Normal 8 5 2 7 2" xfId="13368" xr:uid="{07DC7516-1A79-41F0-A186-8E76A6AA1A12}"/>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2 2 2" xfId="15925" xr:uid="{66437B56-B9A6-4D8D-B5E3-9E4E02067D5A}"/>
    <cellStyle name="Normal 8 5 3 2 3" xfId="11712" xr:uid="{F0549FDE-C5D5-4CA0-8D2A-3F73AA3B542D}"/>
    <cellStyle name="Normal 8 5 3 3" xfId="5285" xr:uid="{00000000-0005-0000-0000-0000371E0000}"/>
    <cellStyle name="Normal 8 5 3 3 2" xfId="13780" xr:uid="{E80F337D-3B45-4E0C-91CA-2830F3110825}"/>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2 2 2" xfId="16338" xr:uid="{0EA15EFA-7D52-43D9-BE84-17677BC669D2}"/>
    <cellStyle name="Normal 8 5 4 2 3" xfId="12125" xr:uid="{089E6F42-3480-4DBE-B497-871CAD5D9771}"/>
    <cellStyle name="Normal 8 5 4 3" xfId="5698" xr:uid="{00000000-0005-0000-0000-00003B1E0000}"/>
    <cellStyle name="Normal 8 5 4 3 2" xfId="14193" xr:uid="{0F01ADAC-6039-40EA-99E0-9154D9208435}"/>
    <cellStyle name="Normal 8 5 4 4" xfId="9980" xr:uid="{DF81BA70-0697-493F-9068-F15F8C4DFBA2}"/>
    <cellStyle name="Normal 8 5 5" xfId="1804" xr:uid="{00000000-0005-0000-0000-00003C1E0000}"/>
    <cellStyle name="Normal 8 5 5 2" xfId="4034" xr:uid="{00000000-0005-0000-0000-00003D1E0000}"/>
    <cellStyle name="Normal 8 5 5 2 2" xfId="8256" xr:uid="{00000000-0005-0000-0000-00003E1E0000}"/>
    <cellStyle name="Normal 8 5 5 2 2 2" xfId="16751" xr:uid="{5E4C9B92-7549-46BF-8F53-96F22209CE30}"/>
    <cellStyle name="Normal 8 5 5 2 3" xfId="12538" xr:uid="{8AC1FA0A-2CDF-4AAA-A9C8-2F9ED59BF552}"/>
    <cellStyle name="Normal 8 5 5 3" xfId="6111" xr:uid="{00000000-0005-0000-0000-00003F1E0000}"/>
    <cellStyle name="Normal 8 5 5 3 2" xfId="14606" xr:uid="{F327343C-65AE-468D-8DE4-47AA880613E9}"/>
    <cellStyle name="Normal 8 5 5 4" xfId="10393" xr:uid="{486F25B0-4846-4B7E-9133-156F8C56BFBC}"/>
    <cellStyle name="Normal 8 5 6" xfId="2218" xr:uid="{00000000-0005-0000-0000-0000401E0000}"/>
    <cellStyle name="Normal 8 5 6 2" xfId="4447" xr:uid="{00000000-0005-0000-0000-0000411E0000}"/>
    <cellStyle name="Normal 8 5 6 2 2" xfId="8669" xr:uid="{00000000-0005-0000-0000-0000421E0000}"/>
    <cellStyle name="Normal 8 5 6 2 2 2" xfId="17164" xr:uid="{A61EC4F0-7387-4547-9A07-E796A22AD823}"/>
    <cellStyle name="Normal 8 5 6 2 3" xfId="12951" xr:uid="{5D89158B-9A04-4A7E-9A04-CB96181DF08C}"/>
    <cellStyle name="Normal 8 5 6 3" xfId="6524" xr:uid="{00000000-0005-0000-0000-0000431E0000}"/>
    <cellStyle name="Normal 8 5 6 3 2" xfId="15019" xr:uid="{ABCED413-2391-4893-97FC-BED0F4A85B30}"/>
    <cellStyle name="Normal 8 5 6 4" xfId="10806" xr:uid="{D6349AF8-BFD9-42FB-A353-38BBA840ACE7}"/>
    <cellStyle name="Normal 8 5 7" xfId="2654" xr:uid="{00000000-0005-0000-0000-0000441E0000}"/>
    <cellStyle name="Normal 8 5 7 2" xfId="6937" xr:uid="{00000000-0005-0000-0000-0000451E0000}"/>
    <cellStyle name="Normal 8 5 7 2 2" xfId="15432" xr:uid="{DC1BC0BE-8B01-4E4D-BE7B-5C20C3C00630}"/>
    <cellStyle name="Normal 8 5 7 3" xfId="11219" xr:uid="{7F71BEA7-74EB-4AF0-9C3C-0C7910940A17}"/>
    <cellStyle name="Normal 8 5 8" xfId="4872" xr:uid="{00000000-0005-0000-0000-0000461E0000}"/>
    <cellStyle name="Normal 8 5 8 2" xfId="13367" xr:uid="{2210D76A-4530-44B5-92A1-C90BFEFE5E44}"/>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5927" xr:uid="{D1E0E5DB-66AE-4EF2-97CE-393D5D6EBC90}"/>
    <cellStyle name="Normal 8 6 2 2 3" xfId="11714" xr:uid="{BB754AC7-FDE7-4C11-ABA1-7624435A5590}"/>
    <cellStyle name="Normal 8 6 2 3" xfId="5287" xr:uid="{00000000-0005-0000-0000-00004B1E0000}"/>
    <cellStyle name="Normal 8 6 2 3 2" xfId="13782" xr:uid="{39321E78-57DE-4B1D-A786-7FB500CA628F}"/>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2 2 2" xfId="16340" xr:uid="{47242B07-1B90-4B65-8379-6DC74C7E2AAA}"/>
    <cellStyle name="Normal 8 6 3 2 3" xfId="12127" xr:uid="{C1762A5F-9082-41D7-90F2-324620FE31FE}"/>
    <cellStyle name="Normal 8 6 3 3" xfId="5700" xr:uid="{00000000-0005-0000-0000-00004F1E0000}"/>
    <cellStyle name="Normal 8 6 3 3 2" xfId="14195" xr:uid="{B7F05DC2-75F9-4AC3-81E3-96685CA264E4}"/>
    <cellStyle name="Normal 8 6 3 4" xfId="9982" xr:uid="{265F485F-8882-4182-AC28-1CF02E1E3AEB}"/>
    <cellStyle name="Normal 8 6 4" xfId="1806" xr:uid="{00000000-0005-0000-0000-0000501E0000}"/>
    <cellStyle name="Normal 8 6 4 2" xfId="4036" xr:uid="{00000000-0005-0000-0000-0000511E0000}"/>
    <cellStyle name="Normal 8 6 4 2 2" xfId="8258" xr:uid="{00000000-0005-0000-0000-0000521E0000}"/>
    <cellStyle name="Normal 8 6 4 2 2 2" xfId="16753" xr:uid="{DB95AE1B-5D4D-4949-8C53-A388D74277FC}"/>
    <cellStyle name="Normal 8 6 4 2 3" xfId="12540" xr:uid="{B1B88A72-AD8E-487A-A02E-5ED7E8380572}"/>
    <cellStyle name="Normal 8 6 4 3" xfId="6113" xr:uid="{00000000-0005-0000-0000-0000531E0000}"/>
    <cellStyle name="Normal 8 6 4 3 2" xfId="14608" xr:uid="{CB2C2780-39A9-4F00-AD15-7C8E3D00892E}"/>
    <cellStyle name="Normal 8 6 4 4" xfId="10395" xr:uid="{73FC238F-203A-4A24-897A-5615589AC6E6}"/>
    <cellStyle name="Normal 8 6 5" xfId="2220" xr:uid="{00000000-0005-0000-0000-0000541E0000}"/>
    <cellStyle name="Normal 8 6 5 2" xfId="4449" xr:uid="{00000000-0005-0000-0000-0000551E0000}"/>
    <cellStyle name="Normal 8 6 5 2 2" xfId="8671" xr:uid="{00000000-0005-0000-0000-0000561E0000}"/>
    <cellStyle name="Normal 8 6 5 2 2 2" xfId="17166" xr:uid="{FDE1ABF1-B84E-40FF-B5D4-34ECA6BFC7DC}"/>
    <cellStyle name="Normal 8 6 5 2 3" xfId="12953" xr:uid="{7569773F-993C-490B-B8E6-2B20EFDE549C}"/>
    <cellStyle name="Normal 8 6 5 3" xfId="6526" xr:uid="{00000000-0005-0000-0000-0000571E0000}"/>
    <cellStyle name="Normal 8 6 5 3 2" xfId="15021" xr:uid="{7E38CB02-B0BE-4AD4-AC25-C33D5FC807F8}"/>
    <cellStyle name="Normal 8 6 5 4" xfId="10808" xr:uid="{012C9FF4-C392-4923-B44A-3EAF8CAD8816}"/>
    <cellStyle name="Normal 8 6 6" xfId="2656" xr:uid="{00000000-0005-0000-0000-0000581E0000}"/>
    <cellStyle name="Normal 8 6 6 2" xfId="6939" xr:uid="{00000000-0005-0000-0000-0000591E0000}"/>
    <cellStyle name="Normal 8 6 6 2 2" xfId="15434" xr:uid="{94D93907-E53C-4320-876D-1781BEF9C9FC}"/>
    <cellStyle name="Normal 8 6 6 3" xfId="11221" xr:uid="{ED9A671A-0CC7-4D73-B8EC-55EF053887AC}"/>
    <cellStyle name="Normal 8 6 7" xfId="4874" xr:uid="{00000000-0005-0000-0000-00005A1E0000}"/>
    <cellStyle name="Normal 8 6 7 2" xfId="13369" xr:uid="{D439D196-5BCA-40C0-BFFA-6BCA33F7BC42}"/>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2 2 2" xfId="15896" xr:uid="{E3FF09BC-9DE3-40BD-AD68-5CC27BA3C549}"/>
    <cellStyle name="Normal 8 7 2 3" xfId="11683" xr:uid="{F22521E7-7E22-4FF2-AE28-C666E2786FB1}"/>
    <cellStyle name="Normal 8 7 3" xfId="5256" xr:uid="{00000000-0005-0000-0000-00005E1E0000}"/>
    <cellStyle name="Normal 8 7 3 2" xfId="13751" xr:uid="{B1EBE159-0CFC-4410-AF66-744ED56DD9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2 2 2" xfId="16309" xr:uid="{14FCD47A-ACD4-411F-B6C6-92AA0C847D28}"/>
    <cellStyle name="Normal 8 8 2 3" xfId="12096" xr:uid="{BCDEC3FF-54B0-4AEC-B401-FE978E58B308}"/>
    <cellStyle name="Normal 8 8 3" xfId="5669" xr:uid="{00000000-0005-0000-0000-0000621E0000}"/>
    <cellStyle name="Normal 8 8 3 2" xfId="14164" xr:uid="{FBC78D72-7C04-40A3-8B4B-B685B6E8337F}"/>
    <cellStyle name="Normal 8 8 4" xfId="9951" xr:uid="{9BA6ED31-BD30-4E7D-94A3-B6AB8411A5B6}"/>
    <cellStyle name="Normal 8 9" xfId="1775" xr:uid="{00000000-0005-0000-0000-0000631E0000}"/>
    <cellStyle name="Normal 8 9 2" xfId="4005" xr:uid="{00000000-0005-0000-0000-0000641E0000}"/>
    <cellStyle name="Normal 8 9 2 2" xfId="8227" xr:uid="{00000000-0005-0000-0000-0000651E0000}"/>
    <cellStyle name="Normal 8 9 2 2 2" xfId="16722" xr:uid="{BF173BEE-4A60-4A4A-9043-2786FF1C4DA4}"/>
    <cellStyle name="Normal 8 9 2 3" xfId="12509" xr:uid="{20F03E3A-FA3C-4430-A0E4-02950B110F1F}"/>
    <cellStyle name="Normal 8 9 3" xfId="6082" xr:uid="{00000000-0005-0000-0000-0000661E0000}"/>
    <cellStyle name="Normal 8 9 3 2" xfId="14577" xr:uid="{035A2848-F9EF-4019-B0BC-1B9FAFFCB548}"/>
    <cellStyle name="Normal 8 9 4" xfId="10364" xr:uid="{8CB515AD-4914-4D29-9DEB-F61D0662C744}"/>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5435" xr:uid="{7198E620-EC95-4001-8BDF-0AAC7A3F1541}"/>
    <cellStyle name="Normal 9 2 10 3" xfId="11222" xr:uid="{5F4105A9-427C-4BCF-B661-95F8A55E16ED}"/>
    <cellStyle name="Normal 9 2 11" xfId="4875" xr:uid="{00000000-0005-0000-0000-00006B1E0000}"/>
    <cellStyle name="Normal 9 2 11 2" xfId="13370" xr:uid="{2B6841C5-A2A3-455C-8088-6974D95AABC2}"/>
    <cellStyle name="Normal 9 2 12" xfId="8754" xr:uid="{9024D06A-4C5F-4C89-BCDB-29B8C924FF52}"/>
    <cellStyle name="Normal 9 2 2" xfId="512" xr:uid="{00000000-0005-0000-0000-00006C1E0000}"/>
    <cellStyle name="Normal 9 2 2 10" xfId="4876" xr:uid="{00000000-0005-0000-0000-00006D1E0000}"/>
    <cellStyle name="Normal 9 2 2 10 2" xfId="13371" xr:uid="{C32EE131-34B8-4CC3-B3BE-B2C031A9C2D5}"/>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5932" xr:uid="{96E35CF3-8A77-41FA-973C-AA0402A379DA}"/>
    <cellStyle name="Normal 9 2 2 2 2 2 2 2 3" xfId="11719" xr:uid="{0B995D0D-11FA-4D9F-A071-FEE5B2C64D99}"/>
    <cellStyle name="Normal 9 2 2 2 2 2 2 3" xfId="5292" xr:uid="{00000000-0005-0000-0000-0000741E0000}"/>
    <cellStyle name="Normal 9 2 2 2 2 2 2 3 2" xfId="13787" xr:uid="{1438E14B-F138-4A8A-9708-14CBF4FC7427}"/>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6345" xr:uid="{6C509904-896D-4A26-934A-98649EE3CF17}"/>
    <cellStyle name="Normal 9 2 2 2 2 2 3 2 3" xfId="12132" xr:uid="{3FE6A823-7735-463A-B9C2-FC7D45F16E81}"/>
    <cellStyle name="Normal 9 2 2 2 2 2 3 3" xfId="5705" xr:uid="{00000000-0005-0000-0000-0000781E0000}"/>
    <cellStyle name="Normal 9 2 2 2 2 2 3 3 2" xfId="14200" xr:uid="{D6E39EC2-2B41-4C3F-B1C2-98BA15EED8D9}"/>
    <cellStyle name="Normal 9 2 2 2 2 2 3 4" xfId="9987" xr:uid="{6F09D4A1-BFB0-4CAB-B208-CCE47CFF2DC1}"/>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6758" xr:uid="{FC62E230-4EFB-4AC5-BAA4-0A45A449AD8E}"/>
    <cellStyle name="Normal 9 2 2 2 2 2 4 2 3" xfId="12545" xr:uid="{2E417354-4B27-4D72-893B-7EA48EFA7595}"/>
    <cellStyle name="Normal 9 2 2 2 2 2 4 3" xfId="6118" xr:uid="{00000000-0005-0000-0000-00007C1E0000}"/>
    <cellStyle name="Normal 9 2 2 2 2 2 4 3 2" xfId="14613" xr:uid="{568FE63B-08E1-4CA8-9D7E-29518DE1755F}"/>
    <cellStyle name="Normal 9 2 2 2 2 2 4 4" xfId="10400" xr:uid="{E00597ED-A335-4A0F-9AED-1218232E361B}"/>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7171" xr:uid="{86ED001C-8AAD-48CC-992D-C93800EAA338}"/>
    <cellStyle name="Normal 9 2 2 2 2 2 5 2 3" xfId="12958" xr:uid="{7D365C4D-6B15-4F80-B7B9-6FFE7F138749}"/>
    <cellStyle name="Normal 9 2 2 2 2 2 5 3" xfId="6531" xr:uid="{00000000-0005-0000-0000-0000801E0000}"/>
    <cellStyle name="Normal 9 2 2 2 2 2 5 3 2" xfId="15026" xr:uid="{4768DF8A-A5E4-4DA8-8AE2-A8B1485CE44D}"/>
    <cellStyle name="Normal 9 2 2 2 2 2 5 4" xfId="10813" xr:uid="{5EC27BC8-EFA4-46D6-AB34-1B2A20275535}"/>
    <cellStyle name="Normal 9 2 2 2 2 2 6" xfId="2661" xr:uid="{00000000-0005-0000-0000-0000811E0000}"/>
    <cellStyle name="Normal 9 2 2 2 2 2 6 2" xfId="6944" xr:uid="{00000000-0005-0000-0000-0000821E0000}"/>
    <cellStyle name="Normal 9 2 2 2 2 2 6 2 2" xfId="15439" xr:uid="{A6DF1B06-0BCA-4941-841A-524D9DC17781}"/>
    <cellStyle name="Normal 9 2 2 2 2 2 6 3" xfId="11226" xr:uid="{D8ED12CA-7400-4883-ADDF-BB579365E735}"/>
    <cellStyle name="Normal 9 2 2 2 2 2 7" xfId="4879" xr:uid="{00000000-0005-0000-0000-0000831E0000}"/>
    <cellStyle name="Normal 9 2 2 2 2 2 7 2" xfId="13374" xr:uid="{A216D66C-308A-40DF-AC65-53B6F076C737}"/>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5931" xr:uid="{72C6F90B-EBAE-447A-9300-4268900FFF7B}"/>
    <cellStyle name="Normal 9 2 2 2 2 3 2 3" xfId="11718" xr:uid="{742F9D26-6AA0-4F70-A4D2-47D15A99409E}"/>
    <cellStyle name="Normal 9 2 2 2 2 3 3" xfId="5291" xr:uid="{00000000-0005-0000-0000-0000871E0000}"/>
    <cellStyle name="Normal 9 2 2 2 2 3 3 2" xfId="13786" xr:uid="{EF9860EF-133A-415D-907E-5587952B06EC}"/>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6344" xr:uid="{DFDD8322-B5CC-471F-B124-301BB29F7DFE}"/>
    <cellStyle name="Normal 9 2 2 2 2 4 2 3" xfId="12131" xr:uid="{72D31156-C6EB-4320-9BC9-EE656F9C95A2}"/>
    <cellStyle name="Normal 9 2 2 2 2 4 3" xfId="5704" xr:uid="{00000000-0005-0000-0000-00008B1E0000}"/>
    <cellStyle name="Normal 9 2 2 2 2 4 3 2" xfId="14199" xr:uid="{1256A2F7-AFCB-4656-B84F-A0CC1C84C709}"/>
    <cellStyle name="Normal 9 2 2 2 2 4 4" xfId="9986" xr:uid="{E226C880-1136-4CE1-8972-C3C1236351A4}"/>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6757" xr:uid="{2A1200A4-9347-49B6-AF5F-32B104194B56}"/>
    <cellStyle name="Normal 9 2 2 2 2 5 2 3" xfId="12544" xr:uid="{15EEDE74-5450-49D0-BA00-953259B37A86}"/>
    <cellStyle name="Normal 9 2 2 2 2 5 3" xfId="6117" xr:uid="{00000000-0005-0000-0000-00008F1E0000}"/>
    <cellStyle name="Normal 9 2 2 2 2 5 3 2" xfId="14612" xr:uid="{F458D172-3828-4C35-B413-7C475D47F76D}"/>
    <cellStyle name="Normal 9 2 2 2 2 5 4" xfId="10399" xr:uid="{64E5D2AC-DF96-4DAC-9FA7-27008904DE4E}"/>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7170" xr:uid="{5C1AF6BD-0BA8-4D00-8B1B-E1AAFAE487AD}"/>
    <cellStyle name="Normal 9 2 2 2 2 6 2 3" xfId="12957" xr:uid="{34DE9762-52C7-474A-8487-637E8332F41E}"/>
    <cellStyle name="Normal 9 2 2 2 2 6 3" xfId="6530" xr:uid="{00000000-0005-0000-0000-0000931E0000}"/>
    <cellStyle name="Normal 9 2 2 2 2 6 3 2" xfId="15025" xr:uid="{5E02D74B-8B0A-41C2-9B21-95EC0FCD75DD}"/>
    <cellStyle name="Normal 9 2 2 2 2 6 4" xfId="10812" xr:uid="{16B482F5-0C0A-4701-8F4A-C4C7C2E73A02}"/>
    <cellStyle name="Normal 9 2 2 2 2 7" xfId="2660" xr:uid="{00000000-0005-0000-0000-0000941E0000}"/>
    <cellStyle name="Normal 9 2 2 2 2 7 2" xfId="6943" xr:uid="{00000000-0005-0000-0000-0000951E0000}"/>
    <cellStyle name="Normal 9 2 2 2 2 7 2 2" xfId="15438" xr:uid="{4F38D20A-66CA-4E1D-B5D4-A73F812D9F46}"/>
    <cellStyle name="Normal 9 2 2 2 2 7 3" xfId="11225" xr:uid="{E882F097-661F-425B-8475-043E645AEC83}"/>
    <cellStyle name="Normal 9 2 2 2 2 8" xfId="4878" xr:uid="{00000000-0005-0000-0000-0000961E0000}"/>
    <cellStyle name="Normal 9 2 2 2 2 8 2" xfId="13373" xr:uid="{E258D863-BFE1-441B-B0F7-76E291F89DE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5933" xr:uid="{D72660DD-C689-4192-978F-E35C7C7D5ED0}"/>
    <cellStyle name="Normal 9 2 2 2 3 2 2 3" xfId="11720" xr:uid="{3782FC3C-9B88-4088-AD46-DAC785FB9259}"/>
    <cellStyle name="Normal 9 2 2 2 3 2 3" xfId="5293" xr:uid="{00000000-0005-0000-0000-00009B1E0000}"/>
    <cellStyle name="Normal 9 2 2 2 3 2 3 2" xfId="13788" xr:uid="{89D99F85-5E5E-4E9D-9779-D9867E81B21F}"/>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6346" xr:uid="{DB042A2F-7255-4191-B050-13AD933C7402}"/>
    <cellStyle name="Normal 9 2 2 2 3 3 2 3" xfId="12133" xr:uid="{0EE94B17-12E1-4188-8906-2CCA85BD6B57}"/>
    <cellStyle name="Normal 9 2 2 2 3 3 3" xfId="5706" xr:uid="{00000000-0005-0000-0000-00009F1E0000}"/>
    <cellStyle name="Normal 9 2 2 2 3 3 3 2" xfId="14201" xr:uid="{25E992F7-600F-479A-8741-AD0F5D8407D6}"/>
    <cellStyle name="Normal 9 2 2 2 3 3 4" xfId="9988" xr:uid="{7F9D9BF4-657A-417A-A653-39708371045F}"/>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6759" xr:uid="{F962B002-97E9-495E-AA7F-40995C1ED82F}"/>
    <cellStyle name="Normal 9 2 2 2 3 4 2 3" xfId="12546" xr:uid="{66018E3E-5141-46E1-84D4-95F5E2213249}"/>
    <cellStyle name="Normal 9 2 2 2 3 4 3" xfId="6119" xr:uid="{00000000-0005-0000-0000-0000A31E0000}"/>
    <cellStyle name="Normal 9 2 2 2 3 4 3 2" xfId="14614" xr:uid="{454FF4B9-3E5B-41DE-B91E-7D6D22B2A8DD}"/>
    <cellStyle name="Normal 9 2 2 2 3 4 4" xfId="10401" xr:uid="{A605FA30-552A-46F1-87CB-00B02351066D}"/>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7172" xr:uid="{3A66DF59-1B48-49EA-BA70-CBCE53EC7ACC}"/>
    <cellStyle name="Normal 9 2 2 2 3 5 2 3" xfId="12959" xr:uid="{709D2FA7-1F59-4F50-B4D4-9D0D88E79457}"/>
    <cellStyle name="Normal 9 2 2 2 3 5 3" xfId="6532" xr:uid="{00000000-0005-0000-0000-0000A71E0000}"/>
    <cellStyle name="Normal 9 2 2 2 3 5 3 2" xfId="15027" xr:uid="{7FDA5389-986D-4276-8C53-8E652A2375AC}"/>
    <cellStyle name="Normal 9 2 2 2 3 5 4" xfId="10814" xr:uid="{106FC6C7-2881-49F7-B857-EEB44469A378}"/>
    <cellStyle name="Normal 9 2 2 2 3 6" xfId="2662" xr:uid="{00000000-0005-0000-0000-0000A81E0000}"/>
    <cellStyle name="Normal 9 2 2 2 3 6 2" xfId="6945" xr:uid="{00000000-0005-0000-0000-0000A91E0000}"/>
    <cellStyle name="Normal 9 2 2 2 3 6 2 2" xfId="15440" xr:uid="{6CC560ED-13BF-4505-AC62-42AA90179860}"/>
    <cellStyle name="Normal 9 2 2 2 3 6 3" xfId="11227" xr:uid="{06A3B2A6-BDBE-4D61-9B8F-4921BA720A7A}"/>
    <cellStyle name="Normal 9 2 2 2 3 7" xfId="4880" xr:uid="{00000000-0005-0000-0000-0000AA1E0000}"/>
    <cellStyle name="Normal 9 2 2 2 3 7 2" xfId="13375" xr:uid="{DBCCE64F-CAB0-417F-BADF-DFD5F12A6D7E}"/>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5930" xr:uid="{2F472DB1-1324-4D95-A2A3-3E71FBB93D7F}"/>
    <cellStyle name="Normal 9 2 2 2 4 2 3" xfId="11717" xr:uid="{5FE92120-971D-4638-9F23-27A5426F923C}"/>
    <cellStyle name="Normal 9 2 2 2 4 3" xfId="5290" xr:uid="{00000000-0005-0000-0000-0000AE1E0000}"/>
    <cellStyle name="Normal 9 2 2 2 4 3 2" xfId="13785" xr:uid="{976C018A-8967-42F3-B93D-04C99319BF1D}"/>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6343" xr:uid="{DCB14EC8-0791-411B-8216-BEADF1BF53BE}"/>
    <cellStyle name="Normal 9 2 2 2 5 2 3" xfId="12130" xr:uid="{CACE72BB-16F3-4706-ADAE-2154AF9B141B}"/>
    <cellStyle name="Normal 9 2 2 2 5 3" xfId="5703" xr:uid="{00000000-0005-0000-0000-0000B21E0000}"/>
    <cellStyle name="Normal 9 2 2 2 5 3 2" xfId="14198" xr:uid="{00664BAB-D76B-40DF-AECC-BE868A9B530C}"/>
    <cellStyle name="Normal 9 2 2 2 5 4" xfId="9985" xr:uid="{68C12A7B-9C87-4EE4-8D6B-E0471E8AA105}"/>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6756" xr:uid="{D5053AFD-15FC-4D51-952C-2E3AD3B66831}"/>
    <cellStyle name="Normal 9 2 2 2 6 2 3" xfId="12543" xr:uid="{78D277ED-428D-45C5-A2BC-3E02FC118605}"/>
    <cellStyle name="Normal 9 2 2 2 6 3" xfId="6116" xr:uid="{00000000-0005-0000-0000-0000B61E0000}"/>
    <cellStyle name="Normal 9 2 2 2 6 3 2" xfId="14611" xr:uid="{FFFD292B-2F87-4592-B622-F6CEA0890395}"/>
    <cellStyle name="Normal 9 2 2 2 6 4" xfId="10398" xr:uid="{EBE00090-7B4A-4460-8EFE-40B4795BF068}"/>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7169" xr:uid="{9E9689EF-486E-49D4-B8D2-1487402CA864}"/>
    <cellStyle name="Normal 9 2 2 2 7 2 3" xfId="12956" xr:uid="{F5E77727-A69A-48ED-9C73-6DE0DDB5C010}"/>
    <cellStyle name="Normal 9 2 2 2 7 3" xfId="6529" xr:uid="{00000000-0005-0000-0000-0000BA1E0000}"/>
    <cellStyle name="Normal 9 2 2 2 7 3 2" xfId="15024" xr:uid="{7C42E187-A772-4EEB-BD19-BB227AD33D06}"/>
    <cellStyle name="Normal 9 2 2 2 7 4" xfId="10811" xr:uid="{4936D3D2-C155-48C1-9426-1E1BECC3FFEF}"/>
    <cellStyle name="Normal 9 2 2 2 8" xfId="2659" xr:uid="{00000000-0005-0000-0000-0000BB1E0000}"/>
    <cellStyle name="Normal 9 2 2 2 8 2" xfId="6942" xr:uid="{00000000-0005-0000-0000-0000BC1E0000}"/>
    <cellStyle name="Normal 9 2 2 2 8 2 2" xfId="15437" xr:uid="{A711ECA6-3183-43F3-B044-4B6DBBC8C214}"/>
    <cellStyle name="Normal 9 2 2 2 8 3" xfId="11224" xr:uid="{BFF6DBC6-AC6C-4F63-8351-AF0A47BDF0FF}"/>
    <cellStyle name="Normal 9 2 2 2 9" xfId="4877" xr:uid="{00000000-0005-0000-0000-0000BD1E0000}"/>
    <cellStyle name="Normal 9 2 2 2 9 2" xfId="13372" xr:uid="{1D016677-01A5-4C53-BDDF-AD19AE9A892C}"/>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5935" xr:uid="{0AE5CEC9-1589-4ECD-AA9C-20343CE8EFD2}"/>
    <cellStyle name="Normal 9 2 2 3 2 2 2 3" xfId="11722" xr:uid="{EB0F4D7D-7F76-438F-8777-A2BBFB26776A}"/>
    <cellStyle name="Normal 9 2 2 3 2 2 3" xfId="5295" xr:uid="{00000000-0005-0000-0000-0000C31E0000}"/>
    <cellStyle name="Normal 9 2 2 3 2 2 3 2" xfId="13790" xr:uid="{D7AA4FB5-83B1-4516-B2B4-EC5F18C0FFB7}"/>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6348" xr:uid="{E01C956E-37DD-4C8D-A18C-90B252C02215}"/>
    <cellStyle name="Normal 9 2 2 3 2 3 2 3" xfId="12135" xr:uid="{B12FC157-B526-4F49-97F1-722590B39F7C}"/>
    <cellStyle name="Normal 9 2 2 3 2 3 3" xfId="5708" xr:uid="{00000000-0005-0000-0000-0000C71E0000}"/>
    <cellStyle name="Normal 9 2 2 3 2 3 3 2" xfId="14203" xr:uid="{53D8D49B-0144-40DF-A240-4E2A2218C22E}"/>
    <cellStyle name="Normal 9 2 2 3 2 3 4" xfId="9990" xr:uid="{F6474DA8-1E61-4632-A027-E4953A6DEB54}"/>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6761" xr:uid="{9EF46528-A1BA-4EED-923C-09E645EB8991}"/>
    <cellStyle name="Normal 9 2 2 3 2 4 2 3" xfId="12548" xr:uid="{558FC377-8341-4504-B5A2-9E4254840593}"/>
    <cellStyle name="Normal 9 2 2 3 2 4 3" xfId="6121" xr:uid="{00000000-0005-0000-0000-0000CB1E0000}"/>
    <cellStyle name="Normal 9 2 2 3 2 4 3 2" xfId="14616" xr:uid="{85E09965-2667-45DE-9317-D40C0933219C}"/>
    <cellStyle name="Normal 9 2 2 3 2 4 4" xfId="10403" xr:uid="{9495A7AE-6CE8-4E34-AEBD-4D4421746511}"/>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7174" xr:uid="{DAF146A0-2B97-4DAF-93AC-5A675F85A7DB}"/>
    <cellStyle name="Normal 9 2 2 3 2 5 2 3" xfId="12961" xr:uid="{A869F686-C25B-4CA1-968C-9360B7CCF558}"/>
    <cellStyle name="Normal 9 2 2 3 2 5 3" xfId="6534" xr:uid="{00000000-0005-0000-0000-0000CF1E0000}"/>
    <cellStyle name="Normal 9 2 2 3 2 5 3 2" xfId="15029" xr:uid="{141796F0-D0C7-4E2E-A8CE-884A8FC62F6C}"/>
    <cellStyle name="Normal 9 2 2 3 2 5 4" xfId="10816" xr:uid="{83C7C45A-AF91-4D66-9609-8DA38AAD88D9}"/>
    <cellStyle name="Normal 9 2 2 3 2 6" xfId="2664" xr:uid="{00000000-0005-0000-0000-0000D01E0000}"/>
    <cellStyle name="Normal 9 2 2 3 2 6 2" xfId="6947" xr:uid="{00000000-0005-0000-0000-0000D11E0000}"/>
    <cellStyle name="Normal 9 2 2 3 2 6 2 2" xfId="15442" xr:uid="{A746FA46-FCB4-49A6-9064-8C79AA3C3A9A}"/>
    <cellStyle name="Normal 9 2 2 3 2 6 3" xfId="11229" xr:uid="{4FFCC09D-8BC2-45E2-928D-C33586B2E12A}"/>
    <cellStyle name="Normal 9 2 2 3 2 7" xfId="4882" xr:uid="{00000000-0005-0000-0000-0000D21E0000}"/>
    <cellStyle name="Normal 9 2 2 3 2 7 2" xfId="13377" xr:uid="{3EE4478F-46C1-458A-8F51-BE7C0B0E86E8}"/>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5934" xr:uid="{BC3976EF-8E95-41A6-A07D-6DDDC44D81E4}"/>
    <cellStyle name="Normal 9 2 2 3 3 2 3" xfId="11721" xr:uid="{5786907C-96D6-47E1-A74B-7DAF79D09499}"/>
    <cellStyle name="Normal 9 2 2 3 3 3" xfId="5294" xr:uid="{00000000-0005-0000-0000-0000D61E0000}"/>
    <cellStyle name="Normal 9 2 2 3 3 3 2" xfId="13789" xr:uid="{19E6BC0F-BD5F-47DE-BFFE-EEF41A9D5B1C}"/>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6347" xr:uid="{24B69FB3-3FA5-4FEF-9460-78D7AE0D366F}"/>
    <cellStyle name="Normal 9 2 2 3 4 2 3" xfId="12134" xr:uid="{ED5CA988-BA0F-425C-8490-3678FA8D3604}"/>
    <cellStyle name="Normal 9 2 2 3 4 3" xfId="5707" xr:uid="{00000000-0005-0000-0000-0000DA1E0000}"/>
    <cellStyle name="Normal 9 2 2 3 4 3 2" xfId="14202" xr:uid="{1E52FD0D-50C6-44ED-B992-9074A47D3628}"/>
    <cellStyle name="Normal 9 2 2 3 4 4" xfId="9989" xr:uid="{549ED150-9BFD-4394-ACC7-FF7AD0068C9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6760" xr:uid="{824DD6BD-BF9C-42F8-94D4-1312F475EFCC}"/>
    <cellStyle name="Normal 9 2 2 3 5 2 3" xfId="12547" xr:uid="{6C7DE1BF-A18F-4C7C-BCE0-246F1DFA381E}"/>
    <cellStyle name="Normal 9 2 2 3 5 3" xfId="6120" xr:uid="{00000000-0005-0000-0000-0000DE1E0000}"/>
    <cellStyle name="Normal 9 2 2 3 5 3 2" xfId="14615" xr:uid="{6AC563AC-AE24-4BD8-86E6-37055C9BB331}"/>
    <cellStyle name="Normal 9 2 2 3 5 4" xfId="10402" xr:uid="{AA9397BD-BA65-4D5A-B335-432EF797B692}"/>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7173" xr:uid="{E715C261-5E33-459F-BD36-FF6EF60F7671}"/>
    <cellStyle name="Normal 9 2 2 3 6 2 3" xfId="12960" xr:uid="{4552939C-C6E5-4B68-8B7B-50564EE9C511}"/>
    <cellStyle name="Normal 9 2 2 3 6 3" xfId="6533" xr:uid="{00000000-0005-0000-0000-0000E21E0000}"/>
    <cellStyle name="Normal 9 2 2 3 6 3 2" xfId="15028" xr:uid="{B82FD395-38B1-4CDF-8A6E-9FA459EF70DA}"/>
    <cellStyle name="Normal 9 2 2 3 6 4" xfId="10815" xr:uid="{6BFF0D24-4697-4148-82F7-9CCA9758AE5B}"/>
    <cellStyle name="Normal 9 2 2 3 7" xfId="2663" xr:uid="{00000000-0005-0000-0000-0000E31E0000}"/>
    <cellStyle name="Normal 9 2 2 3 7 2" xfId="6946" xr:uid="{00000000-0005-0000-0000-0000E41E0000}"/>
    <cellStyle name="Normal 9 2 2 3 7 2 2" xfId="15441" xr:uid="{C06F1B99-8238-4466-88A3-A83CED967785}"/>
    <cellStyle name="Normal 9 2 2 3 7 3" xfId="11228" xr:uid="{D43FACE6-6FF7-406C-9721-92F2AD8A671A}"/>
    <cellStyle name="Normal 9 2 2 3 8" xfId="4881" xr:uid="{00000000-0005-0000-0000-0000E51E0000}"/>
    <cellStyle name="Normal 9 2 2 3 8 2" xfId="13376" xr:uid="{061DD25C-5BF9-48D0-8196-E545E3A9E529}"/>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5936" xr:uid="{3B265709-0809-4F2D-B5A3-F9DB581B6624}"/>
    <cellStyle name="Normal 9 2 2 4 2 2 3" xfId="11723" xr:uid="{524B3B1A-77A5-42D3-8ECA-E7FB7B4FDC98}"/>
    <cellStyle name="Normal 9 2 2 4 2 3" xfId="5296" xr:uid="{00000000-0005-0000-0000-0000EA1E0000}"/>
    <cellStyle name="Normal 9 2 2 4 2 3 2" xfId="13791" xr:uid="{E6D7ED86-C045-4C21-A250-C083B1446F61}"/>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6349" xr:uid="{9A8530B5-A4F0-4EAA-B355-318AC93399F3}"/>
    <cellStyle name="Normal 9 2 2 4 3 2 3" xfId="12136" xr:uid="{5D0FF4CD-71DE-4593-95A3-6E6FEF437B0D}"/>
    <cellStyle name="Normal 9 2 2 4 3 3" xfId="5709" xr:uid="{00000000-0005-0000-0000-0000EE1E0000}"/>
    <cellStyle name="Normal 9 2 2 4 3 3 2" xfId="14204" xr:uid="{126F93E4-6298-430D-909F-B39B74612791}"/>
    <cellStyle name="Normal 9 2 2 4 3 4" xfId="9991" xr:uid="{0EF7827E-B6FE-474A-80B4-40FE1FCEAC9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6762" xr:uid="{F653D4A1-FBC2-48C6-9860-E3759E6BD925}"/>
    <cellStyle name="Normal 9 2 2 4 4 2 3" xfId="12549" xr:uid="{3862E6A7-49F4-4B07-B74A-B72F017A259D}"/>
    <cellStyle name="Normal 9 2 2 4 4 3" xfId="6122" xr:uid="{00000000-0005-0000-0000-0000F21E0000}"/>
    <cellStyle name="Normal 9 2 2 4 4 3 2" xfId="14617" xr:uid="{2B86EF16-8BDB-480C-A246-A4BE59743977}"/>
    <cellStyle name="Normal 9 2 2 4 4 4" xfId="10404" xr:uid="{E57552CF-69BD-46C6-9861-A4856A703490}"/>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7175" xr:uid="{FB8FF1C7-9050-4189-A875-A9DAA104E575}"/>
    <cellStyle name="Normal 9 2 2 4 5 2 3" xfId="12962" xr:uid="{FB8B8B8F-7A33-4EB0-A41B-6F3C7D0BD49A}"/>
    <cellStyle name="Normal 9 2 2 4 5 3" xfId="6535" xr:uid="{00000000-0005-0000-0000-0000F61E0000}"/>
    <cellStyle name="Normal 9 2 2 4 5 3 2" xfId="15030" xr:uid="{0C035690-642E-4B38-A17B-8AD0FA5AF70C}"/>
    <cellStyle name="Normal 9 2 2 4 5 4" xfId="10817" xr:uid="{A5071989-9A6C-4F65-81F8-CCA0D3998D4B}"/>
    <cellStyle name="Normal 9 2 2 4 6" xfId="2665" xr:uid="{00000000-0005-0000-0000-0000F71E0000}"/>
    <cellStyle name="Normal 9 2 2 4 6 2" xfId="6948" xr:uid="{00000000-0005-0000-0000-0000F81E0000}"/>
    <cellStyle name="Normal 9 2 2 4 6 2 2" xfId="15443" xr:uid="{9211A03E-524F-49B2-A440-15F953F97EDA}"/>
    <cellStyle name="Normal 9 2 2 4 6 3" xfId="11230" xr:uid="{EEBF9E8C-6AAD-43B4-A493-E8C7F1A6526C}"/>
    <cellStyle name="Normal 9 2 2 4 7" xfId="4883" xr:uid="{00000000-0005-0000-0000-0000F91E0000}"/>
    <cellStyle name="Normal 9 2 2 4 7 2" xfId="13378" xr:uid="{532F03BD-C9B4-4690-8F23-EA9D51BFCEED}"/>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2 2 2" xfId="15929" xr:uid="{21C9690F-041F-4668-BD2B-037BDDB9E9FF}"/>
    <cellStyle name="Normal 9 2 2 5 2 3" xfId="11716" xr:uid="{870BB9A8-A26C-4D85-9010-44757734620F}"/>
    <cellStyle name="Normal 9 2 2 5 3" xfId="5289" xr:uid="{00000000-0005-0000-0000-0000FD1E0000}"/>
    <cellStyle name="Normal 9 2 2 5 3 2" xfId="13784" xr:uid="{4069F952-8F71-4A9B-AD6E-DA091363DAA6}"/>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2 2 2" xfId="16342" xr:uid="{479EB58A-AA70-4472-ABF3-18302BC5B236}"/>
    <cellStyle name="Normal 9 2 2 6 2 3" xfId="12129" xr:uid="{020C589D-D8AA-4C9A-B8AD-88EE775E5027}"/>
    <cellStyle name="Normal 9 2 2 6 3" xfId="5702" xr:uid="{00000000-0005-0000-0000-0000011F0000}"/>
    <cellStyle name="Normal 9 2 2 6 3 2" xfId="14197" xr:uid="{3F62B743-59FE-4A08-9042-CEE2050E1501}"/>
    <cellStyle name="Normal 9 2 2 6 4" xfId="9984" xr:uid="{E388F992-69B7-4D6D-98CD-7B5EEECC1B8E}"/>
    <cellStyle name="Normal 9 2 2 7" xfId="1808" xr:uid="{00000000-0005-0000-0000-0000021F0000}"/>
    <cellStyle name="Normal 9 2 2 7 2" xfId="4038" xr:uid="{00000000-0005-0000-0000-0000031F0000}"/>
    <cellStyle name="Normal 9 2 2 7 2 2" xfId="8260" xr:uid="{00000000-0005-0000-0000-0000041F0000}"/>
    <cellStyle name="Normal 9 2 2 7 2 2 2" xfId="16755" xr:uid="{91C96F38-5FD5-4BB4-8EEA-E5D90A0B5648}"/>
    <cellStyle name="Normal 9 2 2 7 2 3" xfId="12542" xr:uid="{AF89DDDB-86F1-4204-99C4-AD3043AD5F9A}"/>
    <cellStyle name="Normal 9 2 2 7 3" xfId="6115" xr:uid="{00000000-0005-0000-0000-0000051F0000}"/>
    <cellStyle name="Normal 9 2 2 7 3 2" xfId="14610" xr:uid="{5F8D6DCF-BAB3-49D9-A98A-C85D7BA91F4E}"/>
    <cellStyle name="Normal 9 2 2 7 4" xfId="10397" xr:uid="{3DD116D6-4F04-4955-8A54-2976074E1F75}"/>
    <cellStyle name="Normal 9 2 2 8" xfId="2222" xr:uid="{00000000-0005-0000-0000-0000061F0000}"/>
    <cellStyle name="Normal 9 2 2 8 2" xfId="4451" xr:uid="{00000000-0005-0000-0000-0000071F0000}"/>
    <cellStyle name="Normal 9 2 2 8 2 2" xfId="8673" xr:uid="{00000000-0005-0000-0000-0000081F0000}"/>
    <cellStyle name="Normal 9 2 2 8 2 2 2" xfId="17168" xr:uid="{DFC20C1D-83CB-468C-A0A0-FE6336001352}"/>
    <cellStyle name="Normal 9 2 2 8 2 3" xfId="12955" xr:uid="{55A01563-D2B9-47F1-96ED-3FC1FCF6BB71}"/>
    <cellStyle name="Normal 9 2 2 8 3" xfId="6528" xr:uid="{00000000-0005-0000-0000-0000091F0000}"/>
    <cellStyle name="Normal 9 2 2 8 3 2" xfId="15023" xr:uid="{46B4F3DA-B516-4B6A-BE08-C93E8C2C7793}"/>
    <cellStyle name="Normal 9 2 2 8 4" xfId="10810" xr:uid="{2AC7BD53-DD4B-4545-83E0-4242B650C2EB}"/>
    <cellStyle name="Normal 9 2 2 9" xfId="2658" xr:uid="{00000000-0005-0000-0000-00000A1F0000}"/>
    <cellStyle name="Normal 9 2 2 9 2" xfId="6941" xr:uid="{00000000-0005-0000-0000-00000B1F0000}"/>
    <cellStyle name="Normal 9 2 2 9 2 2" xfId="15436" xr:uid="{34565476-4688-46F5-8C2A-CDB2B3FD5143}"/>
    <cellStyle name="Normal 9 2 2 9 3" xfId="11223" xr:uid="{2BC6DABE-095B-42BC-AE4B-D8DE3A4C4634}"/>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5939" xr:uid="{5E088674-A396-4DF9-933E-C377AEBBB70E}"/>
    <cellStyle name="Normal 9 2 3 2 2 2 2 3" xfId="11726" xr:uid="{46B2FE81-4E59-4E95-8A36-D113E6FF3946}"/>
    <cellStyle name="Normal 9 2 3 2 2 2 3" xfId="5299" xr:uid="{00000000-0005-0000-0000-0000121F0000}"/>
    <cellStyle name="Normal 9 2 3 2 2 2 3 2" xfId="13794" xr:uid="{14A300F5-B482-4145-9409-D891DF084BE5}"/>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6352" xr:uid="{6A507595-1CEF-4E88-99D3-1E0B1AA62EBA}"/>
    <cellStyle name="Normal 9 2 3 2 2 3 2 3" xfId="12139" xr:uid="{BDC9BBFD-FF1F-4075-AA6F-3B7904AA5641}"/>
    <cellStyle name="Normal 9 2 3 2 2 3 3" xfId="5712" xr:uid="{00000000-0005-0000-0000-0000161F0000}"/>
    <cellStyle name="Normal 9 2 3 2 2 3 3 2" xfId="14207" xr:uid="{8E9161DE-BFEA-44DB-8434-67EB50321028}"/>
    <cellStyle name="Normal 9 2 3 2 2 3 4" xfId="9994" xr:uid="{2F169349-FACD-4C7E-9DD0-3B67E1398C28}"/>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6765" xr:uid="{E9C70863-8A2A-4414-A822-75F44F276B30}"/>
    <cellStyle name="Normal 9 2 3 2 2 4 2 3" xfId="12552" xr:uid="{8D1BE1BE-97B6-425B-8F00-0447CDCD33B5}"/>
    <cellStyle name="Normal 9 2 3 2 2 4 3" xfId="6125" xr:uid="{00000000-0005-0000-0000-00001A1F0000}"/>
    <cellStyle name="Normal 9 2 3 2 2 4 3 2" xfId="14620" xr:uid="{25E9C78F-78AA-47F8-8722-0C73575E3C6A}"/>
    <cellStyle name="Normal 9 2 3 2 2 4 4" xfId="10407" xr:uid="{5F6136D3-2EB0-4F7B-9567-CC1FC8EAA1FE}"/>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7178" xr:uid="{6472E8A3-8191-4B9D-809D-CC5B98D53794}"/>
    <cellStyle name="Normal 9 2 3 2 2 5 2 3" xfId="12965" xr:uid="{17CF546F-A8D9-4733-A1EB-165FDFAD88FE}"/>
    <cellStyle name="Normal 9 2 3 2 2 5 3" xfId="6538" xr:uid="{00000000-0005-0000-0000-00001E1F0000}"/>
    <cellStyle name="Normal 9 2 3 2 2 5 3 2" xfId="15033" xr:uid="{9767BB88-DD3B-4787-B03C-648C6409D81C}"/>
    <cellStyle name="Normal 9 2 3 2 2 5 4" xfId="10820" xr:uid="{F92DA639-7672-43D7-BDB3-04DCF50760A9}"/>
    <cellStyle name="Normal 9 2 3 2 2 6" xfId="2668" xr:uid="{00000000-0005-0000-0000-00001F1F0000}"/>
    <cellStyle name="Normal 9 2 3 2 2 6 2" xfId="6951" xr:uid="{00000000-0005-0000-0000-0000201F0000}"/>
    <cellStyle name="Normal 9 2 3 2 2 6 2 2" xfId="15446" xr:uid="{DFD9EFA2-60C8-4311-A28D-70248EE2D492}"/>
    <cellStyle name="Normal 9 2 3 2 2 6 3" xfId="11233" xr:uid="{0FCEA9EE-594E-4585-88DB-399441187D93}"/>
    <cellStyle name="Normal 9 2 3 2 2 7" xfId="4886" xr:uid="{00000000-0005-0000-0000-0000211F0000}"/>
    <cellStyle name="Normal 9 2 3 2 2 7 2" xfId="13381" xr:uid="{83E8CFC4-192F-4898-83BE-A224CA0A0A5A}"/>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5938" xr:uid="{66CBDDD9-A802-4AA6-9F78-8A14425DE7F6}"/>
    <cellStyle name="Normal 9 2 3 2 3 2 3" xfId="11725" xr:uid="{BCE06064-0866-4EF4-93B1-89A2BA0EBAF2}"/>
    <cellStyle name="Normal 9 2 3 2 3 3" xfId="5298" xr:uid="{00000000-0005-0000-0000-0000251F0000}"/>
    <cellStyle name="Normal 9 2 3 2 3 3 2" xfId="13793" xr:uid="{F3680E46-098D-4A27-8873-233E52FF61B3}"/>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6351" xr:uid="{EBAB7B1E-AE1D-49AB-A8FD-9D4CD7233910}"/>
    <cellStyle name="Normal 9 2 3 2 4 2 3" xfId="12138" xr:uid="{4DAF3B6C-2013-46A1-ACED-8DA5A36031A1}"/>
    <cellStyle name="Normal 9 2 3 2 4 3" xfId="5711" xr:uid="{00000000-0005-0000-0000-0000291F0000}"/>
    <cellStyle name="Normal 9 2 3 2 4 3 2" xfId="14206" xr:uid="{5FDF8FDB-9C82-4CF1-B40E-F10C974F66BF}"/>
    <cellStyle name="Normal 9 2 3 2 4 4" xfId="9993" xr:uid="{670992F9-623D-4830-821A-25D1933C1E5B}"/>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6764" xr:uid="{CB54A6C9-5A25-49AF-B0D1-56097DCA76F4}"/>
    <cellStyle name="Normal 9 2 3 2 5 2 3" xfId="12551" xr:uid="{8762F969-098F-40D4-AD1E-68617293D581}"/>
    <cellStyle name="Normal 9 2 3 2 5 3" xfId="6124" xr:uid="{00000000-0005-0000-0000-00002D1F0000}"/>
    <cellStyle name="Normal 9 2 3 2 5 3 2" xfId="14619" xr:uid="{F0B83361-0D4D-48E0-8D80-9363B5AE7A33}"/>
    <cellStyle name="Normal 9 2 3 2 5 4" xfId="10406" xr:uid="{A72052B1-45C5-4FA6-B61E-5BFF695AE7E5}"/>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7177" xr:uid="{BB1ECFCA-A003-452B-892D-2452457F8E7A}"/>
    <cellStyle name="Normal 9 2 3 2 6 2 3" xfId="12964" xr:uid="{71629AA0-05B6-46BA-9B75-AE613E0BEB21}"/>
    <cellStyle name="Normal 9 2 3 2 6 3" xfId="6537" xr:uid="{00000000-0005-0000-0000-0000311F0000}"/>
    <cellStyle name="Normal 9 2 3 2 6 3 2" xfId="15032" xr:uid="{2C72B4CA-F56B-4868-8F56-A17F68C515DA}"/>
    <cellStyle name="Normal 9 2 3 2 6 4" xfId="10819" xr:uid="{081D65CA-81B3-44B8-BDDB-0C5FE4167EDC}"/>
    <cellStyle name="Normal 9 2 3 2 7" xfId="2667" xr:uid="{00000000-0005-0000-0000-0000321F0000}"/>
    <cellStyle name="Normal 9 2 3 2 7 2" xfId="6950" xr:uid="{00000000-0005-0000-0000-0000331F0000}"/>
    <cellStyle name="Normal 9 2 3 2 7 2 2" xfId="15445" xr:uid="{EEEB7DD9-5165-4911-A568-5FBFCE7E5BCC}"/>
    <cellStyle name="Normal 9 2 3 2 7 3" xfId="11232" xr:uid="{5B7F6764-40A0-48EB-8AA0-75B4CA5A82AD}"/>
    <cellStyle name="Normal 9 2 3 2 8" xfId="4885" xr:uid="{00000000-0005-0000-0000-0000341F0000}"/>
    <cellStyle name="Normal 9 2 3 2 8 2" xfId="13380" xr:uid="{6E08BAE0-456C-46B8-B5D7-D6208C56367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5940" xr:uid="{620516F9-F154-4596-9CC7-711A0E081A0E}"/>
    <cellStyle name="Normal 9 2 3 3 2 2 3" xfId="11727" xr:uid="{CECBE7DA-4E68-4FF7-B873-40B52AF22C72}"/>
    <cellStyle name="Normal 9 2 3 3 2 3" xfId="5300" xr:uid="{00000000-0005-0000-0000-0000391F0000}"/>
    <cellStyle name="Normal 9 2 3 3 2 3 2" xfId="13795" xr:uid="{390F92F4-5526-4A46-85AD-C95BC1F8B0C9}"/>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6353" xr:uid="{DA8FBFA9-4EBE-493D-8793-2B8E9960A126}"/>
    <cellStyle name="Normal 9 2 3 3 3 2 3" xfId="12140" xr:uid="{2DAF6331-F3EC-4E00-B831-27FE9ABC1160}"/>
    <cellStyle name="Normal 9 2 3 3 3 3" xfId="5713" xr:uid="{00000000-0005-0000-0000-00003D1F0000}"/>
    <cellStyle name="Normal 9 2 3 3 3 3 2" xfId="14208" xr:uid="{9B290FFC-E610-47D3-A0F7-710B8716BAA7}"/>
    <cellStyle name="Normal 9 2 3 3 3 4" xfId="9995" xr:uid="{6680DACC-88C2-46EF-974D-CAF3A1201827}"/>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6766" xr:uid="{A2039FE9-CBBE-4347-9F61-E923F95196AB}"/>
    <cellStyle name="Normal 9 2 3 3 4 2 3" xfId="12553" xr:uid="{A73609F5-2C9A-494E-9F9D-FED6B5777173}"/>
    <cellStyle name="Normal 9 2 3 3 4 3" xfId="6126" xr:uid="{00000000-0005-0000-0000-0000411F0000}"/>
    <cellStyle name="Normal 9 2 3 3 4 3 2" xfId="14621" xr:uid="{90EEF286-C3DB-46B2-B50F-07197D4ABA7C}"/>
    <cellStyle name="Normal 9 2 3 3 4 4" xfId="10408" xr:uid="{00F4153F-08D5-4A22-AF84-8BEF65A37020}"/>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7179" xr:uid="{7B745873-4FA3-47BC-A3BB-DADC6E57EB68}"/>
    <cellStyle name="Normal 9 2 3 3 5 2 3" xfId="12966" xr:uid="{E65F0F70-3E46-40E0-993E-3D4932A32C6E}"/>
    <cellStyle name="Normal 9 2 3 3 5 3" xfId="6539" xr:uid="{00000000-0005-0000-0000-0000451F0000}"/>
    <cellStyle name="Normal 9 2 3 3 5 3 2" xfId="15034" xr:uid="{8E001139-6019-4830-8D04-81A6AB015562}"/>
    <cellStyle name="Normal 9 2 3 3 5 4" xfId="10821" xr:uid="{7C913FE1-20CE-437B-AB8B-BDCE711C86CE}"/>
    <cellStyle name="Normal 9 2 3 3 6" xfId="2669" xr:uid="{00000000-0005-0000-0000-0000461F0000}"/>
    <cellStyle name="Normal 9 2 3 3 6 2" xfId="6952" xr:uid="{00000000-0005-0000-0000-0000471F0000}"/>
    <cellStyle name="Normal 9 2 3 3 6 2 2" xfId="15447" xr:uid="{9E45AFEC-B8C3-4D78-95C0-FE01189FF435}"/>
    <cellStyle name="Normal 9 2 3 3 6 3" xfId="11234" xr:uid="{3B71A7CF-46CC-44FE-87BD-A625C82DE1D3}"/>
    <cellStyle name="Normal 9 2 3 3 7" xfId="4887" xr:uid="{00000000-0005-0000-0000-0000481F0000}"/>
    <cellStyle name="Normal 9 2 3 3 7 2" xfId="13382" xr:uid="{603301E4-F71C-498F-9F2E-FF4A65A5A674}"/>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2 2 2" xfId="15937" xr:uid="{78D6A3CE-18D4-41D0-BC57-CE8DE229C334}"/>
    <cellStyle name="Normal 9 2 3 4 2 3" xfId="11724" xr:uid="{695DF708-F6DA-4E60-8287-DFC639AEC603}"/>
    <cellStyle name="Normal 9 2 3 4 3" xfId="5297" xr:uid="{00000000-0005-0000-0000-00004C1F0000}"/>
    <cellStyle name="Normal 9 2 3 4 3 2" xfId="13792" xr:uid="{7C244936-46CC-481C-9CA3-3AD1B7EEA264}"/>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2 2 2" xfId="16350" xr:uid="{7EDBB187-1E69-403E-968A-7BEAD8D43B2F}"/>
    <cellStyle name="Normal 9 2 3 5 2 3" xfId="12137" xr:uid="{63672A7A-93FE-4F2F-8DC8-63DB9B65B26F}"/>
    <cellStyle name="Normal 9 2 3 5 3" xfId="5710" xr:uid="{00000000-0005-0000-0000-0000501F0000}"/>
    <cellStyle name="Normal 9 2 3 5 3 2" xfId="14205" xr:uid="{A484F6B5-44D6-42EB-A17F-95436E68A025}"/>
    <cellStyle name="Normal 9 2 3 5 4" xfId="9992" xr:uid="{D475682A-5AFD-4A1B-94C0-D003F71E2EF2}"/>
    <cellStyle name="Normal 9 2 3 6" xfId="1816" xr:uid="{00000000-0005-0000-0000-0000511F0000}"/>
    <cellStyle name="Normal 9 2 3 6 2" xfId="4046" xr:uid="{00000000-0005-0000-0000-0000521F0000}"/>
    <cellStyle name="Normal 9 2 3 6 2 2" xfId="8268" xr:uid="{00000000-0005-0000-0000-0000531F0000}"/>
    <cellStyle name="Normal 9 2 3 6 2 2 2" xfId="16763" xr:uid="{E2882839-99C0-4961-B6F2-7F4D8807734A}"/>
    <cellStyle name="Normal 9 2 3 6 2 3" xfId="12550" xr:uid="{BDE32D5D-EFEC-46D8-8977-614900396C14}"/>
    <cellStyle name="Normal 9 2 3 6 3" xfId="6123" xr:uid="{00000000-0005-0000-0000-0000541F0000}"/>
    <cellStyle name="Normal 9 2 3 6 3 2" xfId="14618" xr:uid="{78E8D882-1FE5-4CFF-8B4E-DE58C4D7A6C0}"/>
    <cellStyle name="Normal 9 2 3 6 4" xfId="10405" xr:uid="{5306479E-3FE4-4A97-A167-0D49FF15DEED}"/>
    <cellStyle name="Normal 9 2 3 7" xfId="2230" xr:uid="{00000000-0005-0000-0000-0000551F0000}"/>
    <cellStyle name="Normal 9 2 3 7 2" xfId="4459" xr:uid="{00000000-0005-0000-0000-0000561F0000}"/>
    <cellStyle name="Normal 9 2 3 7 2 2" xfId="8681" xr:uid="{00000000-0005-0000-0000-0000571F0000}"/>
    <cellStyle name="Normal 9 2 3 7 2 2 2" xfId="17176" xr:uid="{3CAE8098-2518-468B-8B95-3B8B840F5EEF}"/>
    <cellStyle name="Normal 9 2 3 7 2 3" xfId="12963" xr:uid="{DD2E955F-806B-41D2-8797-EECDE75AF08C}"/>
    <cellStyle name="Normal 9 2 3 7 3" xfId="6536" xr:uid="{00000000-0005-0000-0000-0000581F0000}"/>
    <cellStyle name="Normal 9 2 3 7 3 2" xfId="15031" xr:uid="{45779078-A387-4FF8-9FC7-CA3156FA81CF}"/>
    <cellStyle name="Normal 9 2 3 7 4" xfId="10818" xr:uid="{376FB20A-53E9-49D2-8153-ECE7AA8BEE9A}"/>
    <cellStyle name="Normal 9 2 3 8" xfId="2666" xr:uid="{00000000-0005-0000-0000-0000591F0000}"/>
    <cellStyle name="Normal 9 2 3 8 2" xfId="6949" xr:uid="{00000000-0005-0000-0000-00005A1F0000}"/>
    <cellStyle name="Normal 9 2 3 8 2 2" xfId="15444" xr:uid="{87EE40D3-208A-45CD-8057-208EDED5246F}"/>
    <cellStyle name="Normal 9 2 3 8 3" xfId="11231" xr:uid="{BFCFC561-D0DD-4F29-B296-1DCFEA1FB2F9}"/>
    <cellStyle name="Normal 9 2 3 9" xfId="4884" xr:uid="{00000000-0005-0000-0000-00005B1F0000}"/>
    <cellStyle name="Normal 9 2 3 9 2" xfId="13379" xr:uid="{F7AF0D56-3FC7-43CC-9AFB-E455270A83EB}"/>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5942" xr:uid="{E6D47C0B-3658-4D8A-83D5-8772AAA7CC3A}"/>
    <cellStyle name="Normal 9 2 4 2 2 2 3" xfId="11729" xr:uid="{64F16D9C-1CAD-489F-A2E4-A7CA63723D5D}"/>
    <cellStyle name="Normal 9 2 4 2 2 3" xfId="5302" xr:uid="{00000000-0005-0000-0000-0000611F0000}"/>
    <cellStyle name="Normal 9 2 4 2 2 3 2" xfId="13797" xr:uid="{BF1741AF-D751-466D-8D1A-889BF7E1BA3F}"/>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6355" xr:uid="{9CDBE107-2B4B-45EF-AE16-91AA85EE00DF}"/>
    <cellStyle name="Normal 9 2 4 2 3 2 3" xfId="12142" xr:uid="{C636E537-4B17-495A-9B5F-923755A9EA3B}"/>
    <cellStyle name="Normal 9 2 4 2 3 3" xfId="5715" xr:uid="{00000000-0005-0000-0000-0000651F0000}"/>
    <cellStyle name="Normal 9 2 4 2 3 3 2" xfId="14210" xr:uid="{604D7A8B-A984-44C5-9EB8-1803B48EBF72}"/>
    <cellStyle name="Normal 9 2 4 2 3 4" xfId="9997" xr:uid="{1BAD73D1-9427-4E18-9B93-80A02FBDDC4F}"/>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6768" xr:uid="{06BD612C-E653-4727-90A8-1D7E41B98238}"/>
    <cellStyle name="Normal 9 2 4 2 4 2 3" xfId="12555" xr:uid="{1E0D0D6A-5BED-4E9B-8681-C1B1BE0ADE0A}"/>
    <cellStyle name="Normal 9 2 4 2 4 3" xfId="6128" xr:uid="{00000000-0005-0000-0000-0000691F0000}"/>
    <cellStyle name="Normal 9 2 4 2 4 3 2" xfId="14623" xr:uid="{E25D1A37-B046-4E59-9970-9AB41478022D}"/>
    <cellStyle name="Normal 9 2 4 2 4 4" xfId="10410" xr:uid="{C3EE7AB1-7B9C-47D7-B51B-99DB91895849}"/>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7181" xr:uid="{3A2AD10D-39EA-4AD8-9044-C62EAD746167}"/>
    <cellStyle name="Normal 9 2 4 2 5 2 3" xfId="12968" xr:uid="{0616CEF6-A6EC-496A-BA19-0E7483CC1D43}"/>
    <cellStyle name="Normal 9 2 4 2 5 3" xfId="6541" xr:uid="{00000000-0005-0000-0000-00006D1F0000}"/>
    <cellStyle name="Normal 9 2 4 2 5 3 2" xfId="15036" xr:uid="{60385C07-622F-4968-A1CF-440F5F49C055}"/>
    <cellStyle name="Normal 9 2 4 2 5 4" xfId="10823" xr:uid="{38D00E67-E1B7-4633-B9FC-D55508CF248E}"/>
    <cellStyle name="Normal 9 2 4 2 6" xfId="2671" xr:uid="{00000000-0005-0000-0000-00006E1F0000}"/>
    <cellStyle name="Normal 9 2 4 2 6 2" xfId="6954" xr:uid="{00000000-0005-0000-0000-00006F1F0000}"/>
    <cellStyle name="Normal 9 2 4 2 6 2 2" xfId="15449" xr:uid="{1409EA6A-B580-4F03-AE29-6EF2FE447899}"/>
    <cellStyle name="Normal 9 2 4 2 6 3" xfId="11236" xr:uid="{060903C3-243B-4F20-A94A-5AC82246033B}"/>
    <cellStyle name="Normal 9 2 4 2 7" xfId="4889" xr:uid="{00000000-0005-0000-0000-0000701F0000}"/>
    <cellStyle name="Normal 9 2 4 2 7 2" xfId="13384" xr:uid="{E00F0E67-A6F2-4DCB-8949-D2D9F1D1DA58}"/>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2 2 2" xfId="15941" xr:uid="{B5E28EDA-2683-4144-AC17-A733FD7D2F45}"/>
    <cellStyle name="Normal 9 2 4 3 2 3" xfId="11728" xr:uid="{824CD2C9-DA37-4EDA-97A7-5EA150B3B55C}"/>
    <cellStyle name="Normal 9 2 4 3 3" xfId="5301" xr:uid="{00000000-0005-0000-0000-0000741F0000}"/>
    <cellStyle name="Normal 9 2 4 3 3 2" xfId="13796" xr:uid="{98FE1505-C781-481D-B5A8-7C45BD0714C1}"/>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2 2 2" xfId="16354" xr:uid="{C36E23B7-3127-4450-9BF7-FF755F5E7115}"/>
    <cellStyle name="Normal 9 2 4 4 2 3" xfId="12141" xr:uid="{845BD10D-D078-43A7-9D66-B4F289E1E5C8}"/>
    <cellStyle name="Normal 9 2 4 4 3" xfId="5714" xr:uid="{00000000-0005-0000-0000-0000781F0000}"/>
    <cellStyle name="Normal 9 2 4 4 3 2" xfId="14209" xr:uid="{B79E1A18-05C8-4445-B008-DB6E11168D13}"/>
    <cellStyle name="Normal 9 2 4 4 4" xfId="9996" xr:uid="{DFF891D8-6E7B-45C9-A9A1-42F8E08E6E7E}"/>
    <cellStyle name="Normal 9 2 4 5" xfId="1820" xr:uid="{00000000-0005-0000-0000-0000791F0000}"/>
    <cellStyle name="Normal 9 2 4 5 2" xfId="4050" xr:uid="{00000000-0005-0000-0000-00007A1F0000}"/>
    <cellStyle name="Normal 9 2 4 5 2 2" xfId="8272" xr:uid="{00000000-0005-0000-0000-00007B1F0000}"/>
    <cellStyle name="Normal 9 2 4 5 2 2 2" xfId="16767" xr:uid="{7A51979F-31CA-4E8A-BBD3-B6B7E2335EAF}"/>
    <cellStyle name="Normal 9 2 4 5 2 3" xfId="12554" xr:uid="{B6746804-C1D3-4AB4-818D-0D731D77DB50}"/>
    <cellStyle name="Normal 9 2 4 5 3" xfId="6127" xr:uid="{00000000-0005-0000-0000-00007C1F0000}"/>
    <cellStyle name="Normal 9 2 4 5 3 2" xfId="14622" xr:uid="{26722CCB-19F7-48D1-BB88-6F3E5869592F}"/>
    <cellStyle name="Normal 9 2 4 5 4" xfId="10409" xr:uid="{62A5355C-78E1-4078-85BA-F4DE390E41AA}"/>
    <cellStyle name="Normal 9 2 4 6" xfId="2234" xr:uid="{00000000-0005-0000-0000-00007D1F0000}"/>
    <cellStyle name="Normal 9 2 4 6 2" xfId="4463" xr:uid="{00000000-0005-0000-0000-00007E1F0000}"/>
    <cellStyle name="Normal 9 2 4 6 2 2" xfId="8685" xr:uid="{00000000-0005-0000-0000-00007F1F0000}"/>
    <cellStyle name="Normal 9 2 4 6 2 2 2" xfId="17180" xr:uid="{68357287-0627-417D-8578-6E63DAFA3DFD}"/>
    <cellStyle name="Normal 9 2 4 6 2 3" xfId="12967" xr:uid="{661F5B1F-699E-42CC-BFBE-FBA97B5B5DC6}"/>
    <cellStyle name="Normal 9 2 4 6 3" xfId="6540" xr:uid="{00000000-0005-0000-0000-0000801F0000}"/>
    <cellStyle name="Normal 9 2 4 6 3 2" xfId="15035" xr:uid="{3FD44924-EDEE-4706-92B1-09902A3AA2CE}"/>
    <cellStyle name="Normal 9 2 4 6 4" xfId="10822" xr:uid="{CC4DE227-636E-4F40-8F68-78AC286C2B39}"/>
    <cellStyle name="Normal 9 2 4 7" xfId="2670" xr:uid="{00000000-0005-0000-0000-0000811F0000}"/>
    <cellStyle name="Normal 9 2 4 7 2" xfId="6953" xr:uid="{00000000-0005-0000-0000-0000821F0000}"/>
    <cellStyle name="Normal 9 2 4 7 2 2" xfId="15448" xr:uid="{7801ED9D-E7BF-477F-938E-68F43F0EB378}"/>
    <cellStyle name="Normal 9 2 4 7 3" xfId="11235" xr:uid="{02D103A8-00E9-4448-825C-2972D39A891B}"/>
    <cellStyle name="Normal 9 2 4 8" xfId="4888" xr:uid="{00000000-0005-0000-0000-0000831F0000}"/>
    <cellStyle name="Normal 9 2 4 8 2" xfId="13383" xr:uid="{FCE3002E-DA52-4DA1-A234-056DE7F5A3FF}"/>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5943" xr:uid="{F98B5AF4-0620-4006-92A5-8DA417AD05DF}"/>
    <cellStyle name="Normal 9 2 5 2 2 3" xfId="11730" xr:uid="{46C3EC92-112D-4F06-9169-95EE4978E56D}"/>
    <cellStyle name="Normal 9 2 5 2 3" xfId="5303" xr:uid="{00000000-0005-0000-0000-0000881F0000}"/>
    <cellStyle name="Normal 9 2 5 2 3 2" xfId="13798" xr:uid="{3A86CB90-D961-46B2-BDA1-5C375ACDB502}"/>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2 2 2" xfId="16356" xr:uid="{E0517CF9-0416-4C2E-B430-87170D225A54}"/>
    <cellStyle name="Normal 9 2 5 3 2 3" xfId="12143" xr:uid="{27CDFC43-ED35-4E29-AF0B-55EB6915900B}"/>
    <cellStyle name="Normal 9 2 5 3 3" xfId="5716" xr:uid="{00000000-0005-0000-0000-00008C1F0000}"/>
    <cellStyle name="Normal 9 2 5 3 3 2" xfId="14211" xr:uid="{A5AF6229-FAB6-4729-93B1-180D46E1DD41}"/>
    <cellStyle name="Normal 9 2 5 3 4" xfId="9998" xr:uid="{5F0E8CEC-2254-4052-9F31-F736E143B3E5}"/>
    <cellStyle name="Normal 9 2 5 4" xfId="1822" xr:uid="{00000000-0005-0000-0000-00008D1F0000}"/>
    <cellStyle name="Normal 9 2 5 4 2" xfId="4052" xr:uid="{00000000-0005-0000-0000-00008E1F0000}"/>
    <cellStyle name="Normal 9 2 5 4 2 2" xfId="8274" xr:uid="{00000000-0005-0000-0000-00008F1F0000}"/>
    <cellStyle name="Normal 9 2 5 4 2 2 2" xfId="16769" xr:uid="{B8AC5CC4-5A5A-46DB-A56D-7A1D675C86F6}"/>
    <cellStyle name="Normal 9 2 5 4 2 3" xfId="12556" xr:uid="{05032A27-6432-4443-829B-36FFEED597FA}"/>
    <cellStyle name="Normal 9 2 5 4 3" xfId="6129" xr:uid="{00000000-0005-0000-0000-0000901F0000}"/>
    <cellStyle name="Normal 9 2 5 4 3 2" xfId="14624" xr:uid="{4919D859-8524-453D-9A02-85BF09E32B77}"/>
    <cellStyle name="Normal 9 2 5 4 4" xfId="10411" xr:uid="{56DA5503-FC68-4BF2-B4B8-73966B5BF039}"/>
    <cellStyle name="Normal 9 2 5 5" xfId="2236" xr:uid="{00000000-0005-0000-0000-0000911F0000}"/>
    <cellStyle name="Normal 9 2 5 5 2" xfId="4465" xr:uid="{00000000-0005-0000-0000-0000921F0000}"/>
    <cellStyle name="Normal 9 2 5 5 2 2" xfId="8687" xr:uid="{00000000-0005-0000-0000-0000931F0000}"/>
    <cellStyle name="Normal 9 2 5 5 2 2 2" xfId="17182" xr:uid="{000F7406-1E84-49D2-84EC-1ACEF4DAFC07}"/>
    <cellStyle name="Normal 9 2 5 5 2 3" xfId="12969" xr:uid="{1A6EA07A-2749-4AFE-9E2C-190FEA8D4F42}"/>
    <cellStyle name="Normal 9 2 5 5 3" xfId="6542" xr:uid="{00000000-0005-0000-0000-0000941F0000}"/>
    <cellStyle name="Normal 9 2 5 5 3 2" xfId="15037" xr:uid="{6973FB63-79DF-4011-B015-CFFB1AB3EA21}"/>
    <cellStyle name="Normal 9 2 5 5 4" xfId="10824" xr:uid="{2D2B546F-C8A1-42AA-BEE4-49750ABDD5C0}"/>
    <cellStyle name="Normal 9 2 5 6" xfId="2672" xr:uid="{00000000-0005-0000-0000-0000951F0000}"/>
    <cellStyle name="Normal 9 2 5 6 2" xfId="6955" xr:uid="{00000000-0005-0000-0000-0000961F0000}"/>
    <cellStyle name="Normal 9 2 5 6 2 2" xfId="15450" xr:uid="{1ED7B5D1-D680-4493-ABF0-7DC245B1A7CB}"/>
    <cellStyle name="Normal 9 2 5 6 3" xfId="11237" xr:uid="{7E8F12B7-2096-4A87-B182-83A926601168}"/>
    <cellStyle name="Normal 9 2 5 7" xfId="4890" xr:uid="{00000000-0005-0000-0000-0000971F0000}"/>
    <cellStyle name="Normal 9 2 5 7 2" xfId="13385" xr:uid="{EB111A41-F106-4B2F-AA5E-9935A0C4BCD5}"/>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2 2 2" xfId="15928" xr:uid="{1F9ECEDD-9A73-4635-BB6D-E51054E6CD82}"/>
    <cellStyle name="Normal 9 2 6 2 3" xfId="11715" xr:uid="{686B1BCC-5F5E-4231-AC9D-B99F0CE47340}"/>
    <cellStyle name="Normal 9 2 6 3" xfId="5288" xr:uid="{00000000-0005-0000-0000-00009B1F0000}"/>
    <cellStyle name="Normal 9 2 6 3 2" xfId="13783" xr:uid="{93449B04-CA78-4062-9227-B1CBAB1684E8}"/>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2 2 2" xfId="16341" xr:uid="{4DFC5EE2-1847-4F6E-A337-5F271C734764}"/>
    <cellStyle name="Normal 9 2 7 2 3" xfId="12128" xr:uid="{9C26E2C4-9405-4275-A8B3-85E041A5BE2E}"/>
    <cellStyle name="Normal 9 2 7 3" xfId="5701" xr:uid="{00000000-0005-0000-0000-00009F1F0000}"/>
    <cellStyle name="Normal 9 2 7 3 2" xfId="14196" xr:uid="{EA084E99-0BF1-4404-907C-3976A1A6E439}"/>
    <cellStyle name="Normal 9 2 7 4" xfId="9983" xr:uid="{F07CD47A-852D-4695-A22E-04CE0FB147A1}"/>
    <cellStyle name="Normal 9 2 8" xfId="1807" xr:uid="{00000000-0005-0000-0000-0000A01F0000}"/>
    <cellStyle name="Normal 9 2 8 2" xfId="4037" xr:uid="{00000000-0005-0000-0000-0000A11F0000}"/>
    <cellStyle name="Normal 9 2 8 2 2" xfId="8259" xr:uid="{00000000-0005-0000-0000-0000A21F0000}"/>
    <cellStyle name="Normal 9 2 8 2 2 2" xfId="16754" xr:uid="{3F6A61DE-34B8-4137-A404-D99315AAA341}"/>
    <cellStyle name="Normal 9 2 8 2 3" xfId="12541" xr:uid="{2562E253-5AFC-4915-8628-4BD189B72D06}"/>
    <cellStyle name="Normal 9 2 8 3" xfId="6114" xr:uid="{00000000-0005-0000-0000-0000A31F0000}"/>
    <cellStyle name="Normal 9 2 8 3 2" xfId="14609" xr:uid="{BFCDDA73-51A9-4BE7-ABEE-BB8B30292AFE}"/>
    <cellStyle name="Normal 9 2 8 4" xfId="10396" xr:uid="{44359CBF-2392-45EE-AA59-810BB20DE4E2}"/>
    <cellStyle name="Normal 9 2 9" xfId="2221" xr:uid="{00000000-0005-0000-0000-0000A41F0000}"/>
    <cellStyle name="Normal 9 2 9 2" xfId="4450" xr:uid="{00000000-0005-0000-0000-0000A51F0000}"/>
    <cellStyle name="Normal 9 2 9 2 2" xfId="8672" xr:uid="{00000000-0005-0000-0000-0000A61F0000}"/>
    <cellStyle name="Normal 9 2 9 2 2 2" xfId="17167" xr:uid="{865E5791-ACFA-4055-BAB5-1B4E4A8DBD0B}"/>
    <cellStyle name="Normal 9 2 9 2 3" xfId="12954" xr:uid="{9B7B2FA9-81A1-47D3-97A5-5ECB17DF37E4}"/>
    <cellStyle name="Normal 9 2 9 3" xfId="6527" xr:uid="{00000000-0005-0000-0000-0000A71F0000}"/>
    <cellStyle name="Normal 9 2 9 3 2" xfId="15022" xr:uid="{719BAC9E-E7E9-45CD-B498-90E8A86863EC}"/>
    <cellStyle name="Normal 9 2 9 4" xfId="10809" xr:uid="{5CBCAB42-097D-46B1-99E7-0D6781959BA8}"/>
    <cellStyle name="Normal 9 3" xfId="527" xr:uid="{00000000-0005-0000-0000-0000A81F0000}"/>
    <cellStyle name="Normal 9 3 10" xfId="4891" xr:uid="{00000000-0005-0000-0000-0000A91F0000}"/>
    <cellStyle name="Normal 9 3 10 2" xfId="13386" xr:uid="{4D5764B2-D9A7-4505-987C-A1864999FD84}"/>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5947" xr:uid="{F025C367-62E3-4856-9641-14E490ABF042}"/>
    <cellStyle name="Normal 9 3 2 2 2 2 2 3" xfId="11734" xr:uid="{632D446D-CF12-4C00-B65E-CABE2698862F}"/>
    <cellStyle name="Normal 9 3 2 2 2 2 3" xfId="5307" xr:uid="{00000000-0005-0000-0000-0000B01F0000}"/>
    <cellStyle name="Normal 9 3 2 2 2 2 3 2" xfId="13802" xr:uid="{20B1B279-DBB2-498C-AD68-24DA1256929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6360" xr:uid="{793D2140-E5F5-4AE2-A58C-C1BC949A1306}"/>
    <cellStyle name="Normal 9 3 2 2 2 3 2 3" xfId="12147" xr:uid="{B4B5B146-717C-4E07-860C-FF87E1259C75}"/>
    <cellStyle name="Normal 9 3 2 2 2 3 3" xfId="5720" xr:uid="{00000000-0005-0000-0000-0000B41F0000}"/>
    <cellStyle name="Normal 9 3 2 2 2 3 3 2" xfId="14215" xr:uid="{4C44DD70-EA65-48D2-87F6-27D8A344F08D}"/>
    <cellStyle name="Normal 9 3 2 2 2 3 4" xfId="10002" xr:uid="{01B73B4A-6AE1-4305-B01B-DFD2A7EAD44F}"/>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6773" xr:uid="{D80372E2-D391-4B0B-BE9B-D4C2F991B924}"/>
    <cellStyle name="Normal 9 3 2 2 2 4 2 3" xfId="12560" xr:uid="{E69DCC6E-5FC6-4F3B-8821-F1F6085C7AEB}"/>
    <cellStyle name="Normal 9 3 2 2 2 4 3" xfId="6133" xr:uid="{00000000-0005-0000-0000-0000B81F0000}"/>
    <cellStyle name="Normal 9 3 2 2 2 4 3 2" xfId="14628" xr:uid="{612AE081-9DAF-4EC8-BB0D-970C22458A07}"/>
    <cellStyle name="Normal 9 3 2 2 2 4 4" xfId="10415" xr:uid="{24D62B5A-3E3F-47B8-B803-55779168D0C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7186" xr:uid="{6FC17424-FCCD-4609-BFCC-E9F3B8325706}"/>
    <cellStyle name="Normal 9 3 2 2 2 5 2 3" xfId="12973" xr:uid="{F904543F-4DD2-4E3B-9A4A-85970AB8B3A1}"/>
    <cellStyle name="Normal 9 3 2 2 2 5 3" xfId="6546" xr:uid="{00000000-0005-0000-0000-0000BC1F0000}"/>
    <cellStyle name="Normal 9 3 2 2 2 5 3 2" xfId="15041" xr:uid="{474518C6-75F2-4AF2-AC28-6F6EEAE52F23}"/>
    <cellStyle name="Normal 9 3 2 2 2 5 4" xfId="10828" xr:uid="{63A3A76F-CAAB-4BE9-AE38-6A6355DF403D}"/>
    <cellStyle name="Normal 9 3 2 2 2 6" xfId="2676" xr:uid="{00000000-0005-0000-0000-0000BD1F0000}"/>
    <cellStyle name="Normal 9 3 2 2 2 6 2" xfId="6959" xr:uid="{00000000-0005-0000-0000-0000BE1F0000}"/>
    <cellStyle name="Normal 9 3 2 2 2 6 2 2" xfId="15454" xr:uid="{0797406F-8326-4C35-9992-3C4D2254EAF1}"/>
    <cellStyle name="Normal 9 3 2 2 2 6 3" xfId="11241" xr:uid="{A055BCFB-98D5-4E60-A150-52111DE6DEBB}"/>
    <cellStyle name="Normal 9 3 2 2 2 7" xfId="4894" xr:uid="{00000000-0005-0000-0000-0000BF1F0000}"/>
    <cellStyle name="Normal 9 3 2 2 2 7 2" xfId="13389" xr:uid="{F1C7833D-5060-46BF-9F36-192768FD06CE}"/>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5946" xr:uid="{B1824A77-F6D6-413E-A8A3-451175155AF5}"/>
    <cellStyle name="Normal 9 3 2 2 3 2 3" xfId="11733" xr:uid="{BA9425F4-35EA-41E5-8DA4-6ED8B7A25D9A}"/>
    <cellStyle name="Normal 9 3 2 2 3 3" xfId="5306" xr:uid="{00000000-0005-0000-0000-0000C31F0000}"/>
    <cellStyle name="Normal 9 3 2 2 3 3 2" xfId="13801" xr:uid="{530C55CD-A92A-4D00-88E2-D8477C0F543C}"/>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6359" xr:uid="{59422C4B-EFBA-4C5E-BF93-F67FCA170647}"/>
    <cellStyle name="Normal 9 3 2 2 4 2 3" xfId="12146" xr:uid="{F390EB83-421A-4A94-997B-2FC05A1BB30D}"/>
    <cellStyle name="Normal 9 3 2 2 4 3" xfId="5719" xr:uid="{00000000-0005-0000-0000-0000C71F0000}"/>
    <cellStyle name="Normal 9 3 2 2 4 3 2" xfId="14214" xr:uid="{77CA3AA9-71B3-436D-8B00-A159C17AB737}"/>
    <cellStyle name="Normal 9 3 2 2 4 4" xfId="10001" xr:uid="{E3D44962-77D1-4D4A-B431-90CCE0B0EDA0}"/>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6772" xr:uid="{0F3BFC3D-B62B-4AC2-8953-E1E5A83C4E62}"/>
    <cellStyle name="Normal 9 3 2 2 5 2 3" xfId="12559" xr:uid="{0B419CF6-2BAC-4903-B876-0EFA6DFDCF3B}"/>
    <cellStyle name="Normal 9 3 2 2 5 3" xfId="6132" xr:uid="{00000000-0005-0000-0000-0000CB1F0000}"/>
    <cellStyle name="Normal 9 3 2 2 5 3 2" xfId="14627" xr:uid="{BE955977-866A-4C0C-B4BE-E3A649D77ABE}"/>
    <cellStyle name="Normal 9 3 2 2 5 4" xfId="10414" xr:uid="{DFFA6E43-F704-4A8A-985B-DABD1AE2DDFA}"/>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7185" xr:uid="{90FD4C43-328D-4E15-B733-0A74D626B694}"/>
    <cellStyle name="Normal 9 3 2 2 6 2 3" xfId="12972" xr:uid="{29354229-7B64-471A-9B70-4B6F33457343}"/>
    <cellStyle name="Normal 9 3 2 2 6 3" xfId="6545" xr:uid="{00000000-0005-0000-0000-0000CF1F0000}"/>
    <cellStyle name="Normal 9 3 2 2 6 3 2" xfId="15040" xr:uid="{04285D73-69A7-4B63-B5A5-B13CDF4CDAF7}"/>
    <cellStyle name="Normal 9 3 2 2 6 4" xfId="10827" xr:uid="{AA70393A-7885-4586-A32F-822948CB5EA7}"/>
    <cellStyle name="Normal 9 3 2 2 7" xfId="2675" xr:uid="{00000000-0005-0000-0000-0000D01F0000}"/>
    <cellStyle name="Normal 9 3 2 2 7 2" xfId="6958" xr:uid="{00000000-0005-0000-0000-0000D11F0000}"/>
    <cellStyle name="Normal 9 3 2 2 7 2 2" xfId="15453" xr:uid="{F6F7EFD7-F79B-4C4B-963B-97C0EB83AEDE}"/>
    <cellStyle name="Normal 9 3 2 2 7 3" xfId="11240" xr:uid="{746E1A5B-2486-4BFE-8986-D53E8F29DE89}"/>
    <cellStyle name="Normal 9 3 2 2 8" xfId="4893" xr:uid="{00000000-0005-0000-0000-0000D21F0000}"/>
    <cellStyle name="Normal 9 3 2 2 8 2" xfId="13388" xr:uid="{AB433D48-6C31-43FB-857C-37771F39EFC8}"/>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5948" xr:uid="{6ADEC2D3-FF09-454C-97E7-3CB60D9362EB}"/>
    <cellStyle name="Normal 9 3 2 3 2 2 3" xfId="11735" xr:uid="{9EDFBEC6-4B96-4C26-8C17-F9DECB390256}"/>
    <cellStyle name="Normal 9 3 2 3 2 3" xfId="5308" xr:uid="{00000000-0005-0000-0000-0000D71F0000}"/>
    <cellStyle name="Normal 9 3 2 3 2 3 2" xfId="13803" xr:uid="{76BFC5A5-8871-4A7C-A99E-92AA1D188BE5}"/>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6361" xr:uid="{B8F26728-ED85-49B3-A35C-CDA301DF1244}"/>
    <cellStyle name="Normal 9 3 2 3 3 2 3" xfId="12148" xr:uid="{C9A0D996-9802-4B71-A7B0-6EAF8A96C5AF}"/>
    <cellStyle name="Normal 9 3 2 3 3 3" xfId="5721" xr:uid="{00000000-0005-0000-0000-0000DB1F0000}"/>
    <cellStyle name="Normal 9 3 2 3 3 3 2" xfId="14216" xr:uid="{1B13D7A8-D287-4736-8CA1-CFE79B94AC70}"/>
    <cellStyle name="Normal 9 3 2 3 3 4" xfId="10003" xr:uid="{7A3D53A6-1ECB-458F-A5B3-E74691EB94BA}"/>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6774" xr:uid="{3A680B27-482F-495B-B666-362F9BE92014}"/>
    <cellStyle name="Normal 9 3 2 3 4 2 3" xfId="12561" xr:uid="{4B4B3170-96AE-49AA-BBBD-E9F54BD1E768}"/>
    <cellStyle name="Normal 9 3 2 3 4 3" xfId="6134" xr:uid="{00000000-0005-0000-0000-0000DF1F0000}"/>
    <cellStyle name="Normal 9 3 2 3 4 3 2" xfId="14629" xr:uid="{FD1EA035-695E-4227-A667-EA459B4D948F}"/>
    <cellStyle name="Normal 9 3 2 3 4 4" xfId="10416" xr:uid="{7B337340-5AC6-4EA5-9D3C-A6141A9D36D6}"/>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7187" xr:uid="{2394A8C5-4365-43E7-A8F2-D97FD3363132}"/>
    <cellStyle name="Normal 9 3 2 3 5 2 3" xfId="12974" xr:uid="{C0A75106-1EAA-4818-867A-3AE870272BB4}"/>
    <cellStyle name="Normal 9 3 2 3 5 3" xfId="6547" xr:uid="{00000000-0005-0000-0000-0000E31F0000}"/>
    <cellStyle name="Normal 9 3 2 3 5 3 2" xfId="15042" xr:uid="{245948F4-E4DE-4AD8-B45B-D318866C7B02}"/>
    <cellStyle name="Normal 9 3 2 3 5 4" xfId="10829" xr:uid="{A0C9BA13-6925-49D0-9FB2-0AC8BE7C31C9}"/>
    <cellStyle name="Normal 9 3 2 3 6" xfId="2677" xr:uid="{00000000-0005-0000-0000-0000E41F0000}"/>
    <cellStyle name="Normal 9 3 2 3 6 2" xfId="6960" xr:uid="{00000000-0005-0000-0000-0000E51F0000}"/>
    <cellStyle name="Normal 9 3 2 3 6 2 2" xfId="15455" xr:uid="{CEFA3682-4BBA-4567-ABAF-8BA60582A9C8}"/>
    <cellStyle name="Normal 9 3 2 3 6 3" xfId="11242" xr:uid="{8AEFB3B9-3880-4F19-BBCA-0F46089CD51B}"/>
    <cellStyle name="Normal 9 3 2 3 7" xfId="4895" xr:uid="{00000000-0005-0000-0000-0000E61F0000}"/>
    <cellStyle name="Normal 9 3 2 3 7 2" xfId="13390" xr:uid="{2B66E867-D35D-42DE-AC7A-0CDE334E530A}"/>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2 2 2" xfId="15945" xr:uid="{1158DC31-F764-402B-8A3B-AD3187E8129F}"/>
    <cellStyle name="Normal 9 3 2 4 2 3" xfId="11732" xr:uid="{3E987D28-68E7-4C9B-9F1D-A2012DA1D51F}"/>
    <cellStyle name="Normal 9 3 2 4 3" xfId="5305" xr:uid="{00000000-0005-0000-0000-0000EA1F0000}"/>
    <cellStyle name="Normal 9 3 2 4 3 2" xfId="13800" xr:uid="{00390F4F-4CFF-46EB-83C2-0F7D6F3C479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2 2 2" xfId="16358" xr:uid="{EC45F48F-AB7A-4379-985A-FA6AA5754473}"/>
    <cellStyle name="Normal 9 3 2 5 2 3" xfId="12145" xr:uid="{0407719F-B75B-46D8-A390-64204682F995}"/>
    <cellStyle name="Normal 9 3 2 5 3" xfId="5718" xr:uid="{00000000-0005-0000-0000-0000EE1F0000}"/>
    <cellStyle name="Normal 9 3 2 5 3 2" xfId="14213" xr:uid="{0BFD8FA0-816A-4BA6-A02B-601EC03F7592}"/>
    <cellStyle name="Normal 9 3 2 5 4" xfId="10000" xr:uid="{D4FEE5F2-4737-4CE4-A936-BEB29D962DEA}"/>
    <cellStyle name="Normal 9 3 2 6" xfId="1824" xr:uid="{00000000-0005-0000-0000-0000EF1F0000}"/>
    <cellStyle name="Normal 9 3 2 6 2" xfId="4054" xr:uid="{00000000-0005-0000-0000-0000F01F0000}"/>
    <cellStyle name="Normal 9 3 2 6 2 2" xfId="8276" xr:uid="{00000000-0005-0000-0000-0000F11F0000}"/>
    <cellStyle name="Normal 9 3 2 6 2 2 2" xfId="16771" xr:uid="{D7A03BC1-4412-40F8-A8FF-35FF18604E37}"/>
    <cellStyle name="Normal 9 3 2 6 2 3" xfId="12558" xr:uid="{F1DA93DC-F8BB-436D-B5FA-1EA4D07F0BB6}"/>
    <cellStyle name="Normal 9 3 2 6 3" xfId="6131" xr:uid="{00000000-0005-0000-0000-0000F21F0000}"/>
    <cellStyle name="Normal 9 3 2 6 3 2" xfId="14626" xr:uid="{5514D672-3FDD-4C0A-ADD9-7D462DCC0389}"/>
    <cellStyle name="Normal 9 3 2 6 4" xfId="10413" xr:uid="{EAA954A4-1B0F-48D0-94F7-4F428E951F16}"/>
    <cellStyle name="Normal 9 3 2 7" xfId="2238" xr:uid="{00000000-0005-0000-0000-0000F31F0000}"/>
    <cellStyle name="Normal 9 3 2 7 2" xfId="4467" xr:uid="{00000000-0005-0000-0000-0000F41F0000}"/>
    <cellStyle name="Normal 9 3 2 7 2 2" xfId="8689" xr:uid="{00000000-0005-0000-0000-0000F51F0000}"/>
    <cellStyle name="Normal 9 3 2 7 2 2 2" xfId="17184" xr:uid="{03B019C8-5910-4E09-AA4D-2AADE2984AD3}"/>
    <cellStyle name="Normal 9 3 2 7 2 3" xfId="12971" xr:uid="{3CCD2A30-B989-4199-A4BF-13CA13580F1B}"/>
    <cellStyle name="Normal 9 3 2 7 3" xfId="6544" xr:uid="{00000000-0005-0000-0000-0000F61F0000}"/>
    <cellStyle name="Normal 9 3 2 7 3 2" xfId="15039" xr:uid="{E9CB1608-2732-4417-AA9F-3BA062574B44}"/>
    <cellStyle name="Normal 9 3 2 7 4" xfId="10826" xr:uid="{B58CD199-C677-4F05-825F-93A74DD35AFC}"/>
    <cellStyle name="Normal 9 3 2 8" xfId="2674" xr:uid="{00000000-0005-0000-0000-0000F71F0000}"/>
    <cellStyle name="Normal 9 3 2 8 2" xfId="6957" xr:uid="{00000000-0005-0000-0000-0000F81F0000}"/>
    <cellStyle name="Normal 9 3 2 8 2 2" xfId="15452" xr:uid="{69A1C467-3945-460D-B94E-AC8A1C64B845}"/>
    <cellStyle name="Normal 9 3 2 8 3" xfId="11239" xr:uid="{48BE4BF9-79DE-4980-B0B4-2EFE1646163E}"/>
    <cellStyle name="Normal 9 3 2 9" xfId="4892" xr:uid="{00000000-0005-0000-0000-0000F91F0000}"/>
    <cellStyle name="Normal 9 3 2 9 2" xfId="13387" xr:uid="{34A3083B-A0FE-40F3-8052-EDE7E5BA552F}"/>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5950" xr:uid="{58EF14AD-13A3-499A-8BEE-1FFE45D0B861}"/>
    <cellStyle name="Normal 9 3 3 2 2 2 3" xfId="11737" xr:uid="{3B477BBA-C19A-44EB-A76C-EAAB1483EAB4}"/>
    <cellStyle name="Normal 9 3 3 2 2 3" xfId="5310" xr:uid="{00000000-0005-0000-0000-0000FF1F0000}"/>
    <cellStyle name="Normal 9 3 3 2 2 3 2" xfId="13805" xr:uid="{41B1BDCF-372E-4FCE-8F2C-2FDA04A29FEB}"/>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6363" xr:uid="{6C03BB54-E47B-4987-AC44-FD89B37248DC}"/>
    <cellStyle name="Normal 9 3 3 2 3 2 3" xfId="12150" xr:uid="{91396777-A68A-414C-AA9D-8E4CAB2DED55}"/>
    <cellStyle name="Normal 9 3 3 2 3 3" xfId="5723" xr:uid="{00000000-0005-0000-0000-000003200000}"/>
    <cellStyle name="Normal 9 3 3 2 3 3 2" xfId="14218" xr:uid="{C0AB02C9-7766-4975-89F4-700564ACA71F}"/>
    <cellStyle name="Normal 9 3 3 2 3 4" xfId="10005" xr:uid="{AB152190-B0DE-430D-A78F-BF468E3FF5D4}"/>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6776" xr:uid="{3A398050-6177-4253-B6CF-27476C8DC247}"/>
    <cellStyle name="Normal 9 3 3 2 4 2 3" xfId="12563" xr:uid="{0B77038A-68A1-4E9B-8BCF-85117E140378}"/>
    <cellStyle name="Normal 9 3 3 2 4 3" xfId="6136" xr:uid="{00000000-0005-0000-0000-000007200000}"/>
    <cellStyle name="Normal 9 3 3 2 4 3 2" xfId="14631" xr:uid="{0DECBE7F-B2E8-4CC6-9D88-BC5BBB1D1DA7}"/>
    <cellStyle name="Normal 9 3 3 2 4 4" xfId="10418" xr:uid="{034C4EBA-D125-4CEB-A349-B6F0E535CB9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7189" xr:uid="{CCC0B3BC-81E9-4227-9F33-187F2E2A8A34}"/>
    <cellStyle name="Normal 9 3 3 2 5 2 3" xfId="12976" xr:uid="{320AADD1-4F8B-48C6-A6A5-5CB5B42AEAF9}"/>
    <cellStyle name="Normal 9 3 3 2 5 3" xfId="6549" xr:uid="{00000000-0005-0000-0000-00000B200000}"/>
    <cellStyle name="Normal 9 3 3 2 5 3 2" xfId="15044" xr:uid="{3F03938A-669E-4535-B97A-D1523A31A9ED}"/>
    <cellStyle name="Normal 9 3 3 2 5 4" xfId="10831" xr:uid="{E540C853-EB95-4470-8EAB-00BEFEFD2BF7}"/>
    <cellStyle name="Normal 9 3 3 2 6" xfId="2679" xr:uid="{00000000-0005-0000-0000-00000C200000}"/>
    <cellStyle name="Normal 9 3 3 2 6 2" xfId="6962" xr:uid="{00000000-0005-0000-0000-00000D200000}"/>
    <cellStyle name="Normal 9 3 3 2 6 2 2" xfId="15457" xr:uid="{C1BEF7C0-C06E-407C-B364-15216F1F3A7B}"/>
    <cellStyle name="Normal 9 3 3 2 6 3" xfId="11244" xr:uid="{5D7FB7DE-4F55-4C29-B6AC-A029E85986B3}"/>
    <cellStyle name="Normal 9 3 3 2 7" xfId="4897" xr:uid="{00000000-0005-0000-0000-00000E200000}"/>
    <cellStyle name="Normal 9 3 3 2 7 2" xfId="13392" xr:uid="{96AE93BC-831D-4353-BFF3-EF0E8955C5A9}"/>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2 2 2" xfId="15949" xr:uid="{5BFB0D5A-A764-4FEE-88E1-4FA9060615A1}"/>
    <cellStyle name="Normal 9 3 3 3 2 3" xfId="11736" xr:uid="{B16DEBE6-CB26-4A21-B43D-BC627AE8F1B9}"/>
    <cellStyle name="Normal 9 3 3 3 3" xfId="5309" xr:uid="{00000000-0005-0000-0000-000012200000}"/>
    <cellStyle name="Normal 9 3 3 3 3 2" xfId="13804" xr:uid="{0D4B5C16-D237-42C4-9225-A7A5997F2EBB}"/>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2 2 2" xfId="16362" xr:uid="{39929A3F-28A9-46B5-A9F1-580939D52C56}"/>
    <cellStyle name="Normal 9 3 3 4 2 3" xfId="12149" xr:uid="{150DA710-2ED7-4357-A131-165286433A36}"/>
    <cellStyle name="Normal 9 3 3 4 3" xfId="5722" xr:uid="{00000000-0005-0000-0000-000016200000}"/>
    <cellStyle name="Normal 9 3 3 4 3 2" xfId="14217" xr:uid="{F10F86C9-5F09-4E16-8859-855180577F46}"/>
    <cellStyle name="Normal 9 3 3 4 4" xfId="10004" xr:uid="{441ACA28-87A3-4895-946F-3FE32AAE7BAD}"/>
    <cellStyle name="Normal 9 3 3 5" xfId="1828" xr:uid="{00000000-0005-0000-0000-000017200000}"/>
    <cellStyle name="Normal 9 3 3 5 2" xfId="4058" xr:uid="{00000000-0005-0000-0000-000018200000}"/>
    <cellStyle name="Normal 9 3 3 5 2 2" xfId="8280" xr:uid="{00000000-0005-0000-0000-000019200000}"/>
    <cellStyle name="Normal 9 3 3 5 2 2 2" xfId="16775" xr:uid="{578A6E01-A2FF-4463-8456-5C68195916AA}"/>
    <cellStyle name="Normal 9 3 3 5 2 3" xfId="12562" xr:uid="{EF414AED-EBCD-4BD0-B90B-CF12BB12E37E}"/>
    <cellStyle name="Normal 9 3 3 5 3" xfId="6135" xr:uid="{00000000-0005-0000-0000-00001A200000}"/>
    <cellStyle name="Normal 9 3 3 5 3 2" xfId="14630" xr:uid="{5360FD1B-67E6-446B-9401-F65C1911C6FE}"/>
    <cellStyle name="Normal 9 3 3 5 4" xfId="10417" xr:uid="{7E3CA21B-0A0B-4F9A-AC63-AD44C06D256D}"/>
    <cellStyle name="Normal 9 3 3 6" xfId="2242" xr:uid="{00000000-0005-0000-0000-00001B200000}"/>
    <cellStyle name="Normal 9 3 3 6 2" xfId="4471" xr:uid="{00000000-0005-0000-0000-00001C200000}"/>
    <cellStyle name="Normal 9 3 3 6 2 2" xfId="8693" xr:uid="{00000000-0005-0000-0000-00001D200000}"/>
    <cellStyle name="Normal 9 3 3 6 2 2 2" xfId="17188" xr:uid="{039DBA15-1D5C-4E89-8484-AEF3C03BED65}"/>
    <cellStyle name="Normal 9 3 3 6 2 3" xfId="12975" xr:uid="{2CFE076E-8E5E-49EC-A28B-68893C74C728}"/>
    <cellStyle name="Normal 9 3 3 6 3" xfId="6548" xr:uid="{00000000-0005-0000-0000-00001E200000}"/>
    <cellStyle name="Normal 9 3 3 6 3 2" xfId="15043" xr:uid="{0CB142D2-261D-45DF-A298-9AEF6EDC3412}"/>
    <cellStyle name="Normal 9 3 3 6 4" xfId="10830" xr:uid="{8DF62036-C031-4B8B-952E-A22458A440CA}"/>
    <cellStyle name="Normal 9 3 3 7" xfId="2678" xr:uid="{00000000-0005-0000-0000-00001F200000}"/>
    <cellStyle name="Normal 9 3 3 7 2" xfId="6961" xr:uid="{00000000-0005-0000-0000-000020200000}"/>
    <cellStyle name="Normal 9 3 3 7 2 2" xfId="15456" xr:uid="{EF69DA13-1A20-4411-A017-7AB7142197E8}"/>
    <cellStyle name="Normal 9 3 3 7 3" xfId="11243" xr:uid="{32123205-46F8-4FDD-AFCB-F056BE90222F}"/>
    <cellStyle name="Normal 9 3 3 8" xfId="4896" xr:uid="{00000000-0005-0000-0000-000021200000}"/>
    <cellStyle name="Normal 9 3 3 8 2" xfId="13391" xr:uid="{F73804CE-340B-4A03-83F7-5521C9A3B68C}"/>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5951" xr:uid="{A6F113C6-769C-4354-8957-39B2083E545B}"/>
    <cellStyle name="Normal 9 3 4 2 2 3" xfId="11738" xr:uid="{F8F8BE11-4D34-4AB9-B022-B20E079FDB64}"/>
    <cellStyle name="Normal 9 3 4 2 3" xfId="5311" xr:uid="{00000000-0005-0000-0000-000026200000}"/>
    <cellStyle name="Normal 9 3 4 2 3 2" xfId="13806" xr:uid="{DBA5144B-B7B1-4A2F-B1EE-F4B5B39DE489}"/>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2 2 2" xfId="16364" xr:uid="{A7E41AE2-3C7B-47DF-A8B4-A7C52A93A453}"/>
    <cellStyle name="Normal 9 3 4 3 2 3" xfId="12151" xr:uid="{8BF90246-FC97-4BB7-96DE-914C6E346B47}"/>
    <cellStyle name="Normal 9 3 4 3 3" xfId="5724" xr:uid="{00000000-0005-0000-0000-00002A200000}"/>
    <cellStyle name="Normal 9 3 4 3 3 2" xfId="14219" xr:uid="{0D11F68D-E91F-4B44-A2D0-BD45D3BF59F0}"/>
    <cellStyle name="Normal 9 3 4 3 4" xfId="10006" xr:uid="{F107B7CE-C1C3-40DA-BB58-48F49F804C35}"/>
    <cellStyle name="Normal 9 3 4 4" xfId="1830" xr:uid="{00000000-0005-0000-0000-00002B200000}"/>
    <cellStyle name="Normal 9 3 4 4 2" xfId="4060" xr:uid="{00000000-0005-0000-0000-00002C200000}"/>
    <cellStyle name="Normal 9 3 4 4 2 2" xfId="8282" xr:uid="{00000000-0005-0000-0000-00002D200000}"/>
    <cellStyle name="Normal 9 3 4 4 2 2 2" xfId="16777" xr:uid="{C0CC5258-9BEB-4F25-A7B8-5DC37E66D7AD}"/>
    <cellStyle name="Normal 9 3 4 4 2 3" xfId="12564" xr:uid="{9F987B33-81FB-4EB0-A265-9C310EB86E68}"/>
    <cellStyle name="Normal 9 3 4 4 3" xfId="6137" xr:uid="{00000000-0005-0000-0000-00002E200000}"/>
    <cellStyle name="Normal 9 3 4 4 3 2" xfId="14632" xr:uid="{B7CEDCA5-86CB-4AC0-8047-98CB1BA05A94}"/>
    <cellStyle name="Normal 9 3 4 4 4" xfId="10419" xr:uid="{19027ADB-F0EA-4702-A173-A78DAFC0798E}"/>
    <cellStyle name="Normal 9 3 4 5" xfId="2244" xr:uid="{00000000-0005-0000-0000-00002F200000}"/>
    <cellStyle name="Normal 9 3 4 5 2" xfId="4473" xr:uid="{00000000-0005-0000-0000-000030200000}"/>
    <cellStyle name="Normal 9 3 4 5 2 2" xfId="8695" xr:uid="{00000000-0005-0000-0000-000031200000}"/>
    <cellStyle name="Normal 9 3 4 5 2 2 2" xfId="17190" xr:uid="{51BEC957-22A8-4F49-A21A-3209C0FACCEB}"/>
    <cellStyle name="Normal 9 3 4 5 2 3" xfId="12977" xr:uid="{59A263F0-1B9B-486B-B3DB-50AD60ADFBF7}"/>
    <cellStyle name="Normal 9 3 4 5 3" xfId="6550" xr:uid="{00000000-0005-0000-0000-000032200000}"/>
    <cellStyle name="Normal 9 3 4 5 3 2" xfId="15045" xr:uid="{59C1854F-EECA-4635-984E-FEF63CAEF6CD}"/>
    <cellStyle name="Normal 9 3 4 5 4" xfId="10832" xr:uid="{D9525A84-449D-4424-8557-DC8BEA9DB1E5}"/>
    <cellStyle name="Normal 9 3 4 6" xfId="2680" xr:uid="{00000000-0005-0000-0000-000033200000}"/>
    <cellStyle name="Normal 9 3 4 6 2" xfId="6963" xr:uid="{00000000-0005-0000-0000-000034200000}"/>
    <cellStyle name="Normal 9 3 4 6 2 2" xfId="15458" xr:uid="{2EC1EC94-8643-4AA3-BE78-6FB167275A1A}"/>
    <cellStyle name="Normal 9 3 4 6 3" xfId="11245" xr:uid="{9A7CA768-F64D-4902-AEB9-D887A42DA987}"/>
    <cellStyle name="Normal 9 3 4 7" xfId="4898" xr:uid="{00000000-0005-0000-0000-000035200000}"/>
    <cellStyle name="Normal 9 3 4 7 2" xfId="13393" xr:uid="{631BCE02-9747-41F9-88A0-BFDC49319592}"/>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2 2 2" xfId="15944" xr:uid="{88EF014E-654D-44DA-9097-F6AC3A14EBC9}"/>
    <cellStyle name="Normal 9 3 5 2 3" xfId="11731" xr:uid="{6DF3A1D9-BFBE-4205-91B5-90FBC1DE7727}"/>
    <cellStyle name="Normal 9 3 5 3" xfId="5304" xr:uid="{00000000-0005-0000-0000-000039200000}"/>
    <cellStyle name="Normal 9 3 5 3 2" xfId="13799" xr:uid="{2D40F0D4-9D7C-41B8-AEE0-5A298A0B7D19}"/>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2 2 2" xfId="16357" xr:uid="{A3F256BF-7C2D-4BE3-8D76-2B26AE184ED6}"/>
    <cellStyle name="Normal 9 3 6 2 3" xfId="12144" xr:uid="{9FE7A849-B553-432A-B7EA-A0D0E92D809D}"/>
    <cellStyle name="Normal 9 3 6 3" xfId="5717" xr:uid="{00000000-0005-0000-0000-00003D200000}"/>
    <cellStyle name="Normal 9 3 6 3 2" xfId="14212" xr:uid="{8150C827-3D25-470C-95D4-9C5EA897C174}"/>
    <cellStyle name="Normal 9 3 6 4" xfId="9999" xr:uid="{7121D778-92A6-4779-815B-20DC59CCE14F}"/>
    <cellStyle name="Normal 9 3 7" xfId="1823" xr:uid="{00000000-0005-0000-0000-00003E200000}"/>
    <cellStyle name="Normal 9 3 7 2" xfId="4053" xr:uid="{00000000-0005-0000-0000-00003F200000}"/>
    <cellStyle name="Normal 9 3 7 2 2" xfId="8275" xr:uid="{00000000-0005-0000-0000-000040200000}"/>
    <cellStyle name="Normal 9 3 7 2 2 2" xfId="16770" xr:uid="{087E8113-7998-402E-99E6-8A94FB3721C8}"/>
    <cellStyle name="Normal 9 3 7 2 3" xfId="12557" xr:uid="{FF9AC122-C14E-495B-9E2E-8373713DF963}"/>
    <cellStyle name="Normal 9 3 7 3" xfId="6130" xr:uid="{00000000-0005-0000-0000-000041200000}"/>
    <cellStyle name="Normal 9 3 7 3 2" xfId="14625" xr:uid="{76AE5B35-8107-4350-B248-959BB0015029}"/>
    <cellStyle name="Normal 9 3 7 4" xfId="10412" xr:uid="{B7E5F578-F1B9-4559-888D-E129A0B9AE32}"/>
    <cellStyle name="Normal 9 3 8" xfId="2237" xr:uid="{00000000-0005-0000-0000-000042200000}"/>
    <cellStyle name="Normal 9 3 8 2" xfId="4466" xr:uid="{00000000-0005-0000-0000-000043200000}"/>
    <cellStyle name="Normal 9 3 8 2 2" xfId="8688" xr:uid="{00000000-0005-0000-0000-000044200000}"/>
    <cellStyle name="Normal 9 3 8 2 2 2" xfId="17183" xr:uid="{6CD26DEB-1EDB-4694-89B2-ADEBD23BDCAC}"/>
    <cellStyle name="Normal 9 3 8 2 3" xfId="12970" xr:uid="{BEFF26E0-2FAF-4173-A5CB-1655FA326553}"/>
    <cellStyle name="Normal 9 3 8 3" xfId="6543" xr:uid="{00000000-0005-0000-0000-000045200000}"/>
    <cellStyle name="Normal 9 3 8 3 2" xfId="15038" xr:uid="{58E95014-1B2B-43B3-88A0-22CED9002406}"/>
    <cellStyle name="Normal 9 3 8 4" xfId="10825" xr:uid="{237AC3F8-A495-4FFB-99B6-6BD8A822EF50}"/>
    <cellStyle name="Normal 9 3 9" xfId="2673" xr:uid="{00000000-0005-0000-0000-000046200000}"/>
    <cellStyle name="Normal 9 3 9 2" xfId="6956" xr:uid="{00000000-0005-0000-0000-000047200000}"/>
    <cellStyle name="Normal 9 3 9 2 2" xfId="15451" xr:uid="{1CF799F5-5AD1-4FAF-BED5-F33A53126FE4}"/>
    <cellStyle name="Normal 9 3 9 3" xfId="11238" xr:uid="{B79ABD80-2743-46BE-B0A5-B582DFE7A303}"/>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5953" xr:uid="{AE47C162-C936-440B-BD95-14B60CA6280E}"/>
    <cellStyle name="Normal 9 5 2 2 2 3" xfId="11740" xr:uid="{95976653-6F00-47E4-8EC0-346F4E6FCF9C}"/>
    <cellStyle name="Normal 9 5 2 2 3" xfId="5313" xr:uid="{00000000-0005-0000-0000-00004F200000}"/>
    <cellStyle name="Normal 9 5 2 2 3 2" xfId="13808" xr:uid="{F9BF112D-9337-4015-886B-A30A9EC7A0AA}"/>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2 2 2" xfId="16366" xr:uid="{ECC5B3DB-B51A-4286-B964-6174E68C995E}"/>
    <cellStyle name="Normal 9 5 2 3 2 3" xfId="12153" xr:uid="{0EC3C0A9-9FA2-4128-97C0-C30CF98FAF28}"/>
    <cellStyle name="Normal 9 5 2 3 3" xfId="5726" xr:uid="{00000000-0005-0000-0000-000053200000}"/>
    <cellStyle name="Normal 9 5 2 3 3 2" xfId="14221" xr:uid="{0EF9DAD9-9960-4C5F-9F27-80A4BFAC3D74}"/>
    <cellStyle name="Normal 9 5 2 3 4" xfId="10008" xr:uid="{D58298C3-7A6B-4C0B-B364-65B6F6183871}"/>
    <cellStyle name="Normal 9 5 2 4" xfId="1832" xr:uid="{00000000-0005-0000-0000-000054200000}"/>
    <cellStyle name="Normal 9 5 2 4 2" xfId="4062" xr:uid="{00000000-0005-0000-0000-000055200000}"/>
    <cellStyle name="Normal 9 5 2 4 2 2" xfId="8284" xr:uid="{00000000-0005-0000-0000-000056200000}"/>
    <cellStyle name="Normal 9 5 2 4 2 2 2" xfId="16779" xr:uid="{C31C13ED-228A-4CCA-B2A0-8E60715B7E09}"/>
    <cellStyle name="Normal 9 5 2 4 2 3" xfId="12566" xr:uid="{468847A4-61AC-458A-9E26-7CB4D057C2DF}"/>
    <cellStyle name="Normal 9 5 2 4 3" xfId="6139" xr:uid="{00000000-0005-0000-0000-000057200000}"/>
    <cellStyle name="Normal 9 5 2 4 3 2" xfId="14634" xr:uid="{BAD9EE87-AD4E-4D6A-94C4-6EC8A692916A}"/>
    <cellStyle name="Normal 9 5 2 4 4" xfId="10421" xr:uid="{DC48F3C0-4932-4669-87D4-80B52C2D7422}"/>
    <cellStyle name="Normal 9 5 2 5" xfId="2246" xr:uid="{00000000-0005-0000-0000-000058200000}"/>
    <cellStyle name="Normal 9 5 2 5 2" xfId="4475" xr:uid="{00000000-0005-0000-0000-000059200000}"/>
    <cellStyle name="Normal 9 5 2 5 2 2" xfId="8697" xr:uid="{00000000-0005-0000-0000-00005A200000}"/>
    <cellStyle name="Normal 9 5 2 5 2 2 2" xfId="17192" xr:uid="{F13C5A84-70DB-4653-A87A-1044505ABFC0}"/>
    <cellStyle name="Normal 9 5 2 5 2 3" xfId="12979" xr:uid="{23C01F74-B053-4E5F-8515-D1FB75878D55}"/>
    <cellStyle name="Normal 9 5 2 5 3" xfId="6552" xr:uid="{00000000-0005-0000-0000-00005B200000}"/>
    <cellStyle name="Normal 9 5 2 5 3 2" xfId="15047" xr:uid="{12B01502-B383-4522-A075-00D235FE2D5E}"/>
    <cellStyle name="Normal 9 5 2 5 4" xfId="10834" xr:uid="{6E0679A4-333F-40F6-A1C1-3B1A6F5B5AEB}"/>
    <cellStyle name="Normal 9 5 2 6" xfId="2682" xr:uid="{00000000-0005-0000-0000-00005C200000}"/>
    <cellStyle name="Normal 9 5 2 6 2" xfId="6965" xr:uid="{00000000-0005-0000-0000-00005D200000}"/>
    <cellStyle name="Normal 9 5 2 6 2 2" xfId="15460" xr:uid="{914CFB14-816D-4AFD-A73D-A1780857A458}"/>
    <cellStyle name="Normal 9 5 2 6 3" xfId="11247" xr:uid="{BE87ADB3-0403-46ED-94A5-04B71DD3E6C5}"/>
    <cellStyle name="Normal 9 5 2 7" xfId="4900" xr:uid="{00000000-0005-0000-0000-00005E200000}"/>
    <cellStyle name="Normal 9 5 2 7 2" xfId="13395" xr:uid="{BFD8EE23-02C7-4CF2-8B43-37E78AD8C3C4}"/>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2 2 2" xfId="15952" xr:uid="{8D0F5737-AF8F-4D81-A2F4-94835ED34B38}"/>
    <cellStyle name="Normal 9 5 3 2 3" xfId="11739" xr:uid="{7C7A2DAF-8993-49A2-8E5F-7DFF4420288A}"/>
    <cellStyle name="Normal 9 5 3 3" xfId="5312" xr:uid="{00000000-0005-0000-0000-000062200000}"/>
    <cellStyle name="Normal 9 5 3 3 2" xfId="13807" xr:uid="{EF1D650E-1F3E-4AE4-95D3-658AE22C10BC}"/>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2 2 2" xfId="16365" xr:uid="{7BFC2948-70C2-49A0-8901-8FA6A6DCE350}"/>
    <cellStyle name="Normal 9 5 4 2 3" xfId="12152" xr:uid="{D32CA1A6-5EF8-4C93-AA3A-38822E581196}"/>
    <cellStyle name="Normal 9 5 4 3" xfId="5725" xr:uid="{00000000-0005-0000-0000-000066200000}"/>
    <cellStyle name="Normal 9 5 4 3 2" xfId="14220" xr:uid="{E1ADC8F5-127E-4B9A-8BDC-834C5203ADB7}"/>
    <cellStyle name="Normal 9 5 4 4" xfId="10007" xr:uid="{16F23067-86F0-416A-88F2-286151C9FD2F}"/>
    <cellStyle name="Normal 9 5 5" xfId="1831" xr:uid="{00000000-0005-0000-0000-000067200000}"/>
    <cellStyle name="Normal 9 5 5 2" xfId="4061" xr:uid="{00000000-0005-0000-0000-000068200000}"/>
    <cellStyle name="Normal 9 5 5 2 2" xfId="8283" xr:uid="{00000000-0005-0000-0000-000069200000}"/>
    <cellStyle name="Normal 9 5 5 2 2 2" xfId="16778" xr:uid="{45B36E48-6C5A-411D-9398-20905844D4E5}"/>
    <cellStyle name="Normal 9 5 5 2 3" xfId="12565" xr:uid="{4CEAD1D5-49CF-4B75-8C1E-DFFEC3B6A9A8}"/>
    <cellStyle name="Normal 9 5 5 3" xfId="6138" xr:uid="{00000000-0005-0000-0000-00006A200000}"/>
    <cellStyle name="Normal 9 5 5 3 2" xfId="14633" xr:uid="{A05319AB-4AC1-4762-94DB-2D01C711EE8C}"/>
    <cellStyle name="Normal 9 5 5 4" xfId="10420" xr:uid="{556463CB-E556-4E98-89A8-6FDEB32E6CDE}"/>
    <cellStyle name="Normal 9 5 6" xfId="2245" xr:uid="{00000000-0005-0000-0000-00006B200000}"/>
    <cellStyle name="Normal 9 5 6 2" xfId="4474" xr:uid="{00000000-0005-0000-0000-00006C200000}"/>
    <cellStyle name="Normal 9 5 6 2 2" xfId="8696" xr:uid="{00000000-0005-0000-0000-00006D200000}"/>
    <cellStyle name="Normal 9 5 6 2 2 2" xfId="17191" xr:uid="{76946C5C-2237-4AB9-87E6-274DD5F8C996}"/>
    <cellStyle name="Normal 9 5 6 2 3" xfId="12978" xr:uid="{64D567BB-85E1-49AF-A50B-33D77F447CF2}"/>
    <cellStyle name="Normal 9 5 6 3" xfId="6551" xr:uid="{00000000-0005-0000-0000-00006E200000}"/>
    <cellStyle name="Normal 9 5 6 3 2" xfId="15046" xr:uid="{3FC99532-2ABD-475B-8E31-3A65B69487E4}"/>
    <cellStyle name="Normal 9 5 6 4" xfId="10833" xr:uid="{9C392BE4-E1E7-4B74-BE2D-2B86164E7496}"/>
    <cellStyle name="Normal 9 5 7" xfId="2681" xr:uid="{00000000-0005-0000-0000-00006F200000}"/>
    <cellStyle name="Normal 9 5 7 2" xfId="6964" xr:uid="{00000000-0005-0000-0000-000070200000}"/>
    <cellStyle name="Normal 9 5 7 2 2" xfId="15459" xr:uid="{D642E0BA-FF97-401B-B0B7-6C7B21E853FB}"/>
    <cellStyle name="Normal 9 5 7 3" xfId="11246" xr:uid="{00D8C1CD-D19E-4F4A-951E-9990855DC0EE}"/>
    <cellStyle name="Normal 9 5 8" xfId="4899" xr:uid="{00000000-0005-0000-0000-000071200000}"/>
    <cellStyle name="Normal 9 5 8 2" xfId="13394" xr:uid="{C91DEBE5-14FD-48AC-94F3-6E9B5EC55347}"/>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5954" xr:uid="{BA118893-DFCA-412B-94A1-CE97088D7717}"/>
    <cellStyle name="Normal 9 6 2 2 3" xfId="11741" xr:uid="{B62EB9FE-F9D0-404F-ADAC-DDE1451FC6C5}"/>
    <cellStyle name="Normal 9 6 2 3" xfId="5314" xr:uid="{00000000-0005-0000-0000-000076200000}"/>
    <cellStyle name="Normal 9 6 2 3 2" xfId="13809" xr:uid="{527F9C14-0AAA-48B2-9089-A26DCC4E4F42}"/>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2 2 2" xfId="16367" xr:uid="{705ED18A-1FAC-457D-8E60-445B564E447B}"/>
    <cellStyle name="Normal 9 6 3 2 3" xfId="12154" xr:uid="{46AF7322-3436-49E6-9B23-BB4E596D4F9D}"/>
    <cellStyle name="Normal 9 6 3 3" xfId="5727" xr:uid="{00000000-0005-0000-0000-00007A200000}"/>
    <cellStyle name="Normal 9 6 3 3 2" xfId="14222" xr:uid="{7FAB3791-2D27-42C7-890B-44CF6985DB05}"/>
    <cellStyle name="Normal 9 6 3 4" xfId="10009" xr:uid="{C7D8ED23-EE0C-4ABA-AF33-A6F4EDB6B947}"/>
    <cellStyle name="Normal 9 6 4" xfId="1833" xr:uid="{00000000-0005-0000-0000-00007B200000}"/>
    <cellStyle name="Normal 9 6 4 2" xfId="4063" xr:uid="{00000000-0005-0000-0000-00007C200000}"/>
    <cellStyle name="Normal 9 6 4 2 2" xfId="8285" xr:uid="{00000000-0005-0000-0000-00007D200000}"/>
    <cellStyle name="Normal 9 6 4 2 2 2" xfId="16780" xr:uid="{6966DEE2-97D3-4036-967F-D4BBCD4CDCD4}"/>
    <cellStyle name="Normal 9 6 4 2 3" xfId="12567" xr:uid="{6068F46D-6B17-4D67-A5B1-06911C1CD6B7}"/>
    <cellStyle name="Normal 9 6 4 3" xfId="6140" xr:uid="{00000000-0005-0000-0000-00007E200000}"/>
    <cellStyle name="Normal 9 6 4 3 2" xfId="14635" xr:uid="{CF974869-FB62-49D5-9B93-726981630805}"/>
    <cellStyle name="Normal 9 6 4 4" xfId="10422" xr:uid="{103D36F0-EE68-4ED5-8720-D769AB382027}"/>
    <cellStyle name="Normal 9 6 5" xfId="2247" xr:uid="{00000000-0005-0000-0000-00007F200000}"/>
    <cellStyle name="Normal 9 6 5 2" xfId="4476" xr:uid="{00000000-0005-0000-0000-000080200000}"/>
    <cellStyle name="Normal 9 6 5 2 2" xfId="8698" xr:uid="{00000000-0005-0000-0000-000081200000}"/>
    <cellStyle name="Normal 9 6 5 2 2 2" xfId="17193" xr:uid="{AEBCCE5E-2AA7-45A0-955D-E98BC43F39CF}"/>
    <cellStyle name="Normal 9 6 5 2 3" xfId="12980" xr:uid="{2ED84D7D-0400-4449-A049-454EBDA139CD}"/>
    <cellStyle name="Normal 9 6 5 3" xfId="6553" xr:uid="{00000000-0005-0000-0000-000082200000}"/>
    <cellStyle name="Normal 9 6 5 3 2" xfId="15048" xr:uid="{31177DB9-2266-4DD7-8CF9-419F909D8D60}"/>
    <cellStyle name="Normal 9 6 5 4" xfId="10835" xr:uid="{57F0FCAA-9236-462B-BED3-4612A8E27E4A}"/>
    <cellStyle name="Normal 9 6 6" xfId="2683" xr:uid="{00000000-0005-0000-0000-000083200000}"/>
    <cellStyle name="Normal 9 6 6 2" xfId="6966" xr:uid="{00000000-0005-0000-0000-000084200000}"/>
    <cellStyle name="Normal 9 6 6 2 2" xfId="15461" xr:uid="{FDECC90A-91D0-4908-9E51-811E353DD3B5}"/>
    <cellStyle name="Normal 9 6 6 3" xfId="11248" xr:uid="{90B8ED47-4FB3-44DD-A504-54C89E50159F}"/>
    <cellStyle name="Normal 9 6 7" xfId="4901" xr:uid="{00000000-0005-0000-0000-000085200000}"/>
    <cellStyle name="Normal 9 6 7 2" xfId="13396" xr:uid="{A6E619A5-EC85-4644-BC34-58B35696F7F8}"/>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5542" xr:uid="{4A3DF1C3-3A7F-4AE0-82B7-302797E7DDB5}"/>
    <cellStyle name="Note 2 2 10 3" xfId="11329" xr:uid="{F11E0B18-1DD6-4512-AF96-1658CBFE1521}"/>
    <cellStyle name="Note 2 2 11" xfId="4902" xr:uid="{00000000-0005-0000-0000-000094200000}"/>
    <cellStyle name="Note 2 2 11 2" xfId="13397" xr:uid="{5080473E-BC88-4CA5-B424-0B36867C482E}"/>
    <cellStyle name="Note 2 2 12" xfId="8841" xr:uid="{E94E1FD8-31C4-4718-9658-C7A587CBF323}"/>
    <cellStyle name="Note 2 2 2" xfId="546" xr:uid="{00000000-0005-0000-0000-000095200000}"/>
    <cellStyle name="Note 2 2 2 10" xfId="4903" xr:uid="{00000000-0005-0000-0000-000096200000}"/>
    <cellStyle name="Note 2 2 2 10 2" xfId="13398" xr:uid="{FA695EB8-7C26-4F08-8769-B04EA7176BFB}"/>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2 2 2" xfId="15957" xr:uid="{CF359149-CBCF-4E5F-A2F7-96E1C0ECC9BD}"/>
    <cellStyle name="Note 2 2 2 2 2 2 3" xfId="11744" xr:uid="{3AA706AC-1AB6-4D21-8C72-4E89CF935445}"/>
    <cellStyle name="Note 2 2 2 2 2 3" xfId="5317" xr:uid="{00000000-0005-0000-0000-00009B200000}"/>
    <cellStyle name="Note 2 2 2 2 2 3 2" xfId="13812" xr:uid="{2975DA14-C446-43A0-85AE-94DB9A54534B}"/>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2 2 2" xfId="16370" xr:uid="{07EC560E-52EA-434B-81A7-B3FBCA5BCD39}"/>
    <cellStyle name="Note 2 2 2 2 3 2 3" xfId="12157" xr:uid="{85BDFF96-3C8D-45A9-B628-C7DC8A11AD1B}"/>
    <cellStyle name="Note 2 2 2 2 3 3" xfId="5730" xr:uid="{00000000-0005-0000-0000-00009F200000}"/>
    <cellStyle name="Note 2 2 2 2 3 3 2" xfId="14225" xr:uid="{BD5DFA14-A2C0-49E5-9997-294ED34E8546}"/>
    <cellStyle name="Note 2 2 2 2 3 4" xfId="10012" xr:uid="{58E86466-C2E0-48B6-99E7-C964C85DDDC6}"/>
    <cellStyle name="Note 2 2 2 2 4" xfId="1837" xr:uid="{00000000-0005-0000-0000-0000A0200000}"/>
    <cellStyle name="Note 2 2 2 2 4 2" xfId="4066" xr:uid="{00000000-0005-0000-0000-0000A1200000}"/>
    <cellStyle name="Note 2 2 2 2 4 2 2" xfId="8288" xr:uid="{00000000-0005-0000-0000-0000A2200000}"/>
    <cellStyle name="Note 2 2 2 2 4 2 2 2" xfId="16783" xr:uid="{6DE80747-ED41-40C3-8F07-A884681713BE}"/>
    <cellStyle name="Note 2 2 2 2 4 2 3" xfId="12570" xr:uid="{F80E817C-0181-4052-85E1-39C5444B5F9C}"/>
    <cellStyle name="Note 2 2 2 2 4 3" xfId="6143" xr:uid="{00000000-0005-0000-0000-0000A3200000}"/>
    <cellStyle name="Note 2 2 2 2 4 3 2" xfId="14638" xr:uid="{D93B133E-49A3-4B36-9757-77B60ACC1FEC}"/>
    <cellStyle name="Note 2 2 2 2 4 4" xfId="10425" xr:uid="{BFD5A0C2-E559-466D-AEAF-4D2F4DCBFA7A}"/>
    <cellStyle name="Note 2 2 2 2 5" xfId="2250" xr:uid="{00000000-0005-0000-0000-0000A4200000}"/>
    <cellStyle name="Note 2 2 2 2 5 2" xfId="4479" xr:uid="{00000000-0005-0000-0000-0000A5200000}"/>
    <cellStyle name="Note 2 2 2 2 5 2 2" xfId="8701" xr:uid="{00000000-0005-0000-0000-0000A6200000}"/>
    <cellStyle name="Note 2 2 2 2 5 2 2 2" xfId="17196" xr:uid="{CDA0A024-BD59-4CA4-8789-E33C0A4E7493}"/>
    <cellStyle name="Note 2 2 2 2 5 2 3" xfId="12983" xr:uid="{5014496E-32DA-47D1-8139-9B369CE8B6F1}"/>
    <cellStyle name="Note 2 2 2 2 5 3" xfId="6556" xr:uid="{00000000-0005-0000-0000-0000A7200000}"/>
    <cellStyle name="Note 2 2 2 2 5 3 2" xfId="15051" xr:uid="{0FEEB3D1-6B15-4005-9513-098B8E9087EB}"/>
    <cellStyle name="Note 2 2 2 2 5 4" xfId="10838" xr:uid="{4224DD2A-3CA2-49F0-A6CB-7A50ACB559EC}"/>
    <cellStyle name="Note 2 2 2 2 6" xfId="2686" xr:uid="{00000000-0005-0000-0000-0000A8200000}"/>
    <cellStyle name="Note 2 2 2 2 6 2" xfId="6969" xr:uid="{00000000-0005-0000-0000-0000A9200000}"/>
    <cellStyle name="Note 2 2 2 2 6 2 2" xfId="15464" xr:uid="{433C76A5-B7D8-46E1-9745-9BDD8140DF74}"/>
    <cellStyle name="Note 2 2 2 2 6 3" xfId="11251" xr:uid="{BE35F900-68CD-45F6-89F8-D4717C7D2056}"/>
    <cellStyle name="Note 2 2 2 2 7" xfId="2745" xr:uid="{00000000-0005-0000-0000-0000AA200000}"/>
    <cellStyle name="Note 2 2 2 2 8" xfId="2826" xr:uid="{00000000-0005-0000-0000-0000AB200000}"/>
    <cellStyle name="Note 2 2 2 2 8 2" xfId="7049" xr:uid="{00000000-0005-0000-0000-0000AC200000}"/>
    <cellStyle name="Note 2 2 2 2 8 2 2" xfId="15544" xr:uid="{21C583D7-93D5-4052-9786-D00064BECEE3}"/>
    <cellStyle name="Note 2 2 2 2 8 3" xfId="11331" xr:uid="{DC3B2951-DE77-4154-B822-5BEAAF1AD445}"/>
    <cellStyle name="Note 2 2 2 2 9" xfId="4904" xr:uid="{00000000-0005-0000-0000-0000AD200000}"/>
    <cellStyle name="Note 2 2 2 2 9 2" xfId="13399" xr:uid="{8F9E89DA-7F7A-4F34-9A34-36A3A28762F4}"/>
    <cellStyle name="Note 2 2 2 3" xfId="1007" xr:uid="{00000000-0005-0000-0000-0000AE200000}"/>
    <cellStyle name="Note 2 2 2 3 2" xfId="3239" xr:uid="{00000000-0005-0000-0000-0000AF200000}"/>
    <cellStyle name="Note 2 2 2 3 2 2" xfId="7461" xr:uid="{00000000-0005-0000-0000-0000B0200000}"/>
    <cellStyle name="Note 2 2 2 3 2 2 2" xfId="15956" xr:uid="{0266A8BD-F535-4060-B4D4-78A926068A5B}"/>
    <cellStyle name="Note 2 2 2 3 2 3" xfId="11743" xr:uid="{E47A1CA8-D8F8-4ED6-AC2F-67325783EEB0}"/>
    <cellStyle name="Note 2 2 2 3 3" xfId="5316" xr:uid="{00000000-0005-0000-0000-0000B1200000}"/>
    <cellStyle name="Note 2 2 2 3 3 2" xfId="13811" xr:uid="{F4AFA0E5-3CC1-46FF-BE4B-98640D2B6FEB}"/>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2 2 2" xfId="16369" xr:uid="{21452685-EB18-4250-AC03-C2B9C147345D}"/>
    <cellStyle name="Note 2 2 2 4 2 3" xfId="12156" xr:uid="{FF7FD29A-EC61-4213-9876-AED13ABF435C}"/>
    <cellStyle name="Note 2 2 2 4 3" xfId="5729" xr:uid="{00000000-0005-0000-0000-0000B5200000}"/>
    <cellStyle name="Note 2 2 2 4 3 2" xfId="14224" xr:uid="{067C540D-1D82-4788-8877-E7A1FB240D1B}"/>
    <cellStyle name="Note 2 2 2 4 4" xfId="10011" xr:uid="{E64D3B56-2573-42B1-9F39-7380D8BD10F8}"/>
    <cellStyle name="Note 2 2 2 5" xfId="1836" xr:uid="{00000000-0005-0000-0000-0000B6200000}"/>
    <cellStyle name="Note 2 2 2 5 2" xfId="4065" xr:uid="{00000000-0005-0000-0000-0000B7200000}"/>
    <cellStyle name="Note 2 2 2 5 2 2" xfId="8287" xr:uid="{00000000-0005-0000-0000-0000B8200000}"/>
    <cellStyle name="Note 2 2 2 5 2 2 2" xfId="16782" xr:uid="{5D3E108D-E4DA-4075-8679-A0C3A148E1A2}"/>
    <cellStyle name="Note 2 2 2 5 2 3" xfId="12569" xr:uid="{30F8FFF1-574C-445A-9A8C-87359B5FE984}"/>
    <cellStyle name="Note 2 2 2 5 3" xfId="6142" xr:uid="{00000000-0005-0000-0000-0000B9200000}"/>
    <cellStyle name="Note 2 2 2 5 3 2" xfId="14637" xr:uid="{28A1EEE2-93F9-4E01-B321-29C3CDAAF3EC}"/>
    <cellStyle name="Note 2 2 2 5 4" xfId="10424" xr:uid="{2BB37F48-F250-4E90-84E7-D8293657CF9C}"/>
    <cellStyle name="Note 2 2 2 6" xfId="2249" xr:uid="{00000000-0005-0000-0000-0000BA200000}"/>
    <cellStyle name="Note 2 2 2 6 2" xfId="4478" xr:uid="{00000000-0005-0000-0000-0000BB200000}"/>
    <cellStyle name="Note 2 2 2 6 2 2" xfId="8700" xr:uid="{00000000-0005-0000-0000-0000BC200000}"/>
    <cellStyle name="Note 2 2 2 6 2 2 2" xfId="17195" xr:uid="{02D5464B-E4F7-4E5B-8A4D-C642A4537392}"/>
    <cellStyle name="Note 2 2 2 6 2 3" xfId="12982" xr:uid="{8AC780DC-8718-416F-B881-FAB5B27F41BB}"/>
    <cellStyle name="Note 2 2 2 6 3" xfId="6555" xr:uid="{00000000-0005-0000-0000-0000BD200000}"/>
    <cellStyle name="Note 2 2 2 6 3 2" xfId="15050" xr:uid="{7AFEF4A7-EA2A-4067-AE84-6F613B8A9874}"/>
    <cellStyle name="Note 2 2 2 6 4" xfId="10837" xr:uid="{B288CCC9-1467-499D-B9E2-59A809DE9AE0}"/>
    <cellStyle name="Note 2 2 2 7" xfId="2685" xr:uid="{00000000-0005-0000-0000-0000BE200000}"/>
    <cellStyle name="Note 2 2 2 7 2" xfId="6968" xr:uid="{00000000-0005-0000-0000-0000BF200000}"/>
    <cellStyle name="Note 2 2 2 7 2 2" xfId="15463" xr:uid="{BE6B412D-84B9-4A8D-8F4C-EB1623200E9F}"/>
    <cellStyle name="Note 2 2 2 7 3" xfId="11250" xr:uid="{3567E29F-790E-454B-B2C1-A5634631E293}"/>
    <cellStyle name="Note 2 2 2 8" xfId="2744" xr:uid="{00000000-0005-0000-0000-0000C0200000}"/>
    <cellStyle name="Note 2 2 2 9" xfId="2825" xr:uid="{00000000-0005-0000-0000-0000C1200000}"/>
    <cellStyle name="Note 2 2 2 9 2" xfId="7048" xr:uid="{00000000-0005-0000-0000-0000C2200000}"/>
    <cellStyle name="Note 2 2 2 9 2 2" xfId="15543" xr:uid="{A7C5D795-0149-4554-BC8C-1145F52304A0}"/>
    <cellStyle name="Note 2 2 2 9 3" xfId="11330" xr:uid="{E8C7707E-2288-453B-ABF3-07293E3FD852}"/>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2 2 2" xfId="15958" xr:uid="{051880A9-3B73-4399-BCDA-151CDD949641}"/>
    <cellStyle name="Note 2 2 3 2 2 3" xfId="11745" xr:uid="{51B32D69-FF0B-44DC-82A3-4E2975BA3BF9}"/>
    <cellStyle name="Note 2 2 3 2 3" xfId="5318" xr:uid="{00000000-0005-0000-0000-0000C7200000}"/>
    <cellStyle name="Note 2 2 3 2 3 2" xfId="13813" xr:uid="{662F508F-5080-415E-9ECE-6B9C1D891085}"/>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2 2 2" xfId="16371" xr:uid="{9D1C9D01-D2D0-447E-8540-FFF438FDC580}"/>
    <cellStyle name="Note 2 2 3 3 2 3" xfId="12158" xr:uid="{3FBAE3C4-BC1B-4D8C-8764-E9D96C0EC33D}"/>
    <cellStyle name="Note 2 2 3 3 3" xfId="5731" xr:uid="{00000000-0005-0000-0000-0000CB200000}"/>
    <cellStyle name="Note 2 2 3 3 3 2" xfId="14226" xr:uid="{3B6861B8-BBCA-4041-A604-9C89919ADF42}"/>
    <cellStyle name="Note 2 2 3 3 4" xfId="10013" xr:uid="{8401F501-DA02-4FD2-BEF1-E876C88175F6}"/>
    <cellStyle name="Note 2 2 3 4" xfId="1838" xr:uid="{00000000-0005-0000-0000-0000CC200000}"/>
    <cellStyle name="Note 2 2 3 4 2" xfId="4067" xr:uid="{00000000-0005-0000-0000-0000CD200000}"/>
    <cellStyle name="Note 2 2 3 4 2 2" xfId="8289" xr:uid="{00000000-0005-0000-0000-0000CE200000}"/>
    <cellStyle name="Note 2 2 3 4 2 2 2" xfId="16784" xr:uid="{403B2B72-B8BE-4B37-92E9-6827EB4BEB14}"/>
    <cellStyle name="Note 2 2 3 4 2 3" xfId="12571" xr:uid="{B415AF74-00CE-44AC-B60A-7FDF75826AF4}"/>
    <cellStyle name="Note 2 2 3 4 3" xfId="6144" xr:uid="{00000000-0005-0000-0000-0000CF200000}"/>
    <cellStyle name="Note 2 2 3 4 3 2" xfId="14639" xr:uid="{6D5F5C60-AF29-4AB5-8E64-E844F674146D}"/>
    <cellStyle name="Note 2 2 3 4 4" xfId="10426" xr:uid="{CF8BD917-152B-4138-8C84-303026A3E078}"/>
    <cellStyle name="Note 2 2 3 5" xfId="2251" xr:uid="{00000000-0005-0000-0000-0000D0200000}"/>
    <cellStyle name="Note 2 2 3 5 2" xfId="4480" xr:uid="{00000000-0005-0000-0000-0000D1200000}"/>
    <cellStyle name="Note 2 2 3 5 2 2" xfId="8702" xr:uid="{00000000-0005-0000-0000-0000D2200000}"/>
    <cellStyle name="Note 2 2 3 5 2 2 2" xfId="17197" xr:uid="{062729F3-E583-4074-98F0-D166750A6CA6}"/>
    <cellStyle name="Note 2 2 3 5 2 3" xfId="12984" xr:uid="{03BF1387-43BA-4C95-8BF9-AAABA15488A6}"/>
    <cellStyle name="Note 2 2 3 5 3" xfId="6557" xr:uid="{00000000-0005-0000-0000-0000D3200000}"/>
    <cellStyle name="Note 2 2 3 5 3 2" xfId="15052" xr:uid="{CF45EF39-70EA-4DF9-8B69-70ABF2293876}"/>
    <cellStyle name="Note 2 2 3 5 4" xfId="10839" xr:uid="{EC054C12-7F48-4167-96D0-AD913AE8D728}"/>
    <cellStyle name="Note 2 2 3 6" xfId="2687" xr:uid="{00000000-0005-0000-0000-0000D4200000}"/>
    <cellStyle name="Note 2 2 3 6 2" xfId="6970" xr:uid="{00000000-0005-0000-0000-0000D5200000}"/>
    <cellStyle name="Note 2 2 3 6 2 2" xfId="15465" xr:uid="{45ADA896-A376-43C9-B55E-28A01F47D195}"/>
    <cellStyle name="Note 2 2 3 6 3" xfId="11252" xr:uid="{175479FF-35DB-4C47-ADC3-17366A4DB537}"/>
    <cellStyle name="Note 2 2 3 7" xfId="2746" xr:uid="{00000000-0005-0000-0000-0000D6200000}"/>
    <cellStyle name="Note 2 2 3 8" xfId="2827" xr:uid="{00000000-0005-0000-0000-0000D7200000}"/>
    <cellStyle name="Note 2 2 3 8 2" xfId="7050" xr:uid="{00000000-0005-0000-0000-0000D8200000}"/>
    <cellStyle name="Note 2 2 3 8 2 2" xfId="15545" xr:uid="{5D8EE51D-7BDB-4FD5-B24C-2FDD066C6EBB}"/>
    <cellStyle name="Note 2 2 3 8 3" xfId="11332" xr:uid="{EB2EBBB5-3F51-4DE9-AA26-D1F6881D81ED}"/>
    <cellStyle name="Note 2 2 3 9" xfId="4905" xr:uid="{00000000-0005-0000-0000-0000D9200000}"/>
    <cellStyle name="Note 2 2 3 9 2" xfId="13400" xr:uid="{B1B56D56-2209-48B1-A2CF-C1737B30C691}"/>
    <cellStyle name="Note 2 2 4" xfId="1006" xr:uid="{00000000-0005-0000-0000-0000DA200000}"/>
    <cellStyle name="Note 2 2 4 2" xfId="3238" xr:uid="{00000000-0005-0000-0000-0000DB200000}"/>
    <cellStyle name="Note 2 2 4 2 2" xfId="7460" xr:uid="{00000000-0005-0000-0000-0000DC200000}"/>
    <cellStyle name="Note 2 2 4 2 2 2" xfId="15955" xr:uid="{C5318690-B4E2-4F02-B4F2-9493AB0EE283}"/>
    <cellStyle name="Note 2 2 4 2 3" xfId="11742" xr:uid="{1057FC48-C94F-45DB-AB14-92DADF8AF91D}"/>
    <cellStyle name="Note 2 2 4 3" xfId="5315" xr:uid="{00000000-0005-0000-0000-0000DD200000}"/>
    <cellStyle name="Note 2 2 4 3 2" xfId="13810" xr:uid="{764C481C-253F-4FF3-9868-A13236EB0A82}"/>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2 2 2" xfId="16368" xr:uid="{5EEBCC87-ECBE-4CB4-AFB0-80B17248AD0F}"/>
    <cellStyle name="Note 2 2 5 2 3" xfId="12155" xr:uid="{083FA585-8562-483D-8510-2C71C3DDA628}"/>
    <cellStyle name="Note 2 2 5 3" xfId="5728" xr:uid="{00000000-0005-0000-0000-0000E1200000}"/>
    <cellStyle name="Note 2 2 5 3 2" xfId="14223" xr:uid="{A18F17FF-9927-4B03-9FFC-0C992E2864F1}"/>
    <cellStyle name="Note 2 2 5 4" xfId="10010" xr:uid="{C3B47F6D-3468-4C1B-8365-73F428EDF69F}"/>
    <cellStyle name="Note 2 2 6" xfId="1835" xr:uid="{00000000-0005-0000-0000-0000E2200000}"/>
    <cellStyle name="Note 2 2 6 2" xfId="4064" xr:uid="{00000000-0005-0000-0000-0000E3200000}"/>
    <cellStyle name="Note 2 2 6 2 2" xfId="8286" xr:uid="{00000000-0005-0000-0000-0000E4200000}"/>
    <cellStyle name="Note 2 2 6 2 2 2" xfId="16781" xr:uid="{E4FD41A8-163F-4AB4-9EB4-80A9BCED20C3}"/>
    <cellStyle name="Note 2 2 6 2 3" xfId="12568" xr:uid="{6D78F944-3678-473C-8444-59BCD35A4672}"/>
    <cellStyle name="Note 2 2 6 3" xfId="6141" xr:uid="{00000000-0005-0000-0000-0000E5200000}"/>
    <cellStyle name="Note 2 2 6 3 2" xfId="14636" xr:uid="{B5FFB64F-DED1-4938-95A1-18D69E266540}"/>
    <cellStyle name="Note 2 2 6 4" xfId="10423" xr:uid="{865469CA-F7FD-4BB4-800E-0EF9974D6484}"/>
    <cellStyle name="Note 2 2 7" xfId="2248" xr:uid="{00000000-0005-0000-0000-0000E6200000}"/>
    <cellStyle name="Note 2 2 7 2" xfId="4477" xr:uid="{00000000-0005-0000-0000-0000E7200000}"/>
    <cellStyle name="Note 2 2 7 2 2" xfId="8699" xr:uid="{00000000-0005-0000-0000-0000E8200000}"/>
    <cellStyle name="Note 2 2 7 2 2 2" xfId="17194" xr:uid="{06FBEEAB-E8A8-4488-8F7C-56908FBFCDD0}"/>
    <cellStyle name="Note 2 2 7 2 3" xfId="12981" xr:uid="{FDFF7C82-F7B0-4102-B311-E02E2A9D59EF}"/>
    <cellStyle name="Note 2 2 7 3" xfId="6554" xr:uid="{00000000-0005-0000-0000-0000E9200000}"/>
    <cellStyle name="Note 2 2 7 3 2" xfId="15049" xr:uid="{A4319FAC-7702-4AC8-82F4-21FE470F4549}"/>
    <cellStyle name="Note 2 2 7 4" xfId="10836" xr:uid="{ACA6560C-C246-49BC-9BE6-B92400DD3FAA}"/>
    <cellStyle name="Note 2 2 8" xfId="2684" xr:uid="{00000000-0005-0000-0000-0000EA200000}"/>
    <cellStyle name="Note 2 2 8 2" xfId="6967" xr:uid="{00000000-0005-0000-0000-0000EB200000}"/>
    <cellStyle name="Note 2 2 8 2 2" xfId="15462" xr:uid="{1CC76D69-2A0A-4CA5-AAB9-096CEC37BF81}"/>
    <cellStyle name="Note 2 2 8 3" xfId="11249" xr:uid="{EC873D8A-200A-4911-98AD-06BE8939AE5F}"/>
    <cellStyle name="Note 2 2 9" xfId="2743" xr:uid="{00000000-0005-0000-0000-0000EC200000}"/>
    <cellStyle name="Note 2 3" xfId="549" xr:uid="{00000000-0005-0000-0000-0000ED200000}"/>
    <cellStyle name="Note 2 3 10" xfId="4906" xr:uid="{00000000-0005-0000-0000-0000EE200000}"/>
    <cellStyle name="Note 2 3 10 2" xfId="13401" xr:uid="{86E4AAD9-18D0-4676-968C-3B3F4891A559}"/>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2 2 2" xfId="15960" xr:uid="{4937969B-4ECB-41DA-AE2D-339F1DE694CC}"/>
    <cellStyle name="Note 2 3 2 2 2 3" xfId="11747" xr:uid="{21D574EE-E4C0-432A-936F-A8B55F8A890D}"/>
    <cellStyle name="Note 2 3 2 2 3" xfId="5320" xr:uid="{00000000-0005-0000-0000-0000F3200000}"/>
    <cellStyle name="Note 2 3 2 2 3 2" xfId="13815" xr:uid="{8E0BD068-9699-4887-BEA4-75C458818DA2}"/>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2 2 2" xfId="16373" xr:uid="{E688FBCC-B16B-45F8-AB84-B1EC03F84B4D}"/>
    <cellStyle name="Note 2 3 2 3 2 3" xfId="12160" xr:uid="{776E07E1-7218-4FE4-B7E2-E1C5EE7E556F}"/>
    <cellStyle name="Note 2 3 2 3 3" xfId="5733" xr:uid="{00000000-0005-0000-0000-0000F7200000}"/>
    <cellStyle name="Note 2 3 2 3 3 2" xfId="14228" xr:uid="{3130363B-5EC0-459B-9C72-892E13E83EEF}"/>
    <cellStyle name="Note 2 3 2 3 4" xfId="10015" xr:uid="{63DA0055-7D42-48FC-9ABC-01C625F78FD0}"/>
    <cellStyle name="Note 2 3 2 4" xfId="1840" xr:uid="{00000000-0005-0000-0000-0000F8200000}"/>
    <cellStyle name="Note 2 3 2 4 2" xfId="4069" xr:uid="{00000000-0005-0000-0000-0000F9200000}"/>
    <cellStyle name="Note 2 3 2 4 2 2" xfId="8291" xr:uid="{00000000-0005-0000-0000-0000FA200000}"/>
    <cellStyle name="Note 2 3 2 4 2 2 2" xfId="16786" xr:uid="{94213A71-7877-47F3-B10E-6C01887FD317}"/>
    <cellStyle name="Note 2 3 2 4 2 3" xfId="12573" xr:uid="{BF666FE2-8EF9-446D-8449-53EF7B29E516}"/>
    <cellStyle name="Note 2 3 2 4 3" xfId="6146" xr:uid="{00000000-0005-0000-0000-0000FB200000}"/>
    <cellStyle name="Note 2 3 2 4 3 2" xfId="14641" xr:uid="{10F41AD2-CE03-4376-8EA0-CC0127C6BD72}"/>
    <cellStyle name="Note 2 3 2 4 4" xfId="10428" xr:uid="{81D67957-E89F-46BD-9769-B8219454990D}"/>
    <cellStyle name="Note 2 3 2 5" xfId="2253" xr:uid="{00000000-0005-0000-0000-0000FC200000}"/>
    <cellStyle name="Note 2 3 2 5 2" xfId="4482" xr:uid="{00000000-0005-0000-0000-0000FD200000}"/>
    <cellStyle name="Note 2 3 2 5 2 2" xfId="8704" xr:uid="{00000000-0005-0000-0000-0000FE200000}"/>
    <cellStyle name="Note 2 3 2 5 2 2 2" xfId="17199" xr:uid="{62FF824D-174B-4C39-BCCF-B9B6BFAF2F0D}"/>
    <cellStyle name="Note 2 3 2 5 2 3" xfId="12986" xr:uid="{DA98C950-3434-43A5-AC41-1E4B35B9BBFF}"/>
    <cellStyle name="Note 2 3 2 5 3" xfId="6559" xr:uid="{00000000-0005-0000-0000-0000FF200000}"/>
    <cellStyle name="Note 2 3 2 5 3 2" xfId="15054" xr:uid="{03410A7D-3F34-477A-9BF5-8E5847916288}"/>
    <cellStyle name="Note 2 3 2 5 4" xfId="10841" xr:uid="{D4A4F207-5926-4A35-A532-750D39238C44}"/>
    <cellStyle name="Note 2 3 2 6" xfId="2689" xr:uid="{00000000-0005-0000-0000-000000210000}"/>
    <cellStyle name="Note 2 3 2 6 2" xfId="6972" xr:uid="{00000000-0005-0000-0000-000001210000}"/>
    <cellStyle name="Note 2 3 2 6 2 2" xfId="15467" xr:uid="{785E7CBD-225A-40B4-8B2B-4A3930CEAA7E}"/>
    <cellStyle name="Note 2 3 2 6 3" xfId="11254" xr:uid="{00EB3606-0802-4A8C-9599-B4C765DF0462}"/>
    <cellStyle name="Note 2 3 2 7" xfId="2748" xr:uid="{00000000-0005-0000-0000-000002210000}"/>
    <cellStyle name="Note 2 3 2 8" xfId="2829" xr:uid="{00000000-0005-0000-0000-000003210000}"/>
    <cellStyle name="Note 2 3 2 8 2" xfId="7052" xr:uid="{00000000-0005-0000-0000-000004210000}"/>
    <cellStyle name="Note 2 3 2 8 2 2" xfId="15547" xr:uid="{FFA1ECF7-B6F7-4D4F-83B2-FD4A791BB074}"/>
    <cellStyle name="Note 2 3 2 8 3" xfId="11334" xr:uid="{7F9F8DEC-B231-4A3B-AEDD-239DFC6D24DA}"/>
    <cellStyle name="Note 2 3 2 9" xfId="4907" xr:uid="{00000000-0005-0000-0000-000005210000}"/>
    <cellStyle name="Note 2 3 2 9 2" xfId="13402" xr:uid="{E1805E7A-2425-4AB2-B2EB-50DA5AA1AE95}"/>
    <cellStyle name="Note 2 3 3" xfId="1010" xr:uid="{00000000-0005-0000-0000-000006210000}"/>
    <cellStyle name="Note 2 3 3 2" xfId="3242" xr:uid="{00000000-0005-0000-0000-000007210000}"/>
    <cellStyle name="Note 2 3 3 2 2" xfId="7464" xr:uid="{00000000-0005-0000-0000-000008210000}"/>
    <cellStyle name="Note 2 3 3 2 2 2" xfId="15959" xr:uid="{0BFA2B51-4BE4-4787-8A5C-F50F490F0AE6}"/>
    <cellStyle name="Note 2 3 3 2 3" xfId="11746" xr:uid="{ABD0F50B-9ED7-4F98-8FE3-9BB6E0340836}"/>
    <cellStyle name="Note 2 3 3 3" xfId="5319" xr:uid="{00000000-0005-0000-0000-000009210000}"/>
    <cellStyle name="Note 2 3 3 3 2" xfId="13814" xr:uid="{91EBCCBA-317D-4426-B3E4-0027715AF515}"/>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2 2 2" xfId="16372" xr:uid="{7213BF66-F583-4008-8C73-FF091A42E5D4}"/>
    <cellStyle name="Note 2 3 4 2 3" xfId="12159" xr:uid="{DF64C333-4FC9-4642-9FAC-7472BCCA24A4}"/>
    <cellStyle name="Note 2 3 4 3" xfId="5732" xr:uid="{00000000-0005-0000-0000-00000D210000}"/>
    <cellStyle name="Note 2 3 4 3 2" xfId="14227" xr:uid="{09FAC08F-A353-456B-967F-37B29F881E63}"/>
    <cellStyle name="Note 2 3 4 4" xfId="10014" xr:uid="{441F6BF8-0D4D-4BF7-A8C1-15A88DDB2C03}"/>
    <cellStyle name="Note 2 3 5" xfId="1839" xr:uid="{00000000-0005-0000-0000-00000E210000}"/>
    <cellStyle name="Note 2 3 5 2" xfId="4068" xr:uid="{00000000-0005-0000-0000-00000F210000}"/>
    <cellStyle name="Note 2 3 5 2 2" xfId="8290" xr:uid="{00000000-0005-0000-0000-000010210000}"/>
    <cellStyle name="Note 2 3 5 2 2 2" xfId="16785" xr:uid="{55A3EC96-4ABF-453F-9BB0-686FFEAE2D46}"/>
    <cellStyle name="Note 2 3 5 2 3" xfId="12572" xr:uid="{48A69FF1-4E11-4A12-B752-90CDF8BCBD9D}"/>
    <cellStyle name="Note 2 3 5 3" xfId="6145" xr:uid="{00000000-0005-0000-0000-000011210000}"/>
    <cellStyle name="Note 2 3 5 3 2" xfId="14640" xr:uid="{4DF00001-6565-4960-A793-B3640AAB9A9D}"/>
    <cellStyle name="Note 2 3 5 4" xfId="10427" xr:uid="{6953576D-4C42-4DFC-8F7D-0897B494F39F}"/>
    <cellStyle name="Note 2 3 6" xfId="2252" xr:uid="{00000000-0005-0000-0000-000012210000}"/>
    <cellStyle name="Note 2 3 6 2" xfId="4481" xr:uid="{00000000-0005-0000-0000-000013210000}"/>
    <cellStyle name="Note 2 3 6 2 2" xfId="8703" xr:uid="{00000000-0005-0000-0000-000014210000}"/>
    <cellStyle name="Note 2 3 6 2 2 2" xfId="17198" xr:uid="{97903143-62CD-423B-A668-9E5CDDD7D06B}"/>
    <cellStyle name="Note 2 3 6 2 3" xfId="12985" xr:uid="{A71E9C87-9D7C-4129-8E54-EECCCD14EBAC}"/>
    <cellStyle name="Note 2 3 6 3" xfId="6558" xr:uid="{00000000-0005-0000-0000-000015210000}"/>
    <cellStyle name="Note 2 3 6 3 2" xfId="15053" xr:uid="{4AD8C199-76F2-405A-9DEE-355183171785}"/>
    <cellStyle name="Note 2 3 6 4" xfId="10840" xr:uid="{4C728C15-3E16-47ED-845A-5FA343A62A7E}"/>
    <cellStyle name="Note 2 3 7" xfId="2688" xr:uid="{00000000-0005-0000-0000-000016210000}"/>
    <cellStyle name="Note 2 3 7 2" xfId="6971" xr:uid="{00000000-0005-0000-0000-000017210000}"/>
    <cellStyle name="Note 2 3 7 2 2" xfId="15466" xr:uid="{89DF8009-2EBF-40E1-B4F6-06426C36C8B1}"/>
    <cellStyle name="Note 2 3 7 3" xfId="11253" xr:uid="{6008B04D-9040-4361-ABFD-6B79E4A14812}"/>
    <cellStyle name="Note 2 3 8" xfId="2747" xr:uid="{00000000-0005-0000-0000-000018210000}"/>
    <cellStyle name="Note 2 3 9" xfId="2828" xr:uid="{00000000-0005-0000-0000-000019210000}"/>
    <cellStyle name="Note 2 3 9 2" xfId="7051" xr:uid="{00000000-0005-0000-0000-00001A210000}"/>
    <cellStyle name="Note 2 3 9 2 2" xfId="15546" xr:uid="{AF5BDA71-ED69-4AD7-93A0-4C7A907AAF47}"/>
    <cellStyle name="Note 2 3 9 3" xfId="11333" xr:uid="{4AC3B05C-3D3A-4D25-8608-C0F44FD4284E}"/>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2 2 2" xfId="15961" xr:uid="{CDEE3581-D209-4ADA-A431-ACE5C9D99430}"/>
    <cellStyle name="Note 2 4 2 2 3" xfId="11748" xr:uid="{726EDA07-6C06-4D07-9918-3053BD2A390A}"/>
    <cellStyle name="Note 2 4 2 3" xfId="5321" xr:uid="{00000000-0005-0000-0000-00001F210000}"/>
    <cellStyle name="Note 2 4 2 3 2" xfId="13816" xr:uid="{22B5C88A-1127-4EF2-B8A4-6AB14205D5B9}"/>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2 2 2" xfId="16374" xr:uid="{29C5940B-D5E2-416B-A2B3-2EA772113679}"/>
    <cellStyle name="Note 2 4 3 2 3" xfId="12161" xr:uid="{1651A01A-72ED-4932-9603-D51AF0EA52BF}"/>
    <cellStyle name="Note 2 4 3 3" xfId="5734" xr:uid="{00000000-0005-0000-0000-000023210000}"/>
    <cellStyle name="Note 2 4 3 3 2" xfId="14229" xr:uid="{A69DC0D3-E08F-4EA9-97D9-00C4A8C7723E}"/>
    <cellStyle name="Note 2 4 3 4" xfId="10016" xr:uid="{69C9B5D0-A066-4D47-A359-FB9AC01B443A}"/>
    <cellStyle name="Note 2 4 4" xfId="1841" xr:uid="{00000000-0005-0000-0000-000024210000}"/>
    <cellStyle name="Note 2 4 4 2" xfId="4070" xr:uid="{00000000-0005-0000-0000-000025210000}"/>
    <cellStyle name="Note 2 4 4 2 2" xfId="8292" xr:uid="{00000000-0005-0000-0000-000026210000}"/>
    <cellStyle name="Note 2 4 4 2 2 2" xfId="16787" xr:uid="{E2744CD7-8505-4347-8AFE-36F04522B2EF}"/>
    <cellStyle name="Note 2 4 4 2 3" xfId="12574" xr:uid="{B9747811-18BB-4A4C-B922-5117E3168AAE}"/>
    <cellStyle name="Note 2 4 4 3" xfId="6147" xr:uid="{00000000-0005-0000-0000-000027210000}"/>
    <cellStyle name="Note 2 4 4 3 2" xfId="14642" xr:uid="{3205B530-A04E-4F16-9128-56F935D9AC45}"/>
    <cellStyle name="Note 2 4 4 4" xfId="10429" xr:uid="{61AAAB79-765B-4713-BD53-C356787E69C6}"/>
    <cellStyle name="Note 2 4 5" xfId="2254" xr:uid="{00000000-0005-0000-0000-000028210000}"/>
    <cellStyle name="Note 2 4 5 2" xfId="4483" xr:uid="{00000000-0005-0000-0000-000029210000}"/>
    <cellStyle name="Note 2 4 5 2 2" xfId="8705" xr:uid="{00000000-0005-0000-0000-00002A210000}"/>
    <cellStyle name="Note 2 4 5 2 2 2" xfId="17200" xr:uid="{369F1B43-B290-4842-8FD6-7DD1EC7DFFE3}"/>
    <cellStyle name="Note 2 4 5 2 3" xfId="12987" xr:uid="{DF0FEEDE-644D-4158-9073-543F1C5B9D9D}"/>
    <cellStyle name="Note 2 4 5 3" xfId="6560" xr:uid="{00000000-0005-0000-0000-00002B210000}"/>
    <cellStyle name="Note 2 4 5 3 2" xfId="15055" xr:uid="{B7869D6B-6528-468B-92B5-CF5B4CAB8F65}"/>
    <cellStyle name="Note 2 4 5 4" xfId="10842" xr:uid="{BD6415DC-AEC2-439E-B314-8445975302B2}"/>
    <cellStyle name="Note 2 4 6" xfId="2690" xr:uid="{00000000-0005-0000-0000-00002C210000}"/>
    <cellStyle name="Note 2 4 6 2" xfId="6973" xr:uid="{00000000-0005-0000-0000-00002D210000}"/>
    <cellStyle name="Note 2 4 6 2 2" xfId="15468" xr:uid="{D373BCF7-E024-4833-A621-9110CA5C5DCA}"/>
    <cellStyle name="Note 2 4 6 3" xfId="11255" xr:uid="{2D8452AC-D1C2-4860-AEBE-910FD574E6DF}"/>
    <cellStyle name="Note 2 4 7" xfId="2749" xr:uid="{00000000-0005-0000-0000-00002E210000}"/>
    <cellStyle name="Note 2 4 8" xfId="2830" xr:uid="{00000000-0005-0000-0000-00002F210000}"/>
    <cellStyle name="Note 2 4 8 2" xfId="7053" xr:uid="{00000000-0005-0000-0000-000030210000}"/>
    <cellStyle name="Note 2 4 8 2 2" xfId="15548" xr:uid="{0D300C3E-D691-4E93-8FE8-86FB1A97B09B}"/>
    <cellStyle name="Note 2 4 8 3" xfId="11335" xr:uid="{7617DD7E-D4F5-444C-B0CB-5863AA395C44}"/>
    <cellStyle name="Note 2 4 9" xfId="4908" xr:uid="{00000000-0005-0000-0000-000031210000}"/>
    <cellStyle name="Note 2 4 9 2" xfId="13403" xr:uid="{5C2C8C35-36CD-4F65-958B-15B53E660ACC}"/>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2 2 2" xfId="15962" xr:uid="{EC257701-E4EC-4AAE-958F-34E741B8F6D1}"/>
    <cellStyle name="Note 2 5 2 2 3" xfId="11749" xr:uid="{4AA08E08-1ACC-4A20-8B0F-7FFC26FA6377}"/>
    <cellStyle name="Note 2 5 2 3" xfId="5322" xr:uid="{00000000-0005-0000-0000-000036210000}"/>
    <cellStyle name="Note 2 5 2 3 2" xfId="13817" xr:uid="{04B158D2-5476-45C9-B402-E5C70882E8C6}"/>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2 2 2" xfId="16375" xr:uid="{B1EF7458-E09C-45BB-B5F7-AA5A2892E49F}"/>
    <cellStyle name="Note 2 5 3 2 3" xfId="12162" xr:uid="{1446F5B4-F8DF-4A03-A8CE-618723248E3A}"/>
    <cellStyle name="Note 2 5 3 3" xfId="5735" xr:uid="{00000000-0005-0000-0000-00003A210000}"/>
    <cellStyle name="Note 2 5 3 3 2" xfId="14230" xr:uid="{D2B17BB7-3790-47A9-8CD8-B1F27AA5B698}"/>
    <cellStyle name="Note 2 5 3 4" xfId="10017" xr:uid="{8368DFEE-9B55-40CD-9D2A-51CACD2F03A4}"/>
    <cellStyle name="Note 2 5 4" xfId="1842" xr:uid="{00000000-0005-0000-0000-00003B210000}"/>
    <cellStyle name="Note 2 5 4 2" xfId="4071" xr:uid="{00000000-0005-0000-0000-00003C210000}"/>
    <cellStyle name="Note 2 5 4 2 2" xfId="8293" xr:uid="{00000000-0005-0000-0000-00003D210000}"/>
    <cellStyle name="Note 2 5 4 2 2 2" xfId="16788" xr:uid="{0A5F97EA-3FED-47D3-914B-9EB198DF9DB2}"/>
    <cellStyle name="Note 2 5 4 2 3" xfId="12575" xr:uid="{12BBFF49-B521-4275-BC13-96616C953091}"/>
    <cellStyle name="Note 2 5 4 3" xfId="6148" xr:uid="{00000000-0005-0000-0000-00003E210000}"/>
    <cellStyle name="Note 2 5 4 3 2" xfId="14643" xr:uid="{536A23C1-F70A-47D1-9025-6D5A91E6501E}"/>
    <cellStyle name="Note 2 5 4 4" xfId="10430" xr:uid="{FF567BE3-BFA2-4E58-8A40-6F2487F2CD26}"/>
    <cellStyle name="Note 2 5 5" xfId="2255" xr:uid="{00000000-0005-0000-0000-00003F210000}"/>
    <cellStyle name="Note 2 5 5 2" xfId="4484" xr:uid="{00000000-0005-0000-0000-000040210000}"/>
    <cellStyle name="Note 2 5 5 2 2" xfId="8706" xr:uid="{00000000-0005-0000-0000-000041210000}"/>
    <cellStyle name="Note 2 5 5 2 2 2" xfId="17201" xr:uid="{15B57274-3B0F-43BE-9E4B-8C71AA486393}"/>
    <cellStyle name="Note 2 5 5 2 3" xfId="12988" xr:uid="{23C9E1B0-2BE7-4346-A5D3-190D5CC79B2F}"/>
    <cellStyle name="Note 2 5 5 3" xfId="6561" xr:uid="{00000000-0005-0000-0000-000042210000}"/>
    <cellStyle name="Note 2 5 5 3 2" xfId="15056" xr:uid="{11EB503E-5C97-4CA8-A20D-FAAFB2A6BC61}"/>
    <cellStyle name="Note 2 5 5 4" xfId="10843" xr:uid="{B774D443-1831-4AE4-BAEC-AC15D671AB02}"/>
    <cellStyle name="Note 2 5 6" xfId="2691" xr:uid="{00000000-0005-0000-0000-000043210000}"/>
    <cellStyle name="Note 2 5 6 2" xfId="6974" xr:uid="{00000000-0005-0000-0000-000044210000}"/>
    <cellStyle name="Note 2 5 6 2 2" xfId="15469" xr:uid="{776ECBB3-C56D-404B-90B5-3689F3A10AF4}"/>
    <cellStyle name="Note 2 5 6 3" xfId="11256" xr:uid="{812D3D4D-2324-4552-B69D-92027868CBC6}"/>
    <cellStyle name="Note 2 5 7" xfId="2750" xr:uid="{00000000-0005-0000-0000-000045210000}"/>
    <cellStyle name="Note 2 5 8" xfId="2831" xr:uid="{00000000-0005-0000-0000-000046210000}"/>
    <cellStyle name="Note 2 5 8 2" xfId="7054" xr:uid="{00000000-0005-0000-0000-000047210000}"/>
    <cellStyle name="Note 2 5 8 2 2" xfId="15549" xr:uid="{3A2AF2C7-6313-4D77-A267-6BDDF55F0FC4}"/>
    <cellStyle name="Note 2 5 8 3" xfId="11336" xr:uid="{0B01C6BE-5149-4007-9792-76678359EF11}"/>
    <cellStyle name="Note 2 5 9" xfId="4909" xr:uid="{00000000-0005-0000-0000-000048210000}"/>
    <cellStyle name="Note 2 5 9 2" xfId="13404" xr:uid="{6F52BD1B-7C12-4DE8-8FDF-EDE9E1702835}"/>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5550" xr:uid="{AA73243E-75A1-4E6E-AF89-2132803A0611}"/>
    <cellStyle name="Note 3 2 10 3" xfId="11337" xr:uid="{A0D6EEF0-575F-4138-B21C-DB2854282252}"/>
    <cellStyle name="Note 3 2 11" xfId="4910" xr:uid="{00000000-0005-0000-0000-00004D210000}"/>
    <cellStyle name="Note 3 2 11 2" xfId="13405" xr:uid="{B6E797B6-FE24-418D-8265-6379ABED839F}"/>
    <cellStyle name="Note 3 2 12" xfId="8842" xr:uid="{646587AC-B7A9-43E2-AC1E-1B77745805D8}"/>
    <cellStyle name="Note 3 2 2" xfId="555" xr:uid="{00000000-0005-0000-0000-00004E210000}"/>
    <cellStyle name="Note 3 2 2 10" xfId="4911" xr:uid="{00000000-0005-0000-0000-00004F210000}"/>
    <cellStyle name="Note 3 2 2 10 2" xfId="13406" xr:uid="{628CCE56-4760-4290-9DF1-10EF766DB063}"/>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2 2 2" xfId="15965" xr:uid="{D629A857-F99F-4491-9724-D64E24E2EBAE}"/>
    <cellStyle name="Note 3 2 2 2 2 2 3" xfId="11752" xr:uid="{C1F206E0-A7E5-4B4A-96DB-58F76CDC5ECC}"/>
    <cellStyle name="Note 3 2 2 2 2 3" xfId="5325" xr:uid="{00000000-0005-0000-0000-000054210000}"/>
    <cellStyle name="Note 3 2 2 2 2 3 2" xfId="13820" xr:uid="{D34447C0-80EF-4EA2-8D06-1AA8AF70ED75}"/>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2 2 2" xfId="16378" xr:uid="{F58E736A-3BB5-4A33-83ED-22C0CE617E31}"/>
    <cellStyle name="Note 3 2 2 2 3 2 3" xfId="12165" xr:uid="{224B2E4B-EFF5-4726-8364-DC2B4BF460DB}"/>
    <cellStyle name="Note 3 2 2 2 3 3" xfId="5738" xr:uid="{00000000-0005-0000-0000-000058210000}"/>
    <cellStyle name="Note 3 2 2 2 3 3 2" xfId="14233" xr:uid="{440068FA-4C5C-47DA-85AA-992E490F782D}"/>
    <cellStyle name="Note 3 2 2 2 3 4" xfId="10020" xr:uid="{0A9B719E-261E-4831-9F65-8956A94528F1}"/>
    <cellStyle name="Note 3 2 2 2 4" xfId="1845" xr:uid="{00000000-0005-0000-0000-000059210000}"/>
    <cellStyle name="Note 3 2 2 2 4 2" xfId="4074" xr:uid="{00000000-0005-0000-0000-00005A210000}"/>
    <cellStyle name="Note 3 2 2 2 4 2 2" xfId="8296" xr:uid="{00000000-0005-0000-0000-00005B210000}"/>
    <cellStyle name="Note 3 2 2 2 4 2 2 2" xfId="16791" xr:uid="{EE67C646-D07F-4A6F-9198-36221DE061A7}"/>
    <cellStyle name="Note 3 2 2 2 4 2 3" xfId="12578" xr:uid="{78EFB2B0-D9C4-4E8D-8681-1ACCA1005457}"/>
    <cellStyle name="Note 3 2 2 2 4 3" xfId="6151" xr:uid="{00000000-0005-0000-0000-00005C210000}"/>
    <cellStyle name="Note 3 2 2 2 4 3 2" xfId="14646" xr:uid="{3EAF4893-C68A-4290-8A7F-80D9984E8C79}"/>
    <cellStyle name="Note 3 2 2 2 4 4" xfId="10433" xr:uid="{3B2E17AC-8B1D-4C4C-9697-F1F75C96C8FE}"/>
    <cellStyle name="Note 3 2 2 2 5" xfId="2258" xr:uid="{00000000-0005-0000-0000-00005D210000}"/>
    <cellStyle name="Note 3 2 2 2 5 2" xfId="4487" xr:uid="{00000000-0005-0000-0000-00005E210000}"/>
    <cellStyle name="Note 3 2 2 2 5 2 2" xfId="8709" xr:uid="{00000000-0005-0000-0000-00005F210000}"/>
    <cellStyle name="Note 3 2 2 2 5 2 2 2" xfId="17204" xr:uid="{B7A36F8F-3D1B-4829-B991-24757A98B731}"/>
    <cellStyle name="Note 3 2 2 2 5 2 3" xfId="12991" xr:uid="{8B3310BE-DDCC-4F6E-A71D-E92CEBB3EA05}"/>
    <cellStyle name="Note 3 2 2 2 5 3" xfId="6564" xr:uid="{00000000-0005-0000-0000-000060210000}"/>
    <cellStyle name="Note 3 2 2 2 5 3 2" xfId="15059" xr:uid="{5BC7DB41-A33D-42CC-887F-C8E1372F02EA}"/>
    <cellStyle name="Note 3 2 2 2 5 4" xfId="10846" xr:uid="{0674CBF1-631A-4D6B-9E71-397ABF54B9F0}"/>
    <cellStyle name="Note 3 2 2 2 6" xfId="2694" xr:uid="{00000000-0005-0000-0000-000061210000}"/>
    <cellStyle name="Note 3 2 2 2 6 2" xfId="6977" xr:uid="{00000000-0005-0000-0000-000062210000}"/>
    <cellStyle name="Note 3 2 2 2 6 2 2" xfId="15472" xr:uid="{325442A8-6B4F-4E1E-87D9-B89DE9499DE2}"/>
    <cellStyle name="Note 3 2 2 2 6 3" xfId="11259" xr:uid="{DE9FFC5C-37E4-45DC-A557-DB8AE83435E8}"/>
    <cellStyle name="Note 3 2 2 2 7" xfId="2753" xr:uid="{00000000-0005-0000-0000-000063210000}"/>
    <cellStyle name="Note 3 2 2 2 8" xfId="2834" xr:uid="{00000000-0005-0000-0000-000064210000}"/>
    <cellStyle name="Note 3 2 2 2 8 2" xfId="7057" xr:uid="{00000000-0005-0000-0000-000065210000}"/>
    <cellStyle name="Note 3 2 2 2 8 2 2" xfId="15552" xr:uid="{D6D822A3-2A38-401E-96CE-5FE518E0CDB5}"/>
    <cellStyle name="Note 3 2 2 2 8 3" xfId="11339" xr:uid="{3EDF3F6B-F3AC-4B59-8809-CF2523AA891D}"/>
    <cellStyle name="Note 3 2 2 2 9" xfId="4912" xr:uid="{00000000-0005-0000-0000-000066210000}"/>
    <cellStyle name="Note 3 2 2 2 9 2" xfId="13407" xr:uid="{468C92CA-84E7-4FBD-AC75-40A9384F6E83}"/>
    <cellStyle name="Note 3 2 2 3" xfId="1015" xr:uid="{00000000-0005-0000-0000-000067210000}"/>
    <cellStyle name="Note 3 2 2 3 2" xfId="3247" xr:uid="{00000000-0005-0000-0000-000068210000}"/>
    <cellStyle name="Note 3 2 2 3 2 2" xfId="7469" xr:uid="{00000000-0005-0000-0000-000069210000}"/>
    <cellStyle name="Note 3 2 2 3 2 2 2" xfId="15964" xr:uid="{EFA77AC2-5CD8-4EDC-AEB8-77B4973A8F13}"/>
    <cellStyle name="Note 3 2 2 3 2 3" xfId="11751" xr:uid="{12F30877-6084-4E1A-979A-8F83AC765CA3}"/>
    <cellStyle name="Note 3 2 2 3 3" xfId="5324" xr:uid="{00000000-0005-0000-0000-00006A210000}"/>
    <cellStyle name="Note 3 2 2 3 3 2" xfId="13819" xr:uid="{08C79774-9B40-46DD-AE68-2A874695D103}"/>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2 2 2" xfId="16377" xr:uid="{C9D55375-090B-4E20-AB39-17EE17769E34}"/>
    <cellStyle name="Note 3 2 2 4 2 3" xfId="12164" xr:uid="{8615332B-3F98-475A-827D-DFB971BF25F6}"/>
    <cellStyle name="Note 3 2 2 4 3" xfId="5737" xr:uid="{00000000-0005-0000-0000-00006E210000}"/>
    <cellStyle name="Note 3 2 2 4 3 2" xfId="14232" xr:uid="{8FA1AEBB-310B-4D60-8D1C-DD1F43706FB9}"/>
    <cellStyle name="Note 3 2 2 4 4" xfId="10019" xr:uid="{E70904B9-3965-4E03-B4E9-C9C885EF5A47}"/>
    <cellStyle name="Note 3 2 2 5" xfId="1844" xr:uid="{00000000-0005-0000-0000-00006F210000}"/>
    <cellStyle name="Note 3 2 2 5 2" xfId="4073" xr:uid="{00000000-0005-0000-0000-000070210000}"/>
    <cellStyle name="Note 3 2 2 5 2 2" xfId="8295" xr:uid="{00000000-0005-0000-0000-000071210000}"/>
    <cellStyle name="Note 3 2 2 5 2 2 2" xfId="16790" xr:uid="{7612C6CC-72FB-477D-B5B5-0EEF2BB39F22}"/>
    <cellStyle name="Note 3 2 2 5 2 3" xfId="12577" xr:uid="{6DB5AA16-2C9B-4F46-87D9-08957C668014}"/>
    <cellStyle name="Note 3 2 2 5 3" xfId="6150" xr:uid="{00000000-0005-0000-0000-000072210000}"/>
    <cellStyle name="Note 3 2 2 5 3 2" xfId="14645" xr:uid="{1C763FBB-584A-42BE-9F36-9D3FA15D1B50}"/>
    <cellStyle name="Note 3 2 2 5 4" xfId="10432" xr:uid="{05F54B05-5BDE-4BAC-956E-D6CFDC17856A}"/>
    <cellStyle name="Note 3 2 2 6" xfId="2257" xr:uid="{00000000-0005-0000-0000-000073210000}"/>
    <cellStyle name="Note 3 2 2 6 2" xfId="4486" xr:uid="{00000000-0005-0000-0000-000074210000}"/>
    <cellStyle name="Note 3 2 2 6 2 2" xfId="8708" xr:uid="{00000000-0005-0000-0000-000075210000}"/>
    <cellStyle name="Note 3 2 2 6 2 2 2" xfId="17203" xr:uid="{960B8ABF-7629-40FC-A1FE-72FA4889F9AC}"/>
    <cellStyle name="Note 3 2 2 6 2 3" xfId="12990" xr:uid="{4A6EF760-555E-42E6-BE09-9DE5276A99FA}"/>
    <cellStyle name="Note 3 2 2 6 3" xfId="6563" xr:uid="{00000000-0005-0000-0000-000076210000}"/>
    <cellStyle name="Note 3 2 2 6 3 2" xfId="15058" xr:uid="{C140EC9C-F333-4B6A-BA95-36A4BB658138}"/>
    <cellStyle name="Note 3 2 2 6 4" xfId="10845" xr:uid="{AF925EEB-212C-4425-A37D-1E1D07AC46FE}"/>
    <cellStyle name="Note 3 2 2 7" xfId="2693" xr:uid="{00000000-0005-0000-0000-000077210000}"/>
    <cellStyle name="Note 3 2 2 7 2" xfId="6976" xr:uid="{00000000-0005-0000-0000-000078210000}"/>
    <cellStyle name="Note 3 2 2 7 2 2" xfId="15471" xr:uid="{7A0AE891-E3E0-4BBA-95F4-4066998AD218}"/>
    <cellStyle name="Note 3 2 2 7 3" xfId="11258" xr:uid="{948668C0-4F73-4DA9-B081-44535C881F1F}"/>
    <cellStyle name="Note 3 2 2 8" xfId="2752" xr:uid="{00000000-0005-0000-0000-000079210000}"/>
    <cellStyle name="Note 3 2 2 9" xfId="2833" xr:uid="{00000000-0005-0000-0000-00007A210000}"/>
    <cellStyle name="Note 3 2 2 9 2" xfId="7056" xr:uid="{00000000-0005-0000-0000-00007B210000}"/>
    <cellStyle name="Note 3 2 2 9 2 2" xfId="15551" xr:uid="{640BE819-3837-4396-9355-C5834805725C}"/>
    <cellStyle name="Note 3 2 2 9 3" xfId="11338" xr:uid="{102D7758-5E06-47F6-814E-A657F464E8E2}"/>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2 2 2" xfId="15966" xr:uid="{2DB0CC6C-70F5-4367-A9FC-01EC1E52EE71}"/>
    <cellStyle name="Note 3 2 3 2 2 3" xfId="11753" xr:uid="{EC73A271-9D56-4177-9E2F-CBC727F3A807}"/>
    <cellStyle name="Note 3 2 3 2 3" xfId="5326" xr:uid="{00000000-0005-0000-0000-000080210000}"/>
    <cellStyle name="Note 3 2 3 2 3 2" xfId="13821" xr:uid="{2C0BABE3-35F6-4475-BE4F-A635E3130875}"/>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2 2 2" xfId="16379" xr:uid="{F1931061-D756-4433-B178-AD2E80E20AA3}"/>
    <cellStyle name="Note 3 2 3 3 2 3" xfId="12166" xr:uid="{8BC51CCB-7A75-4EF4-BB60-D4AB96ABF326}"/>
    <cellStyle name="Note 3 2 3 3 3" xfId="5739" xr:uid="{00000000-0005-0000-0000-000084210000}"/>
    <cellStyle name="Note 3 2 3 3 3 2" xfId="14234" xr:uid="{A09B1105-50D9-4C83-9661-62FD5CC9D68E}"/>
    <cellStyle name="Note 3 2 3 3 4" xfId="10021" xr:uid="{B919CAB6-0F6C-4E31-ADBC-2AA996E1B432}"/>
    <cellStyle name="Note 3 2 3 4" xfId="1846" xr:uid="{00000000-0005-0000-0000-000085210000}"/>
    <cellStyle name="Note 3 2 3 4 2" xfId="4075" xr:uid="{00000000-0005-0000-0000-000086210000}"/>
    <cellStyle name="Note 3 2 3 4 2 2" xfId="8297" xr:uid="{00000000-0005-0000-0000-000087210000}"/>
    <cellStyle name="Note 3 2 3 4 2 2 2" xfId="16792" xr:uid="{F1958FF4-B67E-406A-B3CE-FB844CEB2007}"/>
    <cellStyle name="Note 3 2 3 4 2 3" xfId="12579" xr:uid="{E74E5969-1C21-4394-8250-36B293E07C57}"/>
    <cellStyle name="Note 3 2 3 4 3" xfId="6152" xr:uid="{00000000-0005-0000-0000-000088210000}"/>
    <cellStyle name="Note 3 2 3 4 3 2" xfId="14647" xr:uid="{680970BF-16DD-43C8-A43A-643F7B94D484}"/>
    <cellStyle name="Note 3 2 3 4 4" xfId="10434" xr:uid="{9D2A2ED3-C503-4980-8C2D-8943207238B4}"/>
    <cellStyle name="Note 3 2 3 5" xfId="2259" xr:uid="{00000000-0005-0000-0000-000089210000}"/>
    <cellStyle name="Note 3 2 3 5 2" xfId="4488" xr:uid="{00000000-0005-0000-0000-00008A210000}"/>
    <cellStyle name="Note 3 2 3 5 2 2" xfId="8710" xr:uid="{00000000-0005-0000-0000-00008B210000}"/>
    <cellStyle name="Note 3 2 3 5 2 2 2" xfId="17205" xr:uid="{F73EE740-83C5-4EE6-B002-53C3B35B976A}"/>
    <cellStyle name="Note 3 2 3 5 2 3" xfId="12992" xr:uid="{108EEC19-3056-4C3A-9CCE-48D6E4DD08A1}"/>
    <cellStyle name="Note 3 2 3 5 3" xfId="6565" xr:uid="{00000000-0005-0000-0000-00008C210000}"/>
    <cellStyle name="Note 3 2 3 5 3 2" xfId="15060" xr:uid="{EA9DC1D0-E362-4360-969B-43476A0AE72F}"/>
    <cellStyle name="Note 3 2 3 5 4" xfId="10847" xr:uid="{ABE90CDD-76E6-4FA8-AE0D-D48FEDFCF944}"/>
    <cellStyle name="Note 3 2 3 6" xfId="2695" xr:uid="{00000000-0005-0000-0000-00008D210000}"/>
    <cellStyle name="Note 3 2 3 6 2" xfId="6978" xr:uid="{00000000-0005-0000-0000-00008E210000}"/>
    <cellStyle name="Note 3 2 3 6 2 2" xfId="15473" xr:uid="{FDE3F4AC-7547-4672-81C8-C10032AD926C}"/>
    <cellStyle name="Note 3 2 3 6 3" xfId="11260" xr:uid="{500A45EA-BF03-41BD-B55B-D52AA034C238}"/>
    <cellStyle name="Note 3 2 3 7" xfId="2754" xr:uid="{00000000-0005-0000-0000-00008F210000}"/>
    <cellStyle name="Note 3 2 3 8" xfId="2835" xr:uid="{00000000-0005-0000-0000-000090210000}"/>
    <cellStyle name="Note 3 2 3 8 2" xfId="7058" xr:uid="{00000000-0005-0000-0000-000091210000}"/>
    <cellStyle name="Note 3 2 3 8 2 2" xfId="15553" xr:uid="{EC9ABF01-0C96-4290-B434-6F000558832D}"/>
    <cellStyle name="Note 3 2 3 8 3" xfId="11340" xr:uid="{305B83D5-2F64-4EAA-8192-047945C52379}"/>
    <cellStyle name="Note 3 2 3 9" xfId="4913" xr:uid="{00000000-0005-0000-0000-000092210000}"/>
    <cellStyle name="Note 3 2 3 9 2" xfId="13408" xr:uid="{E9E5B40A-8A18-4B20-B483-780651072C04}"/>
    <cellStyle name="Note 3 2 4" xfId="1014" xr:uid="{00000000-0005-0000-0000-000093210000}"/>
    <cellStyle name="Note 3 2 4 2" xfId="3246" xr:uid="{00000000-0005-0000-0000-000094210000}"/>
    <cellStyle name="Note 3 2 4 2 2" xfId="7468" xr:uid="{00000000-0005-0000-0000-000095210000}"/>
    <cellStyle name="Note 3 2 4 2 2 2" xfId="15963" xr:uid="{920AC1B8-C08F-49EC-85FF-8FFF0545B9D1}"/>
    <cellStyle name="Note 3 2 4 2 3" xfId="11750" xr:uid="{94C75001-41BA-40CB-A5D4-5643AC36C545}"/>
    <cellStyle name="Note 3 2 4 3" xfId="5323" xr:uid="{00000000-0005-0000-0000-000096210000}"/>
    <cellStyle name="Note 3 2 4 3 2" xfId="13818" xr:uid="{5A99DBE2-8017-47EB-A9A7-5DFBBC992A12}"/>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2 2 2" xfId="16376" xr:uid="{39ED0FB1-0A12-4257-98A8-7D4DC9387915}"/>
    <cellStyle name="Note 3 2 5 2 3" xfId="12163" xr:uid="{63126B69-26E6-49C1-BF2A-BD288A06ED14}"/>
    <cellStyle name="Note 3 2 5 3" xfId="5736" xr:uid="{00000000-0005-0000-0000-00009A210000}"/>
    <cellStyle name="Note 3 2 5 3 2" xfId="14231" xr:uid="{FC6B74A0-DA3D-424F-B28F-17A5D1A874CF}"/>
    <cellStyle name="Note 3 2 5 4" xfId="10018" xr:uid="{981D9F50-5232-4394-A1F6-E4764460786E}"/>
    <cellStyle name="Note 3 2 6" xfId="1843" xr:uid="{00000000-0005-0000-0000-00009B210000}"/>
    <cellStyle name="Note 3 2 6 2" xfId="4072" xr:uid="{00000000-0005-0000-0000-00009C210000}"/>
    <cellStyle name="Note 3 2 6 2 2" xfId="8294" xr:uid="{00000000-0005-0000-0000-00009D210000}"/>
    <cellStyle name="Note 3 2 6 2 2 2" xfId="16789" xr:uid="{D5359F71-43B4-4604-91A7-DA7937D7BF1D}"/>
    <cellStyle name="Note 3 2 6 2 3" xfId="12576" xr:uid="{35E20939-758E-4488-9800-C3B97BB52BBE}"/>
    <cellStyle name="Note 3 2 6 3" xfId="6149" xr:uid="{00000000-0005-0000-0000-00009E210000}"/>
    <cellStyle name="Note 3 2 6 3 2" xfId="14644" xr:uid="{A1591C3C-D789-40DF-BF6E-8B24C5AB1591}"/>
    <cellStyle name="Note 3 2 6 4" xfId="10431" xr:uid="{ADCEA0A4-0A96-4292-BB6C-DB14F83F9D67}"/>
    <cellStyle name="Note 3 2 7" xfId="2256" xr:uid="{00000000-0005-0000-0000-00009F210000}"/>
    <cellStyle name="Note 3 2 7 2" xfId="4485" xr:uid="{00000000-0005-0000-0000-0000A0210000}"/>
    <cellStyle name="Note 3 2 7 2 2" xfId="8707" xr:uid="{00000000-0005-0000-0000-0000A1210000}"/>
    <cellStyle name="Note 3 2 7 2 2 2" xfId="17202" xr:uid="{4E2CDDE8-3085-4E68-8FC3-B87750E06EFA}"/>
    <cellStyle name="Note 3 2 7 2 3" xfId="12989" xr:uid="{ED061FE1-626D-4A9B-B7EB-6438F91C36D0}"/>
    <cellStyle name="Note 3 2 7 3" xfId="6562" xr:uid="{00000000-0005-0000-0000-0000A2210000}"/>
    <cellStyle name="Note 3 2 7 3 2" xfId="15057" xr:uid="{F3DEC02C-7E74-4E56-BFC9-DD1381652727}"/>
    <cellStyle name="Note 3 2 7 4" xfId="10844" xr:uid="{AE0DA8E8-C130-4D1D-8BB4-E67C8BB53FB4}"/>
    <cellStyle name="Note 3 2 8" xfId="2692" xr:uid="{00000000-0005-0000-0000-0000A3210000}"/>
    <cellStyle name="Note 3 2 8 2" xfId="6975" xr:uid="{00000000-0005-0000-0000-0000A4210000}"/>
    <cellStyle name="Note 3 2 8 2 2" xfId="15470" xr:uid="{008191EF-28AE-458D-BD0A-E1BB6257936E}"/>
    <cellStyle name="Note 3 2 8 3" xfId="11257" xr:uid="{4388288E-9BE3-4C1F-B17B-6FDEE224D50A}"/>
    <cellStyle name="Note 3 2 9" xfId="2751" xr:uid="{00000000-0005-0000-0000-0000A5210000}"/>
    <cellStyle name="Note 3 3" xfId="558" xr:uid="{00000000-0005-0000-0000-0000A6210000}"/>
    <cellStyle name="Note 3 3 10" xfId="4914" xr:uid="{00000000-0005-0000-0000-0000A7210000}"/>
    <cellStyle name="Note 3 3 10 2" xfId="13409" xr:uid="{7D55A975-2295-4FE0-8BD7-00AC8B791D32}"/>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2 2 2" xfId="15968" xr:uid="{F21A233E-2ED8-4A1B-851A-63674CDA0461}"/>
    <cellStyle name="Note 3 3 2 2 2 3" xfId="11755" xr:uid="{648F9CF1-1597-4596-8616-BA260CA55AE2}"/>
    <cellStyle name="Note 3 3 2 2 3" xfId="5328" xr:uid="{00000000-0005-0000-0000-0000AC210000}"/>
    <cellStyle name="Note 3 3 2 2 3 2" xfId="13823" xr:uid="{498B0139-0425-41B5-A76F-A4DCE3FB9928}"/>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2 2 2" xfId="16381" xr:uid="{6F8744F6-1A71-42D0-864F-2E715D8BC25F}"/>
    <cellStyle name="Note 3 3 2 3 2 3" xfId="12168" xr:uid="{FDC85C75-CB4B-48E1-B3FA-FF89DAC75FBA}"/>
    <cellStyle name="Note 3 3 2 3 3" xfId="5741" xr:uid="{00000000-0005-0000-0000-0000B0210000}"/>
    <cellStyle name="Note 3 3 2 3 3 2" xfId="14236" xr:uid="{672862F2-FA5F-4EE1-B083-884C1E110765}"/>
    <cellStyle name="Note 3 3 2 3 4" xfId="10023" xr:uid="{909DBB6C-61C5-4FCC-8672-963A017C3BBA}"/>
    <cellStyle name="Note 3 3 2 4" xfId="1848" xr:uid="{00000000-0005-0000-0000-0000B1210000}"/>
    <cellStyle name="Note 3 3 2 4 2" xfId="4077" xr:uid="{00000000-0005-0000-0000-0000B2210000}"/>
    <cellStyle name="Note 3 3 2 4 2 2" xfId="8299" xr:uid="{00000000-0005-0000-0000-0000B3210000}"/>
    <cellStyle name="Note 3 3 2 4 2 2 2" xfId="16794" xr:uid="{4B435247-8F98-413C-94B3-8D474B3A16A3}"/>
    <cellStyle name="Note 3 3 2 4 2 3" xfId="12581" xr:uid="{BB7BF950-77D7-412A-8A6B-5D6DC8801F19}"/>
    <cellStyle name="Note 3 3 2 4 3" xfId="6154" xr:uid="{00000000-0005-0000-0000-0000B4210000}"/>
    <cellStyle name="Note 3 3 2 4 3 2" xfId="14649" xr:uid="{B971775B-1041-47AC-8ABE-D6B1F47B8371}"/>
    <cellStyle name="Note 3 3 2 4 4" xfId="10436" xr:uid="{03B43818-2AB7-45C6-ABC1-5A770699E4AE}"/>
    <cellStyle name="Note 3 3 2 5" xfId="2261" xr:uid="{00000000-0005-0000-0000-0000B5210000}"/>
    <cellStyle name="Note 3 3 2 5 2" xfId="4490" xr:uid="{00000000-0005-0000-0000-0000B6210000}"/>
    <cellStyle name="Note 3 3 2 5 2 2" xfId="8712" xr:uid="{00000000-0005-0000-0000-0000B7210000}"/>
    <cellStyle name="Note 3 3 2 5 2 2 2" xfId="17207" xr:uid="{CB7B8BDA-CE96-4F0A-BBBD-31CC975313A5}"/>
    <cellStyle name="Note 3 3 2 5 2 3" xfId="12994" xr:uid="{11AFBE21-C815-4ACA-89C1-723D27F8C78C}"/>
    <cellStyle name="Note 3 3 2 5 3" xfId="6567" xr:uid="{00000000-0005-0000-0000-0000B8210000}"/>
    <cellStyle name="Note 3 3 2 5 3 2" xfId="15062" xr:uid="{7B4D823E-775A-4DDC-B4F9-D7B343E88C3F}"/>
    <cellStyle name="Note 3 3 2 5 4" xfId="10849" xr:uid="{348A5D8B-ECD7-4CDF-86D1-A6043E3BABBF}"/>
    <cellStyle name="Note 3 3 2 6" xfId="2697" xr:uid="{00000000-0005-0000-0000-0000B9210000}"/>
    <cellStyle name="Note 3 3 2 6 2" xfId="6980" xr:uid="{00000000-0005-0000-0000-0000BA210000}"/>
    <cellStyle name="Note 3 3 2 6 2 2" xfId="15475" xr:uid="{C1F0CCFF-C12D-4805-A7F8-0C624AE39C01}"/>
    <cellStyle name="Note 3 3 2 6 3" xfId="11262" xr:uid="{AEE64D19-2A6B-4ECA-B6C9-8A4108A0CF34}"/>
    <cellStyle name="Note 3 3 2 7" xfId="2756" xr:uid="{00000000-0005-0000-0000-0000BB210000}"/>
    <cellStyle name="Note 3 3 2 8" xfId="2837" xr:uid="{00000000-0005-0000-0000-0000BC210000}"/>
    <cellStyle name="Note 3 3 2 8 2" xfId="7060" xr:uid="{00000000-0005-0000-0000-0000BD210000}"/>
    <cellStyle name="Note 3 3 2 8 2 2" xfId="15555" xr:uid="{45209326-D8D2-44CE-AD02-527AB10CD35B}"/>
    <cellStyle name="Note 3 3 2 8 3" xfId="11342" xr:uid="{EF0539AD-9157-4357-961C-8B9BE1135909}"/>
    <cellStyle name="Note 3 3 2 9" xfId="4915" xr:uid="{00000000-0005-0000-0000-0000BE210000}"/>
    <cellStyle name="Note 3 3 2 9 2" xfId="13410" xr:uid="{43061F8B-85E1-462F-9481-3256348A2998}"/>
    <cellStyle name="Note 3 3 3" xfId="1018" xr:uid="{00000000-0005-0000-0000-0000BF210000}"/>
    <cellStyle name="Note 3 3 3 2" xfId="3250" xr:uid="{00000000-0005-0000-0000-0000C0210000}"/>
    <cellStyle name="Note 3 3 3 2 2" xfId="7472" xr:uid="{00000000-0005-0000-0000-0000C1210000}"/>
    <cellStyle name="Note 3 3 3 2 2 2" xfId="15967" xr:uid="{D7665DDA-7DC9-455E-859C-A7FCA8EC640E}"/>
    <cellStyle name="Note 3 3 3 2 3" xfId="11754" xr:uid="{D7AEEABD-DA4D-4521-9829-85E8C5822FCE}"/>
    <cellStyle name="Note 3 3 3 3" xfId="5327" xr:uid="{00000000-0005-0000-0000-0000C2210000}"/>
    <cellStyle name="Note 3 3 3 3 2" xfId="13822" xr:uid="{0F67A378-2A46-4238-BBA0-1B2C714432FA}"/>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2 2 2" xfId="16380" xr:uid="{93E64DC0-68BD-4829-A253-5CE1D4B2FA07}"/>
    <cellStyle name="Note 3 3 4 2 3" xfId="12167" xr:uid="{09917429-71E0-45A3-BD6F-6835D5D16D83}"/>
    <cellStyle name="Note 3 3 4 3" xfId="5740" xr:uid="{00000000-0005-0000-0000-0000C6210000}"/>
    <cellStyle name="Note 3 3 4 3 2" xfId="14235" xr:uid="{E38901BE-1334-4405-AAD4-ED233D3185D6}"/>
    <cellStyle name="Note 3 3 4 4" xfId="10022" xr:uid="{E3671916-6DE5-4762-B4E3-A85935E71AA9}"/>
    <cellStyle name="Note 3 3 5" xfId="1847" xr:uid="{00000000-0005-0000-0000-0000C7210000}"/>
    <cellStyle name="Note 3 3 5 2" xfId="4076" xr:uid="{00000000-0005-0000-0000-0000C8210000}"/>
    <cellStyle name="Note 3 3 5 2 2" xfId="8298" xr:uid="{00000000-0005-0000-0000-0000C9210000}"/>
    <cellStyle name="Note 3 3 5 2 2 2" xfId="16793" xr:uid="{20036E6F-A5E7-4482-AFC3-8B9D76E854A5}"/>
    <cellStyle name="Note 3 3 5 2 3" xfId="12580" xr:uid="{E528B667-5567-4445-94FD-FF54B5270077}"/>
    <cellStyle name="Note 3 3 5 3" xfId="6153" xr:uid="{00000000-0005-0000-0000-0000CA210000}"/>
    <cellStyle name="Note 3 3 5 3 2" xfId="14648" xr:uid="{513DE5B5-CEF7-4AEA-9C0C-F557DAC12D9F}"/>
    <cellStyle name="Note 3 3 5 4" xfId="10435" xr:uid="{C2485965-BB51-4019-BD4F-1D9632BA88D3}"/>
    <cellStyle name="Note 3 3 6" xfId="2260" xr:uid="{00000000-0005-0000-0000-0000CB210000}"/>
    <cellStyle name="Note 3 3 6 2" xfId="4489" xr:uid="{00000000-0005-0000-0000-0000CC210000}"/>
    <cellStyle name="Note 3 3 6 2 2" xfId="8711" xr:uid="{00000000-0005-0000-0000-0000CD210000}"/>
    <cellStyle name="Note 3 3 6 2 2 2" xfId="17206" xr:uid="{4311A01C-1168-4AF3-B0D4-77C44E1B3285}"/>
    <cellStyle name="Note 3 3 6 2 3" xfId="12993" xr:uid="{543057E3-D0A4-4FAA-B1DD-09C9FC87FF1E}"/>
    <cellStyle name="Note 3 3 6 3" xfId="6566" xr:uid="{00000000-0005-0000-0000-0000CE210000}"/>
    <cellStyle name="Note 3 3 6 3 2" xfId="15061" xr:uid="{60DBA14D-EC99-4C3F-AF45-A027E1DD532A}"/>
    <cellStyle name="Note 3 3 6 4" xfId="10848" xr:uid="{24823ED7-A80D-488E-A5FF-020F3F737248}"/>
    <cellStyle name="Note 3 3 7" xfId="2696" xr:uid="{00000000-0005-0000-0000-0000CF210000}"/>
    <cellStyle name="Note 3 3 7 2" xfId="6979" xr:uid="{00000000-0005-0000-0000-0000D0210000}"/>
    <cellStyle name="Note 3 3 7 2 2" xfId="15474" xr:uid="{C04F00FE-7C45-4430-B60D-CCFEA9F08EE1}"/>
    <cellStyle name="Note 3 3 7 3" xfId="11261" xr:uid="{F5BCCEC1-CAA2-4CF2-B58A-5C5BCEC04D16}"/>
    <cellStyle name="Note 3 3 8" xfId="2755" xr:uid="{00000000-0005-0000-0000-0000D1210000}"/>
    <cellStyle name="Note 3 3 9" xfId="2836" xr:uid="{00000000-0005-0000-0000-0000D2210000}"/>
    <cellStyle name="Note 3 3 9 2" xfId="7059" xr:uid="{00000000-0005-0000-0000-0000D3210000}"/>
    <cellStyle name="Note 3 3 9 2 2" xfId="15554" xr:uid="{5D0AA43B-85B4-4F96-AB37-77A9260A1EF7}"/>
    <cellStyle name="Note 3 3 9 3" xfId="11341" xr:uid="{0D713617-8EF1-451E-9985-38B8E1B4BA2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2 2 2" xfId="15969" xr:uid="{37CEE9C7-908C-4458-AFB5-65891722932F}"/>
    <cellStyle name="Note 3 4 2 2 3" xfId="11756" xr:uid="{C4F790C4-34DE-4388-8FB3-175A4EA67C65}"/>
    <cellStyle name="Note 3 4 2 3" xfId="5329" xr:uid="{00000000-0005-0000-0000-0000D8210000}"/>
    <cellStyle name="Note 3 4 2 3 2" xfId="13824" xr:uid="{E0DC845C-39CB-4D1C-860B-09E8689C3D05}"/>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2 2 2" xfId="16382" xr:uid="{82570E2F-3BC3-4DC8-B6D2-422AAB15C8D2}"/>
    <cellStyle name="Note 3 4 3 2 3" xfId="12169" xr:uid="{AE9CB50E-3094-428F-9B16-6B459080E5FE}"/>
    <cellStyle name="Note 3 4 3 3" xfId="5742" xr:uid="{00000000-0005-0000-0000-0000DC210000}"/>
    <cellStyle name="Note 3 4 3 3 2" xfId="14237" xr:uid="{15670AB3-308E-4D78-8F0E-1FA712225D73}"/>
    <cellStyle name="Note 3 4 3 4" xfId="10024" xr:uid="{0B878584-AB70-4D1E-9CE2-06F2373C6999}"/>
    <cellStyle name="Note 3 4 4" xfId="1849" xr:uid="{00000000-0005-0000-0000-0000DD210000}"/>
    <cellStyle name="Note 3 4 4 2" xfId="4078" xr:uid="{00000000-0005-0000-0000-0000DE210000}"/>
    <cellStyle name="Note 3 4 4 2 2" xfId="8300" xr:uid="{00000000-0005-0000-0000-0000DF210000}"/>
    <cellStyle name="Note 3 4 4 2 2 2" xfId="16795" xr:uid="{A654B338-6B4F-4E90-BBA2-7D33FC02DEC5}"/>
    <cellStyle name="Note 3 4 4 2 3" xfId="12582" xr:uid="{3FEABF00-DC21-4ABE-95A3-EFA5F2A05749}"/>
    <cellStyle name="Note 3 4 4 3" xfId="6155" xr:uid="{00000000-0005-0000-0000-0000E0210000}"/>
    <cellStyle name="Note 3 4 4 3 2" xfId="14650" xr:uid="{0AEA57AE-5128-466C-9705-FB50A5EC2E27}"/>
    <cellStyle name="Note 3 4 4 4" xfId="10437" xr:uid="{7D639663-B92B-4492-A02F-20EE6BF4B4AE}"/>
    <cellStyle name="Note 3 4 5" xfId="2262" xr:uid="{00000000-0005-0000-0000-0000E1210000}"/>
    <cellStyle name="Note 3 4 5 2" xfId="4491" xr:uid="{00000000-0005-0000-0000-0000E2210000}"/>
    <cellStyle name="Note 3 4 5 2 2" xfId="8713" xr:uid="{00000000-0005-0000-0000-0000E3210000}"/>
    <cellStyle name="Note 3 4 5 2 2 2" xfId="17208" xr:uid="{FDA2665F-EE51-4294-8393-21B5353FBB2A}"/>
    <cellStyle name="Note 3 4 5 2 3" xfId="12995" xr:uid="{8C719284-4868-4A75-8FA5-45A149922B8B}"/>
    <cellStyle name="Note 3 4 5 3" xfId="6568" xr:uid="{00000000-0005-0000-0000-0000E4210000}"/>
    <cellStyle name="Note 3 4 5 3 2" xfId="15063" xr:uid="{53B2649B-039C-4797-8CB8-920B6DE34DBD}"/>
    <cellStyle name="Note 3 4 5 4" xfId="10850" xr:uid="{80F05A4D-10E8-4A1B-BC2B-331F00F27D66}"/>
    <cellStyle name="Note 3 4 6" xfId="2698" xr:uid="{00000000-0005-0000-0000-0000E5210000}"/>
    <cellStyle name="Note 3 4 6 2" xfId="6981" xr:uid="{00000000-0005-0000-0000-0000E6210000}"/>
    <cellStyle name="Note 3 4 6 2 2" xfId="15476" xr:uid="{B28AD436-489F-4C8A-A730-007016B8D222}"/>
    <cellStyle name="Note 3 4 6 3" xfId="11263" xr:uid="{93E392E0-E4B3-414B-A12F-0F6F96286776}"/>
    <cellStyle name="Note 3 4 7" xfId="2757" xr:uid="{00000000-0005-0000-0000-0000E7210000}"/>
    <cellStyle name="Note 3 4 8" xfId="2838" xr:uid="{00000000-0005-0000-0000-0000E8210000}"/>
    <cellStyle name="Note 3 4 8 2" xfId="7061" xr:uid="{00000000-0005-0000-0000-0000E9210000}"/>
    <cellStyle name="Note 3 4 8 2 2" xfId="15556" xr:uid="{6836CB1F-8A02-447B-A321-67703A2BA042}"/>
    <cellStyle name="Note 3 4 8 3" xfId="11343" xr:uid="{3D5F679C-075A-4DEB-ACA4-67287E0C029A}"/>
    <cellStyle name="Note 3 4 9" xfId="4916" xr:uid="{00000000-0005-0000-0000-0000EA210000}"/>
    <cellStyle name="Note 3 4 9 2" xfId="13411" xr:uid="{892B8288-CD39-4E6C-8F64-A34B1EBE6A2D}"/>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2 2 2" xfId="15970" xr:uid="{6CCDD464-3FE8-453D-B3FC-D5F357ECFAB3}"/>
    <cellStyle name="Note 3 5 2 2 3" xfId="11757" xr:uid="{413D73C5-3DF4-4D06-92AF-4CD1A8ED9253}"/>
    <cellStyle name="Note 3 5 2 3" xfId="5330" xr:uid="{00000000-0005-0000-0000-0000EF210000}"/>
    <cellStyle name="Note 3 5 2 3 2" xfId="13825" xr:uid="{51CE2357-F868-4736-A21A-BAB0A05ED65B}"/>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2 2 2" xfId="16383" xr:uid="{B5E0A636-5BA9-4733-8DE2-ECC38B1DEBB4}"/>
    <cellStyle name="Note 3 5 3 2 3" xfId="12170" xr:uid="{7C0C4859-8F59-4E4A-AEE1-C8A2C340FCFB}"/>
    <cellStyle name="Note 3 5 3 3" xfId="5743" xr:uid="{00000000-0005-0000-0000-0000F3210000}"/>
    <cellStyle name="Note 3 5 3 3 2" xfId="14238" xr:uid="{A48B53E1-D5C3-4A43-8049-CB9DCCBD3167}"/>
    <cellStyle name="Note 3 5 3 4" xfId="10025" xr:uid="{B88CD8FE-3FBB-47BE-8273-E6B8DC9FA025}"/>
    <cellStyle name="Note 3 5 4" xfId="1850" xr:uid="{00000000-0005-0000-0000-0000F4210000}"/>
    <cellStyle name="Note 3 5 4 2" xfId="4079" xr:uid="{00000000-0005-0000-0000-0000F5210000}"/>
    <cellStyle name="Note 3 5 4 2 2" xfId="8301" xr:uid="{00000000-0005-0000-0000-0000F6210000}"/>
    <cellStyle name="Note 3 5 4 2 2 2" xfId="16796" xr:uid="{ED92C91B-7E22-4A54-AECF-A95BF30672A4}"/>
    <cellStyle name="Note 3 5 4 2 3" xfId="12583" xr:uid="{8DDA5530-60AB-45A5-88C4-1C1D92E3A1F9}"/>
    <cellStyle name="Note 3 5 4 3" xfId="6156" xr:uid="{00000000-0005-0000-0000-0000F7210000}"/>
    <cellStyle name="Note 3 5 4 3 2" xfId="14651" xr:uid="{5E3A7E8A-2E89-49F4-8387-716DDF55C206}"/>
    <cellStyle name="Note 3 5 4 4" xfId="10438" xr:uid="{508C6979-A4FC-49A5-AA89-8CFC8F1306E4}"/>
    <cellStyle name="Note 3 5 5" xfId="2263" xr:uid="{00000000-0005-0000-0000-0000F8210000}"/>
    <cellStyle name="Note 3 5 5 2" xfId="4492" xr:uid="{00000000-0005-0000-0000-0000F9210000}"/>
    <cellStyle name="Note 3 5 5 2 2" xfId="8714" xr:uid="{00000000-0005-0000-0000-0000FA210000}"/>
    <cellStyle name="Note 3 5 5 2 2 2" xfId="17209" xr:uid="{A62DCB95-804D-4F0D-A597-9ED2276A97AD}"/>
    <cellStyle name="Note 3 5 5 2 3" xfId="12996" xr:uid="{77F9AB11-B94B-4860-9C98-08D4932851E9}"/>
    <cellStyle name="Note 3 5 5 3" xfId="6569" xr:uid="{00000000-0005-0000-0000-0000FB210000}"/>
    <cellStyle name="Note 3 5 5 3 2" xfId="15064" xr:uid="{EFF32C44-E4B8-4BEF-88F9-A060E637768C}"/>
    <cellStyle name="Note 3 5 5 4" xfId="10851" xr:uid="{3507FF5E-C216-40E7-ABBE-AC5A4A2A92DC}"/>
    <cellStyle name="Note 3 5 6" xfId="2699" xr:uid="{00000000-0005-0000-0000-0000FC210000}"/>
    <cellStyle name="Note 3 5 6 2" xfId="6982" xr:uid="{00000000-0005-0000-0000-0000FD210000}"/>
    <cellStyle name="Note 3 5 6 2 2" xfId="15477" xr:uid="{7E38FCC3-660A-4F61-98EE-DE7A4BFC6186}"/>
    <cellStyle name="Note 3 5 6 3" xfId="11264" xr:uid="{812CD4CF-540A-41B2-84CF-C52A3E95C448}"/>
    <cellStyle name="Note 3 5 7" xfId="2758" xr:uid="{00000000-0005-0000-0000-0000FE210000}"/>
    <cellStyle name="Note 3 5 8" xfId="2839" xr:uid="{00000000-0005-0000-0000-0000FF210000}"/>
    <cellStyle name="Note 3 5 8 2" xfId="7062" xr:uid="{00000000-0005-0000-0000-000000220000}"/>
    <cellStyle name="Note 3 5 8 2 2" xfId="15557" xr:uid="{4C87F01F-EE2E-4C1B-8DA4-2E7DC4C6873F}"/>
    <cellStyle name="Note 3 5 8 3" xfId="11344" xr:uid="{91627355-D68B-4132-AB47-B01274DC937A}"/>
    <cellStyle name="Note 3 5 9" xfId="4917" xr:uid="{00000000-0005-0000-0000-000001220000}"/>
    <cellStyle name="Note 3 5 9 2" xfId="13412" xr:uid="{FCF9C8DC-14AF-487B-BC11-CB336EF9C36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2 2" xfId="17212" xr:uid="{5AE6AED1-925A-4A1A-86E3-D2BF92C07E64}"/>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7228" xr:uid="{D5EE174C-4BE5-4FEA-B6E7-B1FD209D9DF5}"/>
    <cellStyle name="Percent 4 3 2 2 2 3" xfId="17225" xr:uid="{030B487E-434D-4072-82D9-0BED656B4B63}"/>
    <cellStyle name="Percent 4 3 2 2 3" xfId="17221" xr:uid="{77A69470-F3D0-46BF-938D-407C25FB8EA0}"/>
    <cellStyle name="Percent 4 3 2 3" xfId="17218" xr:uid="{0A886275-9218-4C29-A7C8-DB49F23B09BA}"/>
    <cellStyle name="Percent 4 3 3" xfId="17215" xr:uid="{4FEF621E-709A-41C9-A10D-4E7BBFD7C6C1}"/>
    <cellStyle name="Percent 4 4" xfId="12999" xr:uid="{D76F85B3-3095-4C1D-9228-6439CB22720A}"/>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7" t="s">
        <v>550</v>
      </c>
      <c r="B1" s="1267"/>
      <c r="C1" s="1267"/>
      <c r="D1" s="1267"/>
      <c r="E1" s="1267"/>
      <c r="F1" s="1267"/>
      <c r="G1" s="1267"/>
      <c r="H1" s="1267"/>
      <c r="I1" s="1267"/>
      <c r="J1" s="1267"/>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c r="AL1" s="1267"/>
    </row>
    <row r="2" spans="1:38" ht="13.5" thickBot="1">
      <c r="A2" s="1268"/>
      <c r="B2" s="1268"/>
      <c r="C2" s="1268"/>
      <c r="D2" s="1268"/>
      <c r="E2" s="1268"/>
      <c r="F2" s="1268"/>
      <c r="G2" s="1268"/>
      <c r="H2" s="1268"/>
      <c r="I2" s="1268"/>
      <c r="J2" s="1268"/>
      <c r="K2" s="1268"/>
      <c r="L2" s="1268"/>
      <c r="M2" s="1268"/>
      <c r="N2" s="1268"/>
      <c r="O2" s="1268"/>
      <c r="P2" s="1268"/>
      <c r="Q2" s="1268"/>
      <c r="R2" s="1268"/>
      <c r="S2" s="1268"/>
      <c r="T2" s="1268"/>
      <c r="U2" s="1268"/>
      <c r="V2" s="1268"/>
      <c r="W2" s="1268"/>
      <c r="X2" s="1268"/>
      <c r="Y2" s="1268"/>
      <c r="Z2" s="1268"/>
      <c r="AA2" s="1268"/>
      <c r="AB2" s="1268"/>
      <c r="AC2" s="1268"/>
      <c r="AD2" s="1268"/>
      <c r="AE2" s="1268"/>
      <c r="AF2" s="1268"/>
      <c r="AG2" s="1268"/>
      <c r="AH2" s="1268"/>
      <c r="AI2" s="1268"/>
      <c r="AJ2" s="1268"/>
      <c r="AK2" s="1268"/>
      <c r="AL2" s="1268"/>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9" t="s">
        <v>1995</v>
      </c>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455"/>
    </row>
    <row r="8" spans="1:38">
      <c r="A8" s="204"/>
      <c r="B8" s="204"/>
      <c r="C8" s="205"/>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455"/>
    </row>
    <row r="9" spans="1:38">
      <c r="A9" s="204"/>
      <c r="B9" s="204"/>
      <c r="C9" s="205"/>
      <c r="D9" s="1269"/>
      <c r="E9" s="1269"/>
      <c r="F9" s="1269"/>
      <c r="G9" s="1269"/>
      <c r="H9" s="1269"/>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J9" s="1269"/>
      <c r="AK9" s="12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9" t="s">
        <v>1996</v>
      </c>
      <c r="E11" s="1269"/>
      <c r="F11" s="1269"/>
      <c r="G11" s="1269"/>
      <c r="H11" s="1269"/>
      <c r="I11" s="1269"/>
      <c r="J11" s="1269"/>
      <c r="K11" s="1269"/>
      <c r="L11" s="1269"/>
      <c r="M11" s="1269"/>
      <c r="N11" s="1269"/>
      <c r="O11" s="1269"/>
      <c r="P11" s="1269"/>
      <c r="Q11" s="1269"/>
      <c r="R11" s="1269"/>
      <c r="S11" s="1269"/>
      <c r="T11" s="1269"/>
      <c r="U11" s="1269"/>
      <c r="V11" s="1269"/>
      <c r="W11" s="1269"/>
      <c r="X11" s="1269"/>
      <c r="Y11" s="1269"/>
      <c r="Z11" s="1269"/>
      <c r="AA11" s="1269"/>
      <c r="AB11" s="1269"/>
      <c r="AC11" s="1269"/>
      <c r="AD11" s="1269"/>
      <c r="AE11" s="1269"/>
      <c r="AF11" s="1269"/>
      <c r="AG11" s="1269"/>
      <c r="AH11" s="1269"/>
      <c r="AI11" s="1269"/>
      <c r="AJ11" s="1269"/>
      <c r="AK11" s="1269"/>
      <c r="AL11" s="455"/>
    </row>
    <row r="12" spans="1:38">
      <c r="A12" s="204"/>
      <c r="B12" s="204"/>
      <c r="C12" s="205"/>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9"/>
      <c r="AC12" s="1269"/>
      <c r="AD12" s="1269"/>
      <c r="AE12" s="1269"/>
      <c r="AF12" s="1269"/>
      <c r="AG12" s="1269"/>
      <c r="AH12" s="1269"/>
      <c r="AI12" s="1269"/>
      <c r="AJ12" s="1269"/>
      <c r="AK12" s="1269"/>
      <c r="AL12" s="455"/>
    </row>
    <row r="13" spans="1:38">
      <c r="A13" s="204"/>
      <c r="B13" s="204"/>
      <c r="C13" s="205"/>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9" t="s">
        <v>2531</v>
      </c>
      <c r="E15" s="1269"/>
      <c r="F15" s="1269"/>
      <c r="G15" s="1269"/>
      <c r="H15" s="1269"/>
      <c r="I15" s="1269"/>
      <c r="J15" s="1269"/>
      <c r="K15" s="1269"/>
      <c r="L15" s="1269"/>
      <c r="M15" s="1269"/>
      <c r="N15" s="1269"/>
      <c r="O15" s="1269"/>
      <c r="P15" s="1269"/>
      <c r="Q15" s="1269"/>
      <c r="R15" s="1269"/>
      <c r="S15" s="1269"/>
      <c r="T15" s="1269"/>
      <c r="U15" s="1269"/>
      <c r="V15" s="1269"/>
      <c r="W15" s="1269"/>
      <c r="X15" s="1269"/>
      <c r="Y15" s="1269"/>
      <c r="Z15" s="1269"/>
      <c r="AA15" s="1269"/>
      <c r="AB15" s="1269"/>
      <c r="AC15" s="1269"/>
      <c r="AD15" s="1269"/>
      <c r="AE15" s="1269"/>
      <c r="AF15" s="1269"/>
      <c r="AG15" s="1269"/>
      <c r="AH15" s="1269"/>
      <c r="AI15" s="1269"/>
      <c r="AJ15" s="1269"/>
      <c r="AK15" s="1269"/>
      <c r="AL15" s="455"/>
    </row>
    <row r="16" spans="1:38" ht="13.15" customHeight="1">
      <c r="A16" s="204"/>
      <c r="B16" s="204"/>
      <c r="C16" s="205"/>
      <c r="D16" s="1269"/>
      <c r="E16" s="1269"/>
      <c r="F16" s="1269"/>
      <c r="G16" s="1269"/>
      <c r="H16" s="1269"/>
      <c r="I16" s="1269"/>
      <c r="J16" s="1269"/>
      <c r="K16" s="1269"/>
      <c r="L16" s="1269"/>
      <c r="M16" s="1269"/>
      <c r="N16" s="1269"/>
      <c r="O16" s="1269"/>
      <c r="P16" s="1269"/>
      <c r="Q16" s="1269"/>
      <c r="R16" s="1269"/>
      <c r="S16" s="1269"/>
      <c r="T16" s="1269"/>
      <c r="U16" s="1269"/>
      <c r="V16" s="1269"/>
      <c r="W16" s="1269"/>
      <c r="X16" s="1269"/>
      <c r="Y16" s="1269"/>
      <c r="Z16" s="1269"/>
      <c r="AA16" s="1269"/>
      <c r="AB16" s="1269"/>
      <c r="AC16" s="1269"/>
      <c r="AD16" s="1269"/>
      <c r="AE16" s="1269"/>
      <c r="AF16" s="1269"/>
      <c r="AG16" s="1269"/>
      <c r="AH16" s="1269"/>
      <c r="AI16" s="1269"/>
      <c r="AJ16" s="1269"/>
      <c r="AK16" s="1269"/>
      <c r="AL16" s="455"/>
    </row>
    <row r="17" spans="1:38">
      <c r="A17" s="204"/>
      <c r="B17" s="204"/>
      <c r="C17" s="205"/>
      <c r="D17" s="1269"/>
      <c r="E17" s="1269"/>
      <c r="F17" s="1269"/>
      <c r="G17" s="1269"/>
      <c r="H17" s="1269"/>
      <c r="I17" s="1269"/>
      <c r="J17" s="1269"/>
      <c r="K17" s="1269"/>
      <c r="L17" s="1269"/>
      <c r="M17" s="1269"/>
      <c r="N17" s="1269"/>
      <c r="O17" s="1269"/>
      <c r="P17" s="1269"/>
      <c r="Q17" s="1269"/>
      <c r="R17" s="1269"/>
      <c r="S17" s="1269"/>
      <c r="T17" s="1269"/>
      <c r="U17" s="1269"/>
      <c r="V17" s="1269"/>
      <c r="W17" s="1269"/>
      <c r="X17" s="1269"/>
      <c r="Y17" s="1269"/>
      <c r="Z17" s="1269"/>
      <c r="AA17" s="1269"/>
      <c r="AB17" s="1269"/>
      <c r="AC17" s="1269"/>
      <c r="AD17" s="1269"/>
      <c r="AE17" s="1269"/>
      <c r="AF17" s="1269"/>
      <c r="AG17" s="1269"/>
      <c r="AH17" s="1269"/>
      <c r="AI17" s="1269"/>
      <c r="AJ17" s="1269"/>
      <c r="AK17" s="1269"/>
      <c r="AL17" s="455"/>
    </row>
    <row r="18" spans="1:38">
      <c r="A18" s="204"/>
      <c r="B18" s="204"/>
      <c r="C18" s="205"/>
      <c r="D18" s="519" t="s">
        <v>2530</v>
      </c>
      <c r="E18" s="441"/>
      <c r="G18" s="441"/>
      <c r="H18" s="441"/>
      <c r="I18" s="441"/>
      <c r="J18" s="1271" t="s">
        <v>2529</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9" t="s">
        <v>1997</v>
      </c>
      <c r="E20" s="1269"/>
      <c r="F20" s="1269"/>
      <c r="G20" s="1269"/>
      <c r="H20" s="1269"/>
      <c r="I20" s="1269"/>
      <c r="J20" s="1269"/>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204"/>
    </row>
    <row r="21" spans="1:38">
      <c r="A21" s="204"/>
      <c r="B21" s="204"/>
      <c r="C21" s="205"/>
      <c r="D21" s="1269"/>
      <c r="E21" s="1269"/>
      <c r="F21" s="1269"/>
      <c r="G21" s="1269"/>
      <c r="H21" s="1269"/>
      <c r="I21" s="1269"/>
      <c r="J21" s="1269"/>
      <c r="K21" s="1269"/>
      <c r="L21" s="1269"/>
      <c r="M21" s="1269"/>
      <c r="N21" s="1269"/>
      <c r="O21" s="1269"/>
      <c r="P21" s="1269"/>
      <c r="Q21" s="1269"/>
      <c r="R21" s="1269"/>
      <c r="S21" s="1269"/>
      <c r="T21" s="1269"/>
      <c r="U21" s="1269"/>
      <c r="V21" s="1269"/>
      <c r="W21" s="1269"/>
      <c r="X21" s="1269"/>
      <c r="Y21" s="1269"/>
      <c r="Z21" s="1269"/>
      <c r="AA21" s="1269"/>
      <c r="AB21" s="1269"/>
      <c r="AC21" s="1269"/>
      <c r="AD21" s="1269"/>
      <c r="AE21" s="1269"/>
      <c r="AF21" s="1269"/>
      <c r="AG21" s="1269"/>
      <c r="AH21" s="1269"/>
      <c r="AI21" s="1269"/>
      <c r="AJ21" s="1269"/>
      <c r="AK21" s="1269"/>
      <c r="AL21" s="204"/>
    </row>
    <row r="22" spans="1:38">
      <c r="A22" s="204"/>
      <c r="B22" s="204"/>
      <c r="C22" s="205"/>
      <c r="D22" s="1269"/>
      <c r="E22" s="1269"/>
      <c r="F22" s="1269"/>
      <c r="G22" s="1269"/>
      <c r="H22" s="1269"/>
      <c r="I22" s="1269"/>
      <c r="J22" s="1269"/>
      <c r="K22" s="1269"/>
      <c r="L22" s="1269"/>
      <c r="M22" s="1269"/>
      <c r="N22" s="1269"/>
      <c r="O22" s="1269"/>
      <c r="P22" s="1269"/>
      <c r="Q22" s="1269"/>
      <c r="R22" s="1269"/>
      <c r="S22" s="1269"/>
      <c r="T22" s="1269"/>
      <c r="U22" s="1269"/>
      <c r="V22" s="1269"/>
      <c r="W22" s="1269"/>
      <c r="X22" s="1269"/>
      <c r="Y22" s="1269"/>
      <c r="Z22" s="1269"/>
      <c r="AA22" s="1269"/>
      <c r="AB22" s="1269"/>
      <c r="AC22" s="1269"/>
      <c r="AD22" s="1269"/>
      <c r="AE22" s="1269"/>
      <c r="AF22" s="1269"/>
      <c r="AG22" s="1269"/>
      <c r="AH22" s="1269"/>
      <c r="AI22" s="1269"/>
      <c r="AJ22" s="1269"/>
      <c r="AK22" s="1269"/>
      <c r="AL22" s="204"/>
    </row>
    <row r="23" spans="1:38" ht="13.15" customHeight="1">
      <c r="A23" s="204"/>
      <c r="B23" s="204"/>
      <c r="C23" s="205"/>
      <c r="D23" s="1269"/>
      <c r="E23" s="1269"/>
      <c r="F23" s="1269"/>
      <c r="G23" s="1269"/>
      <c r="H23" s="1269"/>
      <c r="I23" s="1269"/>
      <c r="J23" s="1269"/>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204"/>
    </row>
    <row r="24" spans="1:38">
      <c r="A24" s="204"/>
      <c r="B24" s="204"/>
      <c r="C24" s="205"/>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1269"/>
      <c r="AL24" s="204"/>
    </row>
    <row r="25" spans="1:38">
      <c r="A25" s="204"/>
      <c r="B25" s="204"/>
      <c r="C25" s="205"/>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204"/>
    </row>
    <row r="26" spans="1:38">
      <c r="A26" s="204"/>
      <c r="B26" s="204"/>
      <c r="C26" s="205"/>
      <c r="D26" s="1269"/>
      <c r="E26" s="1269"/>
      <c r="F26" s="1269"/>
      <c r="G26" s="1269"/>
      <c r="H26" s="1269"/>
      <c r="I26" s="1269"/>
      <c r="J26" s="1269"/>
      <c r="K26" s="1269"/>
      <c r="L26" s="1269"/>
      <c r="M26" s="1269"/>
      <c r="N26" s="1269"/>
      <c r="O26" s="1269"/>
      <c r="P26" s="1269"/>
      <c r="Q26" s="1269"/>
      <c r="R26" s="1269"/>
      <c r="S26" s="1269"/>
      <c r="T26" s="1269"/>
      <c r="U26" s="1269"/>
      <c r="V26" s="1269"/>
      <c r="W26" s="1269"/>
      <c r="X26" s="1269"/>
      <c r="Y26" s="1269"/>
      <c r="Z26" s="1269"/>
      <c r="AA26" s="1269"/>
      <c r="AB26" s="1269"/>
      <c r="AC26" s="1269"/>
      <c r="AD26" s="1269"/>
      <c r="AE26" s="1269"/>
      <c r="AF26" s="1269"/>
      <c r="AG26" s="1269"/>
      <c r="AH26" s="1269"/>
      <c r="AI26" s="1269"/>
      <c r="AJ26" s="1269"/>
      <c r="AK26" s="1269"/>
      <c r="AL26" s="204"/>
    </row>
    <row r="27" spans="1:38">
      <c r="A27" s="204"/>
      <c r="B27" s="204"/>
      <c r="C27" s="205"/>
      <c r="D27" s="1269"/>
      <c r="E27" s="1269"/>
      <c r="F27" s="1269"/>
      <c r="G27" s="1269"/>
      <c r="H27" s="1269"/>
      <c r="I27" s="1269"/>
      <c r="J27" s="1269"/>
      <c r="K27" s="1269"/>
      <c r="L27" s="1269"/>
      <c r="M27" s="1269"/>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69"/>
      <c r="AJ27" s="1269"/>
      <c r="AK27" s="1269"/>
      <c r="AL27" s="204"/>
    </row>
    <row r="28" spans="1:38">
      <c r="A28" s="204"/>
      <c r="B28" s="204"/>
      <c r="C28" s="205"/>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69"/>
      <c r="AJ28" s="1269"/>
      <c r="AK28" s="12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9" t="s">
        <v>1998</v>
      </c>
      <c r="E30" s="1269"/>
      <c r="F30" s="1269"/>
      <c r="G30" s="1269"/>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204"/>
    </row>
    <row r="31" spans="1:38">
      <c r="A31" s="204"/>
      <c r="B31" s="204"/>
      <c r="C31" s="205"/>
      <c r="D31" s="455"/>
      <c r="E31" s="1277" t="s">
        <v>2609</v>
      </c>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c r="AH31" s="1278"/>
      <c r="AI31" s="1278"/>
      <c r="AJ31" s="1278"/>
      <c r="AK31" s="1278"/>
      <c r="AL31" s="204"/>
    </row>
    <row r="32" spans="1:38">
      <c r="A32" s="4"/>
      <c r="C32" s="2"/>
    </row>
    <row r="33" spans="1:38">
      <c r="A33" s="4"/>
      <c r="D33" s="1270" t="s">
        <v>2098</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c r="A35" s="4"/>
      <c r="D35" s="120"/>
      <c r="E35" s="1276" t="s">
        <v>2610</v>
      </c>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0"/>
      <c r="E36" s="1276" t="s">
        <v>2611</v>
      </c>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9" customFormat="1" ht="13.15" customHeight="1">
      <c r="A40" s="4"/>
      <c r="B40"/>
      <c r="C40" s="2"/>
      <c r="D40" s="4"/>
      <c r="E40" s="4" t="s">
        <v>653</v>
      </c>
      <c r="F40" s="1269" t="s">
        <v>1164</v>
      </c>
    </row>
    <row r="41" spans="1:38" s="126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4" t="s">
        <v>1246</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1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9" t="s">
        <v>2000</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row>
    <row r="49" spans="1:38">
      <c r="A49" s="4"/>
      <c r="C49" s="2"/>
      <c r="D49" s="4"/>
      <c r="E49" s="4"/>
      <c r="F49" s="1269"/>
      <c r="G49" s="1269"/>
      <c r="H49" s="1269"/>
      <c r="I49" s="1269"/>
      <c r="J49" s="1269"/>
      <c r="K49" s="1269"/>
      <c r="L49" s="1269"/>
      <c r="M49" s="1269"/>
      <c r="N49" s="1269"/>
      <c r="O49" s="1269"/>
      <c r="P49" s="1269"/>
      <c r="Q49" s="1269"/>
      <c r="R49" s="1269"/>
      <c r="S49" s="1269"/>
      <c r="T49" s="1269"/>
      <c r="U49" s="1269"/>
      <c r="V49" s="1269"/>
      <c r="W49" s="1269"/>
      <c r="X49" s="1269"/>
      <c r="Y49" s="1269"/>
      <c r="Z49" s="1269"/>
      <c r="AA49" s="1269"/>
      <c r="AB49" s="1269"/>
      <c r="AC49" s="1269"/>
      <c r="AD49" s="1269"/>
      <c r="AE49" s="1269"/>
      <c r="AF49" s="1269"/>
      <c r="AG49" s="1269"/>
      <c r="AH49" s="1269"/>
      <c r="AI49" s="1269"/>
      <c r="AJ49" s="1269"/>
      <c r="AK49" s="1269"/>
    </row>
    <row r="50" spans="1:38">
      <c r="A50" s="4"/>
      <c r="C50" s="2"/>
      <c r="D50" s="4"/>
      <c r="F50" s="1269"/>
      <c r="G50" s="1269"/>
      <c r="H50" s="1269"/>
      <c r="I50" s="1269"/>
      <c r="J50" s="1269"/>
      <c r="K50" s="1269"/>
      <c r="L50" s="1269"/>
      <c r="M50" s="1269"/>
      <c r="N50" s="1269"/>
      <c r="O50" s="1269"/>
      <c r="P50" s="1269"/>
      <c r="Q50" s="1269"/>
      <c r="R50" s="1269"/>
      <c r="S50" s="1269"/>
      <c r="T50" s="1269"/>
      <c r="U50" s="1269"/>
      <c r="V50" s="1269"/>
      <c r="W50" s="1269"/>
      <c r="X50" s="1269"/>
      <c r="Y50" s="1269"/>
      <c r="Z50" s="1269"/>
      <c r="AA50" s="1269"/>
      <c r="AB50" s="1269"/>
      <c r="AC50" s="1269"/>
      <c r="AD50" s="1269"/>
      <c r="AE50" s="1269"/>
      <c r="AF50" s="1269"/>
      <c r="AG50" s="1269"/>
      <c r="AH50" s="1269"/>
      <c r="AI50" s="1269"/>
      <c r="AJ50" s="1269"/>
      <c r="AK50" s="12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2" t="s">
        <v>1191</v>
      </c>
      <c r="H54" s="1272"/>
      <c r="I54" s="1272"/>
      <c r="J54" s="1272"/>
      <c r="K54" s="1272"/>
      <c r="L54" s="1272"/>
      <c r="M54" s="1272"/>
      <c r="N54" s="1272"/>
      <c r="O54" s="1272"/>
      <c r="P54" s="1272"/>
      <c r="Q54" s="1272"/>
      <c r="R54" s="1272"/>
      <c r="S54" s="1272"/>
      <c r="T54" s="1272"/>
      <c r="U54" s="1272"/>
      <c r="V54" s="1272"/>
      <c r="W54" s="1272"/>
      <c r="X54" s="1272"/>
      <c r="Y54" s="1272"/>
      <c r="Z54" s="1272"/>
      <c r="AA54" s="1272"/>
      <c r="AB54" s="1272"/>
      <c r="AC54" s="1272"/>
      <c r="AD54" s="1272"/>
      <c r="AE54" s="1272"/>
      <c r="AF54" s="1272"/>
      <c r="AG54" s="1272"/>
      <c r="AH54" s="1272"/>
      <c r="AI54" s="1272"/>
      <c r="AJ54" s="1272"/>
      <c r="AK54" s="127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2" t="s">
        <v>575</v>
      </c>
      <c r="H56" s="1272"/>
      <c r="I56" s="127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2" t="s">
        <v>2001</v>
      </c>
      <c r="H57" s="1272"/>
      <c r="I57" s="1272"/>
      <c r="J57" s="1272"/>
      <c r="K57" s="1272"/>
      <c r="L57" s="1272"/>
      <c r="M57" s="1272"/>
      <c r="N57" s="1272"/>
      <c r="O57" s="1272"/>
      <c r="P57" s="1272"/>
      <c r="Q57" s="1272"/>
      <c r="R57" s="1272"/>
      <c r="S57" s="1272"/>
      <c r="T57" s="1272"/>
      <c r="U57" s="1272"/>
      <c r="V57" s="1272"/>
      <c r="W57" s="1272"/>
      <c r="X57" s="1272"/>
      <c r="Y57" s="1272"/>
      <c r="Z57" s="1272"/>
      <c r="AA57" s="1272"/>
      <c r="AB57" s="1272"/>
      <c r="AC57" s="1272"/>
      <c r="AD57" s="1272"/>
      <c r="AE57" s="1272"/>
      <c r="AF57" s="1272"/>
      <c r="AG57" s="1272"/>
      <c r="AH57" s="1272"/>
      <c r="AI57" s="1272"/>
      <c r="AJ57" s="1272"/>
      <c r="AK57" s="1272"/>
      <c r="AL57" s="1272"/>
    </row>
    <row r="58" spans="1:38">
      <c r="A58" s="204"/>
      <c r="B58" s="204"/>
      <c r="C58" s="205"/>
      <c r="D58" s="205"/>
      <c r="E58" s="204"/>
      <c r="F58" s="206"/>
      <c r="G58" s="1272"/>
      <c r="H58" s="1272"/>
      <c r="I58" s="1272"/>
      <c r="J58" s="1272"/>
      <c r="K58" s="1272"/>
      <c r="L58" s="1272"/>
      <c r="M58" s="1272"/>
      <c r="N58" s="1272"/>
      <c r="O58" s="1272"/>
      <c r="P58" s="1272"/>
      <c r="Q58" s="1272"/>
      <c r="R58" s="1272"/>
      <c r="S58" s="1272"/>
      <c r="T58" s="1272"/>
      <c r="U58" s="1272"/>
      <c r="V58" s="1272"/>
      <c r="W58" s="1272"/>
      <c r="X58" s="1272"/>
      <c r="Y58" s="1272"/>
      <c r="Z58" s="1272"/>
      <c r="AA58" s="1272"/>
      <c r="AB58" s="1272"/>
      <c r="AC58" s="1272"/>
      <c r="AD58" s="1272"/>
      <c r="AE58" s="1272"/>
      <c r="AF58" s="1272"/>
      <c r="AG58" s="1272"/>
      <c r="AH58" s="1272"/>
      <c r="AI58" s="1272"/>
      <c r="AJ58" s="1272"/>
      <c r="AK58" s="1272"/>
      <c r="AL58" s="127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9" t="s">
        <v>1166</v>
      </c>
      <c r="H64" s="1269"/>
      <c r="I64" s="1269"/>
      <c r="J64" s="1269"/>
      <c r="K64" s="1269"/>
      <c r="L64" s="1269"/>
      <c r="M64" s="1269"/>
      <c r="N64" s="1269"/>
      <c r="O64" s="1269"/>
      <c r="P64" s="1269"/>
      <c r="Q64" s="1269"/>
      <c r="R64" s="1269"/>
      <c r="S64" s="1269"/>
      <c r="T64" s="1269"/>
      <c r="U64" s="1269"/>
      <c r="V64" s="1269"/>
      <c r="W64" s="1269"/>
      <c r="X64" s="1269"/>
      <c r="Y64" s="1269"/>
      <c r="Z64" s="1269"/>
      <c r="AA64" s="1269"/>
      <c r="AB64" s="1269"/>
      <c r="AC64" s="1269"/>
      <c r="AD64" s="1269"/>
      <c r="AE64" s="1269"/>
      <c r="AF64" s="1269"/>
      <c r="AG64" s="1269"/>
      <c r="AH64" s="1269"/>
      <c r="AI64" s="1269"/>
      <c r="AJ64" s="1269"/>
      <c r="AK64" s="1269"/>
    </row>
    <row r="65" spans="1:37">
      <c r="A65" s="4"/>
      <c r="C65" s="2"/>
      <c r="D65" s="4"/>
      <c r="E65" s="4"/>
      <c r="G65" s="1269"/>
      <c r="H65" s="1269"/>
      <c r="I65" s="1269"/>
      <c r="J65" s="1269"/>
      <c r="K65" s="1269"/>
      <c r="L65" s="1269"/>
      <c r="M65" s="1269"/>
      <c r="N65" s="1269"/>
      <c r="O65" s="1269"/>
      <c r="P65" s="1269"/>
      <c r="Q65" s="1269"/>
      <c r="R65" s="1269"/>
      <c r="S65" s="1269"/>
      <c r="T65" s="1269"/>
      <c r="U65" s="1269"/>
      <c r="V65" s="1269"/>
      <c r="W65" s="1269"/>
      <c r="X65" s="1269"/>
      <c r="Y65" s="1269"/>
      <c r="Z65" s="1269"/>
      <c r="AA65" s="1269"/>
      <c r="AB65" s="1269"/>
      <c r="AC65" s="1269"/>
      <c r="AD65" s="1269"/>
      <c r="AE65" s="1269"/>
      <c r="AF65" s="1269"/>
      <c r="AG65" s="1269"/>
      <c r="AH65" s="1269"/>
      <c r="AI65" s="1269"/>
      <c r="AJ65" s="1269"/>
      <c r="AK65" s="1269"/>
    </row>
    <row r="66" spans="1:37">
      <c r="A66" s="4"/>
      <c r="C66" s="2"/>
      <c r="D66" s="4"/>
      <c r="E66" s="4"/>
      <c r="G66" s="1269"/>
      <c r="H66" s="1269"/>
      <c r="I66" s="1269"/>
      <c r="J66" s="1269"/>
      <c r="K66" s="1269"/>
      <c r="L66" s="1269"/>
      <c r="M66" s="1269"/>
      <c r="N66" s="1269"/>
      <c r="O66" s="1269"/>
      <c r="P66" s="1269"/>
      <c r="Q66" s="1269"/>
      <c r="R66" s="1269"/>
      <c r="S66" s="1269"/>
      <c r="T66" s="1269"/>
      <c r="U66" s="1269"/>
      <c r="V66" s="1269"/>
      <c r="W66" s="1269"/>
      <c r="X66" s="1269"/>
      <c r="Y66" s="1269"/>
      <c r="Z66" s="1269"/>
      <c r="AA66" s="1269"/>
      <c r="AB66" s="1269"/>
      <c r="AC66" s="1269"/>
      <c r="AD66" s="1269"/>
      <c r="AE66" s="1269"/>
      <c r="AF66" s="1269"/>
      <c r="AG66" s="1269"/>
      <c r="AH66" s="1269"/>
      <c r="AI66" s="1269"/>
      <c r="AJ66" s="1269"/>
      <c r="AK66" s="1269"/>
    </row>
    <row r="67" spans="1:37" ht="13.15" customHeight="1">
      <c r="A67" s="4"/>
      <c r="C67" s="2"/>
      <c r="D67" s="4"/>
      <c r="E67" s="4"/>
      <c r="F67" t="s">
        <v>509</v>
      </c>
      <c r="G67" s="1269" t="s">
        <v>1167</v>
      </c>
      <c r="H67" s="1269"/>
      <c r="I67" s="1269"/>
      <c r="J67" s="1269"/>
      <c r="K67" s="1269"/>
      <c r="L67" s="1269"/>
      <c r="M67" s="1269"/>
      <c r="N67" s="1269"/>
      <c r="O67" s="1269"/>
      <c r="P67" s="1269"/>
      <c r="Q67" s="1269"/>
      <c r="R67" s="1269"/>
      <c r="S67" s="1269"/>
      <c r="T67" s="1269"/>
      <c r="U67" s="1269"/>
      <c r="V67" s="1269"/>
      <c r="W67" s="1269"/>
      <c r="X67" s="1269"/>
      <c r="Y67" s="1269"/>
      <c r="Z67" s="1269"/>
      <c r="AA67" s="1269"/>
      <c r="AB67" s="1269"/>
      <c r="AC67" s="1269"/>
      <c r="AD67" s="1269"/>
      <c r="AE67" s="1269"/>
      <c r="AF67" s="1269"/>
      <c r="AG67" s="1269"/>
      <c r="AH67" s="1269"/>
      <c r="AI67" s="1269"/>
      <c r="AJ67" s="1269"/>
      <c r="AK67" s="1269"/>
    </row>
    <row r="68" spans="1:37">
      <c r="A68" s="4"/>
      <c r="C68" s="2"/>
      <c r="D68" s="4"/>
      <c r="E68" s="4"/>
      <c r="F68" s="27"/>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9" t="s">
        <v>1168</v>
      </c>
      <c r="H70" s="1269"/>
      <c r="I70" s="1269"/>
      <c r="J70" s="1269"/>
      <c r="K70" s="1269"/>
      <c r="L70" s="1269"/>
      <c r="M70" s="1269"/>
      <c r="N70" s="1269"/>
      <c r="O70" s="1269"/>
      <c r="P70" s="1269"/>
      <c r="Q70" s="1269"/>
      <c r="R70" s="1269"/>
      <c r="S70" s="1269"/>
      <c r="T70" s="1269"/>
      <c r="U70" s="1269"/>
      <c r="V70" s="1269"/>
      <c r="W70" s="1269"/>
      <c r="X70" s="1269"/>
      <c r="Y70" s="1269"/>
      <c r="Z70" s="1269"/>
      <c r="AA70" s="1269"/>
      <c r="AB70" s="1269"/>
      <c r="AC70" s="1269"/>
      <c r="AD70" s="1269"/>
      <c r="AE70" s="1269"/>
      <c r="AF70" s="1269"/>
      <c r="AG70" s="1269"/>
      <c r="AH70" s="1269"/>
      <c r="AI70" s="1269"/>
      <c r="AJ70" s="1269"/>
      <c r="AK70" s="1269"/>
    </row>
    <row r="71" spans="1:37">
      <c r="A71" s="4"/>
      <c r="C71" s="2"/>
      <c r="D71" s="4"/>
      <c r="E71" s="4"/>
      <c r="F71" s="8"/>
      <c r="G71" s="1269"/>
      <c r="H71" s="1269"/>
      <c r="I71" s="1269"/>
      <c r="J71" s="1269"/>
      <c r="K71" s="1269"/>
      <c r="L71" s="1269"/>
      <c r="M71" s="1269"/>
      <c r="N71" s="1269"/>
      <c r="O71" s="1269"/>
      <c r="P71" s="1269"/>
      <c r="Q71" s="1269"/>
      <c r="R71" s="1269"/>
      <c r="S71" s="1269"/>
      <c r="T71" s="1269"/>
      <c r="U71" s="1269"/>
      <c r="V71" s="1269"/>
      <c r="W71" s="1269"/>
      <c r="X71" s="1269"/>
      <c r="Y71" s="1269"/>
      <c r="Z71" s="1269"/>
      <c r="AA71" s="1269"/>
      <c r="AB71" s="1269"/>
      <c r="AC71" s="1269"/>
      <c r="AD71" s="1269"/>
      <c r="AE71" s="1269"/>
      <c r="AF71" s="1269"/>
      <c r="AG71" s="1269"/>
      <c r="AH71" s="1269"/>
      <c r="AI71" s="1269"/>
      <c r="AJ71" s="1269"/>
      <c r="AK71" s="1269"/>
    </row>
    <row r="72" spans="1:37">
      <c r="A72" s="4"/>
      <c r="C72" s="2"/>
      <c r="D72" s="4"/>
      <c r="E72" s="4"/>
      <c r="F72" s="8" t="s">
        <v>509</v>
      </c>
      <c r="G72" s="1269" t="s">
        <v>1169</v>
      </c>
      <c r="H72" s="1269"/>
      <c r="I72" s="1269"/>
      <c r="J72" s="1269"/>
      <c r="K72" s="1269"/>
      <c r="L72" s="1269"/>
      <c r="M72" s="1269"/>
      <c r="N72" s="1269"/>
      <c r="O72" s="1269"/>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row>
    <row r="73" spans="1:37">
      <c r="A73" s="4"/>
      <c r="C73" s="2"/>
      <c r="D73" s="4"/>
      <c r="E73" s="4"/>
      <c r="F73" s="8"/>
      <c r="G73" s="1269"/>
      <c r="H73" s="1269"/>
      <c r="I73" s="1269"/>
      <c r="J73" s="1269"/>
      <c r="K73" s="1269"/>
      <c r="L73" s="1269"/>
      <c r="M73" s="1269"/>
      <c r="N73" s="1269"/>
      <c r="O73" s="1269"/>
      <c r="P73" s="1269"/>
      <c r="Q73" s="1269"/>
      <c r="R73" s="1269"/>
      <c r="S73" s="1269"/>
      <c r="T73" s="1269"/>
      <c r="U73" s="1269"/>
      <c r="V73" s="1269"/>
      <c r="W73" s="1269"/>
      <c r="X73" s="1269"/>
      <c r="Y73" s="1269"/>
      <c r="Z73" s="1269"/>
      <c r="AA73" s="1269"/>
      <c r="AB73" s="1269"/>
      <c r="AC73" s="1269"/>
      <c r="AD73" s="1269"/>
      <c r="AE73" s="1269"/>
      <c r="AF73" s="1269"/>
      <c r="AG73" s="1269"/>
      <c r="AH73" s="1269"/>
      <c r="AI73" s="1269"/>
      <c r="AJ73" s="1269"/>
      <c r="AK73" s="12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9" t="s">
        <v>1170</v>
      </c>
      <c r="H80" s="1269"/>
      <c r="I80" s="1269"/>
      <c r="J80" s="1269"/>
      <c r="K80" s="1269"/>
      <c r="L80" s="1269"/>
      <c r="M80" s="1269"/>
      <c r="N80" s="1269"/>
      <c r="O80" s="1269"/>
      <c r="P80" s="1269"/>
      <c r="Q80" s="1269"/>
      <c r="R80" s="1269"/>
      <c r="S80" s="1269"/>
      <c r="T80" s="1269"/>
      <c r="U80" s="1269"/>
      <c r="V80" s="1269"/>
      <c r="W80" s="1269"/>
      <c r="X80" s="1269"/>
      <c r="Y80" s="1269"/>
      <c r="Z80" s="1269"/>
      <c r="AA80" s="1269"/>
      <c r="AB80" s="1269"/>
      <c r="AC80" s="1269"/>
      <c r="AD80" s="1269"/>
      <c r="AE80" s="1269"/>
      <c r="AF80" s="1269"/>
      <c r="AG80" s="1269"/>
      <c r="AH80" s="1269"/>
      <c r="AI80" s="1269"/>
      <c r="AJ80" s="1269"/>
      <c r="AK80" s="1269"/>
    </row>
    <row r="81" spans="1:37">
      <c r="A81" s="4"/>
      <c r="C81" s="2"/>
      <c r="D81" s="4"/>
      <c r="E81" s="4"/>
      <c r="F81" s="4"/>
      <c r="G81" s="1269"/>
      <c r="H81" s="1269"/>
      <c r="I81" s="1269"/>
      <c r="J81" s="1269"/>
      <c r="K81" s="1269"/>
      <c r="L81" s="1269"/>
      <c r="M81" s="1269"/>
      <c r="N81" s="1269"/>
      <c r="O81" s="1269"/>
      <c r="P81" s="1269"/>
      <c r="Q81" s="1269"/>
      <c r="R81" s="1269"/>
      <c r="S81" s="1269"/>
      <c r="T81" s="1269"/>
      <c r="U81" s="1269"/>
      <c r="V81" s="1269"/>
      <c r="W81" s="1269"/>
      <c r="X81" s="1269"/>
      <c r="Y81" s="1269"/>
      <c r="Z81" s="1269"/>
      <c r="AA81" s="1269"/>
      <c r="AB81" s="1269"/>
      <c r="AC81" s="1269"/>
      <c r="AD81" s="1269"/>
      <c r="AE81" s="1269"/>
      <c r="AF81" s="1269"/>
      <c r="AG81" s="1269"/>
      <c r="AH81" s="1269"/>
      <c r="AI81" s="1269"/>
      <c r="AJ81" s="1269"/>
      <c r="AK81" s="1269"/>
    </row>
    <row r="82" spans="1:37">
      <c r="A82" s="4"/>
      <c r="C82" s="2"/>
      <c r="D82" s="4"/>
      <c r="E82" s="4"/>
      <c r="F82" s="4"/>
      <c r="G82" s="1269"/>
      <c r="H82" s="1269"/>
      <c r="I82" s="1269"/>
      <c r="J82" s="1269"/>
      <c r="K82" s="1269"/>
      <c r="L82" s="1269"/>
      <c r="M82" s="1269"/>
      <c r="N82" s="1269"/>
      <c r="O82" s="1269"/>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9" t="s">
        <v>1171</v>
      </c>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row>
    <row r="85" spans="1:37">
      <c r="A85" s="4"/>
      <c r="C85" s="2"/>
      <c r="D85" s="4"/>
      <c r="E85" s="4"/>
      <c r="F85" s="4"/>
      <c r="G85" s="1269"/>
      <c r="H85" s="1269"/>
      <c r="I85" s="1269"/>
      <c r="J85" s="1269"/>
      <c r="K85" s="1269"/>
      <c r="L85" s="1269"/>
      <c r="M85" s="1269"/>
      <c r="N85" s="1269"/>
      <c r="O85" s="1269"/>
      <c r="P85" s="1269"/>
      <c r="Q85" s="1269"/>
      <c r="R85" s="1269"/>
      <c r="S85" s="1269"/>
      <c r="T85" s="1269"/>
      <c r="U85" s="1269"/>
      <c r="V85" s="1269"/>
      <c r="W85" s="1269"/>
      <c r="X85" s="1269"/>
      <c r="Y85" s="1269"/>
      <c r="Z85" s="1269"/>
      <c r="AA85" s="1269"/>
      <c r="AB85" s="1269"/>
      <c r="AC85" s="1269"/>
      <c r="AD85" s="1269"/>
      <c r="AE85" s="1269"/>
      <c r="AF85" s="1269"/>
      <c r="AG85" s="1269"/>
      <c r="AH85" s="1269"/>
      <c r="AI85" s="1269"/>
      <c r="AJ85" s="1269"/>
      <c r="AK85" s="1269"/>
    </row>
    <row r="86" spans="1:37">
      <c r="A86" s="4"/>
      <c r="C86" s="2"/>
      <c r="D86" s="4"/>
      <c r="E86" s="4"/>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9" t="s">
        <v>1172</v>
      </c>
      <c r="H88" s="1279"/>
      <c r="I88" s="1279"/>
      <c r="J88" s="1279"/>
      <c r="K88" s="1279"/>
      <c r="L88" s="1279"/>
      <c r="M88" s="1279"/>
      <c r="N88" s="1279"/>
      <c r="O88" s="1279"/>
      <c r="P88" s="1279"/>
      <c r="Q88" s="1279"/>
      <c r="R88" s="1279"/>
      <c r="S88" s="1279"/>
      <c r="T88" s="1279"/>
      <c r="U88" s="1279"/>
      <c r="V88" s="1279"/>
      <c r="W88" s="1279"/>
      <c r="X88" s="1279"/>
      <c r="Y88" s="1279"/>
      <c r="Z88" s="1279"/>
      <c r="AA88" s="1279"/>
      <c r="AB88" s="1279"/>
      <c r="AC88" s="1279"/>
      <c r="AD88" s="1279"/>
      <c r="AE88" s="1279"/>
      <c r="AF88" s="1279"/>
      <c r="AG88" s="1279"/>
      <c r="AH88" s="1279"/>
      <c r="AI88" s="1279"/>
      <c r="AJ88" s="1279"/>
      <c r="AK88" s="1279"/>
    </row>
    <row r="89" spans="1:37">
      <c r="A89" s="4"/>
      <c r="C89" s="2"/>
      <c r="D89" s="4"/>
      <c r="E89" s="4"/>
      <c r="G89" s="1279"/>
      <c r="H89" s="1279"/>
      <c r="I89" s="1279"/>
      <c r="J89" s="1279"/>
      <c r="K89" s="1279"/>
      <c r="L89" s="1279"/>
      <c r="M89" s="1279"/>
      <c r="N89" s="1279"/>
      <c r="O89" s="1279"/>
      <c r="P89" s="1279"/>
      <c r="Q89" s="1279"/>
      <c r="R89" s="1279"/>
      <c r="S89" s="1279"/>
      <c r="T89" s="1279"/>
      <c r="U89" s="1279"/>
      <c r="V89" s="1279"/>
      <c r="W89" s="1279"/>
      <c r="X89" s="1279"/>
      <c r="Y89" s="1279"/>
      <c r="Z89" s="1279"/>
      <c r="AA89" s="1279"/>
      <c r="AB89" s="1279"/>
      <c r="AC89" s="1279"/>
      <c r="AD89" s="1279"/>
      <c r="AE89" s="1279"/>
      <c r="AF89" s="1279"/>
      <c r="AG89" s="1279"/>
      <c r="AH89" s="1279"/>
      <c r="AI89" s="1279"/>
      <c r="AJ89" s="1279"/>
      <c r="AK89" s="1279"/>
    </row>
    <row r="90" spans="1:37">
      <c r="A90" s="4"/>
      <c r="C90" s="2"/>
      <c r="D90" s="4"/>
      <c r="E90" s="4"/>
      <c r="G90" s="1279"/>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9" t="s">
        <v>1173</v>
      </c>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c r="G93" s="1269"/>
      <c r="H93" s="1269"/>
      <c r="I93" s="1269"/>
      <c r="J93" s="1269"/>
      <c r="K93" s="1269"/>
      <c r="L93" s="1269"/>
      <c r="M93" s="1269"/>
      <c r="N93" s="1269"/>
      <c r="O93" s="1269"/>
      <c r="P93" s="1269"/>
      <c r="Q93" s="1269"/>
      <c r="R93" s="1269"/>
      <c r="S93" s="1269"/>
      <c r="T93" s="1269"/>
      <c r="U93" s="1269"/>
      <c r="V93" s="1269"/>
      <c r="W93" s="1269"/>
      <c r="X93" s="1269"/>
      <c r="Y93" s="1269"/>
      <c r="Z93" s="1269"/>
      <c r="AA93" s="1269"/>
      <c r="AB93" s="1269"/>
      <c r="AC93" s="1269"/>
      <c r="AD93" s="1269"/>
      <c r="AE93" s="1269"/>
      <c r="AF93" s="1269"/>
      <c r="AG93" s="1269"/>
      <c r="AH93" s="1269"/>
      <c r="AI93" s="1269"/>
      <c r="AJ93" s="1269"/>
      <c r="AK93" s="12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9" t="s">
        <v>1174</v>
      </c>
      <c r="H95" s="1269"/>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J95" s="1269"/>
      <c r="AK95" s="1269"/>
    </row>
    <row r="96" spans="1:37">
      <c r="A96" s="4"/>
      <c r="C96" s="2"/>
      <c r="D96" s="4"/>
      <c r="E96" s="4"/>
      <c r="G96" s="1269"/>
      <c r="H96" s="1269"/>
      <c r="I96" s="1269"/>
      <c r="J96" s="1269"/>
      <c r="K96" s="1269"/>
      <c r="L96" s="1269"/>
      <c r="M96" s="1269"/>
      <c r="N96" s="1269"/>
      <c r="O96" s="1269"/>
      <c r="P96" s="1269"/>
      <c r="Q96" s="1269"/>
      <c r="R96" s="1269"/>
      <c r="S96" s="1269"/>
      <c r="T96" s="1269"/>
      <c r="U96" s="1269"/>
      <c r="V96" s="1269"/>
      <c r="W96" s="1269"/>
      <c r="X96" s="1269"/>
      <c r="Y96" s="1269"/>
      <c r="Z96" s="1269"/>
      <c r="AA96" s="1269"/>
      <c r="AB96" s="1269"/>
      <c r="AC96" s="1269"/>
      <c r="AD96" s="1269"/>
      <c r="AE96" s="1269"/>
      <c r="AF96" s="1269"/>
      <c r="AG96" s="1269"/>
      <c r="AH96" s="1269"/>
      <c r="AI96" s="1269"/>
      <c r="AJ96" s="1269"/>
      <c r="AK96" s="1269"/>
    </row>
    <row r="97" spans="1:38">
      <c r="A97" s="4"/>
      <c r="C97" s="2"/>
      <c r="D97" s="4"/>
      <c r="E97" s="4"/>
      <c r="G97" s="1269"/>
      <c r="H97" s="1269"/>
      <c r="I97" s="1269"/>
      <c r="J97" s="1269"/>
      <c r="K97" s="1269"/>
      <c r="L97" s="1269"/>
      <c r="M97" s="1269"/>
      <c r="N97" s="1269"/>
      <c r="O97" s="1269"/>
      <c r="P97" s="1269"/>
      <c r="Q97" s="1269"/>
      <c r="R97" s="1269"/>
      <c r="S97" s="1269"/>
      <c r="T97" s="1269"/>
      <c r="U97" s="1269"/>
      <c r="V97" s="1269"/>
      <c r="W97" s="1269"/>
      <c r="X97" s="1269"/>
      <c r="Y97" s="1269"/>
      <c r="Z97" s="1269"/>
      <c r="AA97" s="1269"/>
      <c r="AB97" s="1269"/>
      <c r="AC97" s="1269"/>
      <c r="AD97" s="1269"/>
      <c r="AE97" s="1269"/>
      <c r="AF97" s="1269"/>
      <c r="AG97" s="1269"/>
      <c r="AH97" s="1269"/>
      <c r="AI97" s="1269"/>
      <c r="AJ97" s="1269"/>
      <c r="AK97" s="1269"/>
    </row>
    <row r="98" spans="1:38">
      <c r="A98" s="4"/>
      <c r="D98" s="99"/>
      <c r="E98" s="1280" t="s">
        <v>1175</v>
      </c>
      <c r="F98" s="1280"/>
      <c r="G98" s="1280"/>
      <c r="H98" s="1280"/>
      <c r="I98" s="1280"/>
      <c r="J98" s="1280"/>
      <c r="K98" s="1280"/>
      <c r="L98" s="1280"/>
      <c r="M98" s="1280"/>
      <c r="N98" s="1280"/>
      <c r="O98" s="1280"/>
      <c r="P98" s="1280"/>
      <c r="Q98" s="1280"/>
      <c r="R98" s="1280"/>
      <c r="S98" s="1280"/>
      <c r="T98" s="1280"/>
      <c r="U98" s="1280"/>
      <c r="V98" s="1280"/>
      <c r="W98" s="1280"/>
      <c r="X98" s="1280"/>
      <c r="Y98" s="1280"/>
      <c r="Z98" s="1280"/>
      <c r="AA98" s="1280"/>
      <c r="AB98" s="1280"/>
      <c r="AC98" s="1280"/>
      <c r="AD98" s="1280"/>
      <c r="AE98" s="1280"/>
      <c r="AF98" s="1280"/>
      <c r="AG98" s="1280"/>
      <c r="AH98" s="1280"/>
      <c r="AI98" s="1280"/>
      <c r="AJ98" s="1280"/>
      <c r="AK98" s="1280"/>
    </row>
    <row r="99" spans="1:38">
      <c r="A99" s="4"/>
      <c r="D99" s="99"/>
      <c r="E99" s="1280"/>
      <c r="F99" s="1280"/>
      <c r="G99" s="1280"/>
      <c r="H99" s="1280"/>
      <c r="I99" s="1280"/>
      <c r="J99" s="1280"/>
      <c r="K99" s="1280"/>
      <c r="L99" s="1280"/>
      <c r="M99" s="1280"/>
      <c r="N99" s="1280"/>
      <c r="O99" s="1280"/>
      <c r="P99" s="1280"/>
      <c r="Q99" s="1280"/>
      <c r="R99" s="1280"/>
      <c r="S99" s="1280"/>
      <c r="T99" s="1280"/>
      <c r="U99" s="1280"/>
      <c r="V99" s="1280"/>
      <c r="W99" s="1280"/>
      <c r="X99" s="1280"/>
      <c r="Y99" s="1280"/>
      <c r="Z99" s="1280"/>
      <c r="AA99" s="1280"/>
      <c r="AB99" s="1280"/>
      <c r="AC99" s="1280"/>
      <c r="AD99" s="1280"/>
      <c r="AE99" s="1280"/>
      <c r="AF99" s="1280"/>
      <c r="AG99" s="1280"/>
      <c r="AH99" s="1280"/>
      <c r="AI99" s="1280"/>
      <c r="AJ99" s="1280"/>
      <c r="AK99" s="1280"/>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9" t="s">
        <v>1176</v>
      </c>
      <c r="H205" s="1269"/>
      <c r="I205" s="1269"/>
      <c r="J205" s="1269"/>
      <c r="K205" s="1269"/>
      <c r="L205" s="1269"/>
      <c r="M205" s="1269"/>
      <c r="N205" s="1269"/>
      <c r="O205" s="1269"/>
      <c r="P205" s="1269"/>
      <c r="Q205" s="1269"/>
      <c r="R205" s="1269"/>
      <c r="S205" s="1269"/>
      <c r="T205" s="1269"/>
      <c r="U205" s="1269"/>
      <c r="V205" s="1269"/>
      <c r="W205" s="1269"/>
      <c r="X205" s="1269"/>
      <c r="Y205" s="1269"/>
      <c r="Z205" s="1269"/>
      <c r="AA205" s="1269"/>
      <c r="AB205" s="1269"/>
      <c r="AC205" s="1269"/>
      <c r="AD205" s="1269"/>
      <c r="AE205" s="1269"/>
      <c r="AF205" s="1269"/>
      <c r="AG205" s="1269"/>
      <c r="AH205" s="1269"/>
      <c r="AI205" s="1269"/>
      <c r="AJ205" s="1269"/>
      <c r="AK205" s="1269"/>
    </row>
    <row r="206" spans="2:37">
      <c r="B206" s="4"/>
      <c r="C206" s="4"/>
      <c r="D206" s="2"/>
      <c r="G206" s="1269"/>
      <c r="H206" s="1269"/>
      <c r="I206" s="1269"/>
      <c r="J206" s="1269"/>
      <c r="K206" s="1269"/>
      <c r="L206" s="1269"/>
      <c r="M206" s="1269"/>
      <c r="N206" s="1269"/>
      <c r="O206" s="1269"/>
      <c r="P206" s="1269"/>
      <c r="Q206" s="1269"/>
      <c r="R206" s="1269"/>
      <c r="S206" s="1269"/>
      <c r="T206" s="1269"/>
      <c r="U206" s="1269"/>
      <c r="V206" s="1269"/>
      <c r="W206" s="1269"/>
      <c r="X206" s="1269"/>
      <c r="Y206" s="1269"/>
      <c r="Z206" s="1269"/>
      <c r="AA206" s="1269"/>
      <c r="AB206" s="1269"/>
      <c r="AC206" s="1269"/>
      <c r="AD206" s="1269"/>
      <c r="AE206" s="1269"/>
      <c r="AF206" s="1269"/>
      <c r="AG206" s="1269"/>
      <c r="AH206" s="1269"/>
      <c r="AI206" s="1269"/>
      <c r="AJ206" s="1269"/>
      <c r="AK206" s="12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9" t="s">
        <v>1155</v>
      </c>
      <c r="G336" s="1269"/>
      <c r="H336" s="1269"/>
      <c r="I336" s="1269"/>
      <c r="J336" s="1269"/>
      <c r="K336" s="1269"/>
      <c r="L336" s="1269"/>
      <c r="M336" s="1269"/>
      <c r="N336" s="1269"/>
      <c r="O336" s="1269"/>
      <c r="P336" s="1269"/>
      <c r="Q336" s="1269"/>
      <c r="R336" s="1269"/>
      <c r="S336" s="1269"/>
      <c r="T336" s="1269"/>
      <c r="U336" s="1269"/>
      <c r="V336" s="1269"/>
      <c r="W336" s="1269"/>
      <c r="X336" s="1269"/>
      <c r="Y336" s="1269"/>
      <c r="Z336" s="1269"/>
      <c r="AA336" s="1269"/>
      <c r="AB336" s="1269"/>
      <c r="AC336" s="1269"/>
      <c r="AD336" s="1269"/>
      <c r="AE336" s="1269"/>
      <c r="AF336" s="1269"/>
      <c r="AG336" s="1269"/>
      <c r="AH336" s="1269"/>
      <c r="AI336" s="1269"/>
      <c r="AJ336" s="1269"/>
      <c r="AK336" s="1269"/>
    </row>
    <row r="337" spans="2:37">
      <c r="B337" s="2"/>
      <c r="E337" s="4"/>
      <c r="F337" s="1269"/>
      <c r="G337" s="1269"/>
      <c r="H337" s="1269"/>
      <c r="I337" s="1269"/>
      <c r="J337" s="1269"/>
      <c r="K337" s="1269"/>
      <c r="L337" s="1269"/>
      <c r="M337" s="1269"/>
      <c r="N337" s="1269"/>
      <c r="O337" s="1269"/>
      <c r="P337" s="1269"/>
      <c r="Q337" s="1269"/>
      <c r="R337" s="1269"/>
      <c r="S337" s="1269"/>
      <c r="T337" s="1269"/>
      <c r="U337" s="1269"/>
      <c r="V337" s="1269"/>
      <c r="W337" s="1269"/>
      <c r="X337" s="1269"/>
      <c r="Y337" s="1269"/>
      <c r="Z337" s="1269"/>
      <c r="AA337" s="1269"/>
      <c r="AB337" s="1269"/>
      <c r="AC337" s="1269"/>
      <c r="AD337" s="1269"/>
      <c r="AE337" s="1269"/>
      <c r="AF337" s="1269"/>
      <c r="AG337" s="1269"/>
      <c r="AH337" s="1269"/>
      <c r="AI337" s="1269"/>
      <c r="AJ337" s="1269"/>
      <c r="AK337" s="1269"/>
    </row>
    <row r="338" spans="2:37">
      <c r="B338" s="2"/>
      <c r="E338" s="4"/>
      <c r="F338" s="1269"/>
      <c r="G338" s="1269"/>
      <c r="H338" s="1269"/>
      <c r="I338" s="1269"/>
      <c r="J338" s="1269"/>
      <c r="K338" s="1269"/>
      <c r="L338" s="1269"/>
      <c r="M338" s="1269"/>
      <c r="N338" s="1269"/>
      <c r="O338" s="1269"/>
      <c r="P338" s="1269"/>
      <c r="Q338" s="1269"/>
      <c r="R338" s="1269"/>
      <c r="S338" s="1269"/>
      <c r="T338" s="1269"/>
      <c r="U338" s="1269"/>
      <c r="V338" s="1269"/>
      <c r="W338" s="1269"/>
      <c r="X338" s="1269"/>
      <c r="Y338" s="1269"/>
      <c r="Z338" s="1269"/>
      <c r="AA338" s="1269"/>
      <c r="AB338" s="1269"/>
      <c r="AC338" s="1269"/>
      <c r="AD338" s="1269"/>
      <c r="AE338" s="1269"/>
      <c r="AF338" s="1269"/>
      <c r="AG338" s="1269"/>
      <c r="AH338" s="1269"/>
      <c r="AI338" s="1269"/>
      <c r="AJ338" s="1269"/>
      <c r="AK338" s="126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2" t="s">
        <v>1235</v>
      </c>
      <c r="F341" s="1272"/>
      <c r="G341" s="1272"/>
      <c r="H341" s="1272"/>
      <c r="I341" s="1272"/>
      <c r="J341" s="1272"/>
      <c r="K341" s="1272"/>
      <c r="L341" s="1272"/>
      <c r="M341" s="1272"/>
      <c r="N341" s="1272"/>
      <c r="O341" s="1272"/>
      <c r="P341" s="1272"/>
      <c r="Q341" s="1272"/>
      <c r="R341" s="1272"/>
      <c r="S341" s="1272"/>
      <c r="T341" s="1272"/>
      <c r="U341" s="1272"/>
      <c r="V341" s="1272"/>
      <c r="W341" s="1272"/>
      <c r="X341" s="1272"/>
      <c r="Y341" s="1272"/>
      <c r="Z341" s="1272"/>
      <c r="AA341" s="1272"/>
      <c r="AB341" s="1272"/>
      <c r="AC341" s="1272"/>
      <c r="AD341" s="1272"/>
      <c r="AE341" s="1272"/>
      <c r="AF341" s="1272"/>
      <c r="AG341" s="1272"/>
      <c r="AH341" s="1272"/>
      <c r="AI341" s="1272"/>
      <c r="AJ341" s="1272"/>
      <c r="AK341" s="1272"/>
    </row>
    <row r="342" spans="2:37">
      <c r="B342" s="2"/>
      <c r="E342" s="1272"/>
      <c r="F342" s="1272"/>
      <c r="G342" s="1272"/>
      <c r="H342" s="1272"/>
      <c r="I342" s="1272"/>
      <c r="J342" s="1272"/>
      <c r="K342" s="1272"/>
      <c r="L342" s="1272"/>
      <c r="M342" s="1272"/>
      <c r="N342" s="1272"/>
      <c r="O342" s="1272"/>
      <c r="P342" s="1272"/>
      <c r="Q342" s="1272"/>
      <c r="R342" s="1272"/>
      <c r="S342" s="1272"/>
      <c r="T342" s="1272"/>
      <c r="U342" s="1272"/>
      <c r="V342" s="1272"/>
      <c r="W342" s="1272"/>
      <c r="X342" s="1272"/>
      <c r="Y342" s="1272"/>
      <c r="Z342" s="1272"/>
      <c r="AA342" s="1272"/>
      <c r="AB342" s="1272"/>
      <c r="AC342" s="1272"/>
      <c r="AD342" s="1272"/>
      <c r="AE342" s="1272"/>
      <c r="AF342" s="1272"/>
      <c r="AG342" s="1272"/>
      <c r="AH342" s="1272"/>
      <c r="AI342" s="1272"/>
      <c r="AJ342" s="1272"/>
      <c r="AK342" s="1272"/>
    </row>
    <row r="343" spans="2:37">
      <c r="B343" s="2"/>
      <c r="E343" s="1272"/>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3" t="s">
        <v>112</v>
      </c>
      <c r="F346" s="1269" t="s">
        <v>1237</v>
      </c>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3"/>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c r="F348" s="1269"/>
      <c r="G348" s="1269"/>
      <c r="H348" s="1269"/>
      <c r="I348" s="1269"/>
      <c r="J348" s="1269"/>
      <c r="K348" s="1269"/>
      <c r="L348" s="1269"/>
      <c r="M348" s="1269"/>
      <c r="N348" s="1269"/>
      <c r="O348" s="1269"/>
      <c r="P348" s="1269"/>
      <c r="Q348" s="1269"/>
      <c r="R348" s="1269"/>
      <c r="S348" s="1269"/>
      <c r="T348" s="1269"/>
      <c r="U348" s="1269"/>
      <c r="V348" s="1269"/>
      <c r="W348" s="1269"/>
      <c r="X348" s="1269"/>
      <c r="Y348" s="1269"/>
      <c r="Z348" s="1269"/>
      <c r="AA348" s="1269"/>
      <c r="AB348" s="1269"/>
      <c r="AC348" s="1269"/>
      <c r="AD348" s="1269"/>
      <c r="AE348" s="1269"/>
      <c r="AF348" s="1269"/>
      <c r="AG348" s="1269"/>
      <c r="AH348" s="1269"/>
      <c r="AI348" s="1269"/>
      <c r="AJ348" s="1269"/>
      <c r="AK348" s="1269"/>
    </row>
    <row r="349" spans="2:37">
      <c r="B349" s="2"/>
      <c r="E349" s="3"/>
      <c r="F349" s="1269"/>
      <c r="G349" s="1269"/>
      <c r="H349" s="1269"/>
      <c r="I349" s="1269"/>
      <c r="J349" s="1269"/>
      <c r="K349" s="1269"/>
      <c r="L349" s="1269"/>
      <c r="M349" s="1269"/>
      <c r="N349" s="1269"/>
      <c r="O349" s="1269"/>
      <c r="P349" s="1269"/>
      <c r="Q349" s="1269"/>
      <c r="R349" s="1269"/>
      <c r="S349" s="1269"/>
      <c r="T349" s="1269"/>
      <c r="U349" s="1269"/>
      <c r="V349" s="1269"/>
      <c r="W349" s="1269"/>
      <c r="X349" s="1269"/>
      <c r="Y349" s="1269"/>
      <c r="Z349" s="1269"/>
      <c r="AA349" s="1269"/>
      <c r="AB349" s="1269"/>
      <c r="AC349" s="1269"/>
      <c r="AD349" s="1269"/>
      <c r="AE349" s="1269"/>
      <c r="AF349" s="1269"/>
      <c r="AG349" s="1269"/>
      <c r="AH349" s="1269"/>
      <c r="AI349" s="1269"/>
      <c r="AJ349" s="1269"/>
      <c r="AK349" s="1269"/>
    </row>
    <row r="350" spans="2:37">
      <c r="B350" s="2"/>
      <c r="E350" s="3" t="s">
        <v>113</v>
      </c>
      <c r="F350" s="1269" t="s">
        <v>1236</v>
      </c>
      <c r="G350" s="1269"/>
      <c r="H350" s="1269"/>
      <c r="I350" s="1269"/>
      <c r="J350" s="1269"/>
      <c r="K350" s="1269"/>
      <c r="L350" s="1269"/>
      <c r="M350" s="1269"/>
      <c r="N350" s="1269"/>
      <c r="O350" s="1269"/>
      <c r="P350" s="1269"/>
      <c r="Q350" s="1269"/>
      <c r="R350" s="1269"/>
      <c r="S350" s="1269"/>
      <c r="T350" s="1269"/>
      <c r="U350" s="1269"/>
      <c r="V350" s="1269"/>
      <c r="W350" s="1269"/>
      <c r="X350" s="1269"/>
      <c r="Y350" s="1269"/>
      <c r="Z350" s="1269"/>
      <c r="AA350" s="1269"/>
      <c r="AB350" s="1269"/>
      <c r="AC350" s="1269"/>
      <c r="AD350" s="1269"/>
      <c r="AE350" s="1269"/>
      <c r="AF350" s="1269"/>
      <c r="AG350" s="1269"/>
      <c r="AH350" s="1269"/>
      <c r="AI350" s="1269"/>
      <c r="AJ350" s="1269"/>
      <c r="AK350" s="1269"/>
    </row>
    <row r="351" spans="2:37">
      <c r="B351" s="2"/>
      <c r="F351" s="1269"/>
      <c r="G351" s="1269"/>
      <c r="H351" s="1269"/>
      <c r="I351" s="1269"/>
      <c r="J351" s="1269"/>
      <c r="K351" s="1269"/>
      <c r="L351" s="1269"/>
      <c r="M351" s="1269"/>
      <c r="N351" s="1269"/>
      <c r="O351" s="1269"/>
      <c r="P351" s="1269"/>
      <c r="Q351" s="1269"/>
      <c r="R351" s="1269"/>
      <c r="S351" s="1269"/>
      <c r="T351" s="1269"/>
      <c r="U351" s="1269"/>
      <c r="V351" s="1269"/>
      <c r="W351" s="1269"/>
      <c r="X351" s="1269"/>
      <c r="Y351" s="1269"/>
      <c r="Z351" s="1269"/>
      <c r="AA351" s="1269"/>
      <c r="AB351" s="1269"/>
      <c r="AC351" s="1269"/>
      <c r="AD351" s="1269"/>
      <c r="AE351" s="1269"/>
      <c r="AF351" s="1269"/>
      <c r="AG351" s="1269"/>
      <c r="AH351" s="1269"/>
      <c r="AI351" s="1269"/>
      <c r="AJ351" s="1269"/>
      <c r="AK351" s="1269"/>
    </row>
    <row r="352" spans="2:37">
      <c r="B352" s="2"/>
      <c r="F352" s="1269"/>
      <c r="G352" s="1269"/>
      <c r="H352" s="1269"/>
      <c r="I352" s="1269"/>
      <c r="J352" s="1269"/>
      <c r="K352" s="1269"/>
      <c r="L352" s="1269"/>
      <c r="M352" s="1269"/>
      <c r="N352" s="1269"/>
      <c r="O352" s="1269"/>
      <c r="P352" s="1269"/>
      <c r="Q352" s="1269"/>
      <c r="R352" s="1269"/>
      <c r="S352" s="1269"/>
      <c r="T352" s="1269"/>
      <c r="U352" s="1269"/>
      <c r="V352" s="1269"/>
      <c r="W352" s="1269"/>
      <c r="X352" s="1269"/>
      <c r="Y352" s="1269"/>
      <c r="Z352" s="1269"/>
      <c r="AA352" s="1269"/>
      <c r="AB352" s="1269"/>
      <c r="AC352" s="1269"/>
      <c r="AD352" s="1269"/>
      <c r="AE352" s="1269"/>
      <c r="AF352" s="1269"/>
      <c r="AG352" s="1269"/>
      <c r="AH352" s="1269"/>
      <c r="AI352" s="1269"/>
      <c r="AJ352" s="1269"/>
      <c r="AK352" s="12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3" t="s">
        <v>1226</v>
      </c>
      <c r="F365" s="1273"/>
      <c r="G365" s="1273"/>
      <c r="H365" s="1273"/>
      <c r="I365" s="1273"/>
      <c r="J365" s="1273"/>
      <c r="K365" s="1273"/>
      <c r="L365" s="1273"/>
      <c r="M365" s="1273"/>
      <c r="N365" s="1273"/>
      <c r="O365" s="1273"/>
      <c r="P365" s="1273"/>
      <c r="Q365" s="1273"/>
      <c r="R365" s="1273"/>
      <c r="S365" s="1273"/>
      <c r="T365" s="1273"/>
      <c r="U365" s="1273"/>
      <c r="V365" s="1273"/>
      <c r="W365" s="1273"/>
      <c r="X365" s="1273"/>
      <c r="Y365" s="1273"/>
      <c r="Z365" s="1273"/>
      <c r="AA365" s="1273"/>
      <c r="AB365" s="1273"/>
      <c r="AC365" s="1273"/>
      <c r="AD365" s="1273"/>
      <c r="AE365" s="1273"/>
      <c r="AF365" s="1273"/>
      <c r="AG365" s="1273"/>
      <c r="AH365" s="1273"/>
      <c r="AI365" s="1273"/>
      <c r="AJ365" s="1273"/>
      <c r="AK365" s="1273"/>
      <c r="AL365" s="1273"/>
    </row>
    <row r="366" spans="1:38">
      <c r="B366" s="2"/>
      <c r="E366" s="1273"/>
      <c r="F366" s="1273"/>
      <c r="G366" s="1273"/>
      <c r="H366" s="1273"/>
      <c r="I366" s="1273"/>
      <c r="J366" s="1273"/>
      <c r="K366" s="1273"/>
      <c r="L366" s="1273"/>
      <c r="M366" s="1273"/>
      <c r="N366" s="1273"/>
      <c r="O366" s="1273"/>
      <c r="P366" s="1273"/>
      <c r="Q366" s="1273"/>
      <c r="R366" s="1273"/>
      <c r="S366" s="1273"/>
      <c r="T366" s="1273"/>
      <c r="U366" s="1273"/>
      <c r="V366" s="1273"/>
      <c r="W366" s="1273"/>
      <c r="X366" s="1273"/>
      <c r="Y366" s="1273"/>
      <c r="Z366" s="1273"/>
      <c r="AA366" s="1273"/>
      <c r="AB366" s="1273"/>
      <c r="AC366" s="1273"/>
      <c r="AD366" s="1273"/>
      <c r="AE366" s="1273"/>
      <c r="AF366" s="1273"/>
      <c r="AG366" s="1273"/>
      <c r="AH366" s="1273"/>
      <c r="AI366" s="1273"/>
      <c r="AJ366" s="1273"/>
      <c r="AK366" s="1273"/>
      <c r="AL366" s="1273"/>
    </row>
    <row r="367" spans="1:38" s="1275" customFormat="1">
      <c r="A367"/>
      <c r="B367" s="2"/>
      <c r="C367"/>
      <c r="D367"/>
      <c r="E367" s="1274"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9" t="s">
        <v>1269</v>
      </c>
      <c r="G386" s="1269"/>
      <c r="H386" s="1269"/>
      <c r="I386" s="1269"/>
      <c r="J386" s="1269"/>
      <c r="K386" s="1269"/>
      <c r="L386" s="1269"/>
      <c r="M386" s="1269"/>
      <c r="N386" s="1269"/>
      <c r="O386" s="1269"/>
      <c r="P386" s="1269"/>
      <c r="Q386" s="1269"/>
      <c r="R386" s="1269"/>
      <c r="S386" s="1269"/>
      <c r="T386" s="1269"/>
      <c r="U386" s="1269"/>
      <c r="V386" s="1269"/>
      <c r="W386" s="1269"/>
      <c r="X386" s="1269"/>
      <c r="Y386" s="1269"/>
      <c r="Z386" s="1269"/>
      <c r="AA386" s="1269"/>
      <c r="AB386" s="1269"/>
      <c r="AC386" s="1269"/>
      <c r="AD386" s="1269"/>
      <c r="AE386" s="1269"/>
      <c r="AF386" s="1269"/>
      <c r="AG386" s="1269"/>
      <c r="AH386" s="1269"/>
      <c r="AI386" s="1269"/>
      <c r="AJ386" s="1269"/>
      <c r="AK386" s="1269"/>
    </row>
    <row r="387" spans="1:38">
      <c r="B387" s="2"/>
      <c r="E387" s="3"/>
      <c r="F387" s="1269"/>
      <c r="G387" s="1269"/>
      <c r="H387" s="1269"/>
      <c r="I387" s="1269"/>
      <c r="J387" s="1269"/>
      <c r="K387" s="1269"/>
      <c r="L387" s="1269"/>
      <c r="M387" s="1269"/>
      <c r="N387" s="1269"/>
      <c r="O387" s="1269"/>
      <c r="P387" s="1269"/>
      <c r="Q387" s="1269"/>
      <c r="R387" s="1269"/>
      <c r="S387" s="1269"/>
      <c r="T387" s="1269"/>
      <c r="U387" s="1269"/>
      <c r="V387" s="1269"/>
      <c r="W387" s="1269"/>
      <c r="X387" s="1269"/>
      <c r="Y387" s="1269"/>
      <c r="Z387" s="1269"/>
      <c r="AA387" s="1269"/>
      <c r="AB387" s="1269"/>
      <c r="AC387" s="1269"/>
      <c r="AD387" s="1269"/>
      <c r="AE387" s="1269"/>
      <c r="AF387" s="1269"/>
      <c r="AG387" s="1269"/>
      <c r="AH387" s="1269"/>
      <c r="AI387" s="1269"/>
      <c r="AJ387" s="1269"/>
      <c r="AK387" s="1269"/>
    </row>
    <row r="388" spans="1:38">
      <c r="B388" s="2"/>
      <c r="E388" s="3"/>
      <c r="F388" s="1269"/>
      <c r="G388" s="1269"/>
      <c r="H388" s="1269"/>
      <c r="I388" s="1269"/>
      <c r="J388" s="1269"/>
      <c r="K388" s="1269"/>
      <c r="L388" s="1269"/>
      <c r="M388" s="1269"/>
      <c r="N388" s="1269"/>
      <c r="O388" s="1269"/>
      <c r="P388" s="1269"/>
      <c r="Q388" s="1269"/>
      <c r="R388" s="1269"/>
      <c r="S388" s="1269"/>
      <c r="T388" s="1269"/>
      <c r="U388" s="1269"/>
      <c r="V388" s="1269"/>
      <c r="W388" s="1269"/>
      <c r="X388" s="1269"/>
      <c r="Y388" s="1269"/>
      <c r="Z388" s="1269"/>
      <c r="AA388" s="1269"/>
      <c r="AB388" s="1269"/>
      <c r="AC388" s="1269"/>
      <c r="AD388" s="1269"/>
      <c r="AE388" s="1269"/>
      <c r="AF388" s="1269"/>
      <c r="AG388" s="1269"/>
      <c r="AH388" s="1269"/>
      <c r="AI388" s="1269"/>
      <c r="AJ388" s="1269"/>
      <c r="AK388" s="12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4" zoomScale="85" zoomScaleNormal="85" workbookViewId="0">
      <selection activeCell="M141" sqref="M14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7" t="s">
        <v>1574</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10512040.331592049</v>
      </c>
      <c r="I3" s="1099"/>
    </row>
    <row r="4" spans="1:13" s="1046" customFormat="1" ht="20.100000000000001" customHeight="1">
      <c r="B4" s="1088"/>
      <c r="D4" s="1102"/>
      <c r="F4" s="1087" t="s">
        <v>1965</v>
      </c>
      <c r="G4" s="1086" t="s">
        <v>1964</v>
      </c>
      <c r="H4" s="1201">
        <f>I18</f>
        <v>10195000</v>
      </c>
      <c r="I4" s="1089"/>
      <c r="K4" s="1050"/>
    </row>
    <row r="5" spans="1:13" s="1046" customFormat="1" ht="20.100000000000001" customHeight="1" thickBot="1">
      <c r="B5" s="1090"/>
      <c r="C5" s="1091"/>
      <c r="D5" s="1103"/>
      <c r="E5" s="1092"/>
      <c r="F5" s="1103" t="s">
        <v>1915</v>
      </c>
      <c r="G5" s="1104"/>
      <c r="H5" s="1100">
        <f>IFERROR(H3/H4,0)</f>
        <v>1.0310976293861744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1913</v>
      </c>
      <c r="C8" s="2661"/>
      <c r="D8" s="2661"/>
      <c r="E8" s="2662"/>
      <c r="G8" s="2663" t="s">
        <v>1914</v>
      </c>
      <c r="H8" s="2664"/>
      <c r="I8" s="2665"/>
      <c r="K8" s="1052"/>
    </row>
    <row r="9" spans="1:13" ht="15" customHeight="1">
      <c r="A9" s="1041"/>
      <c r="B9" s="2658" t="s">
        <v>1947</v>
      </c>
      <c r="C9" s="2658"/>
      <c r="D9" s="2658"/>
      <c r="E9" s="1054">
        <f>G33</f>
        <v>1165000</v>
      </c>
      <c r="G9" s="2654" t="s">
        <v>1945</v>
      </c>
      <c r="H9" s="2654"/>
      <c r="I9" s="1055">
        <f>MAX(SUMIF(Application!M562:M573,"Loan, Tax-Exempt",Application!AM562:AM573),27.5%*SUM('Sources and Uses Budget'!C8,'Sources and Uses Budget'!S105,'Sources and Uses Budget'!T105))</f>
        <v>14000000</v>
      </c>
      <c r="K9" s="1056"/>
      <c r="M9" s="1057"/>
    </row>
    <row r="10" spans="1:13" ht="15" customHeight="1" thickBot="1">
      <c r="A10" s="1041"/>
      <c r="B10" s="2658" t="s">
        <v>1948</v>
      </c>
      <c r="C10" s="2658"/>
      <c r="D10" s="2658"/>
      <c r="E10" s="1055">
        <f>G47</f>
        <v>5162292</v>
      </c>
      <c r="G10" s="2656" t="s">
        <v>1916</v>
      </c>
      <c r="H10" s="2656"/>
      <c r="I10" s="1134">
        <f>IF(OR(Application!Z205="State Farmworker Credit",Application!Z205="$500M (Farmworker Housing)"),0,'Basis &amp; Credits'!AB78)</f>
        <v>0</v>
      </c>
      <c r="M10" s="1057"/>
    </row>
    <row r="11" spans="1:13" ht="15" customHeight="1">
      <c r="A11" s="1041"/>
      <c r="B11" s="2667" t="s">
        <v>2212</v>
      </c>
      <c r="C11" s="2668"/>
      <c r="D11" s="2669"/>
      <c r="E11" s="1055">
        <f>SUM(E13,E12)</f>
        <v>1878048.331592049</v>
      </c>
      <c r="G11" s="2666" t="s">
        <v>1956</v>
      </c>
      <c r="H11" s="2666"/>
      <c r="I11" s="1133">
        <f>I9+I10</f>
        <v>14000000</v>
      </c>
      <c r="M11" s="1057"/>
    </row>
    <row r="12" spans="1:13" ht="15" customHeight="1">
      <c r="A12" s="1058"/>
      <c r="B12" s="2659" t="s">
        <v>2575</v>
      </c>
      <c r="C12" s="2659"/>
      <c r="D12" s="2659"/>
      <c r="E12" s="1158">
        <f>G56</f>
        <v>220000</v>
      </c>
      <c r="M12" s="1057"/>
    </row>
    <row r="13" spans="1:13" ht="15" customHeight="1">
      <c r="A13" s="1044"/>
      <c r="B13" s="2659" t="s">
        <v>2576</v>
      </c>
      <c r="C13" s="2659"/>
      <c r="D13" s="2659"/>
      <c r="E13" s="1158">
        <f>IF(G67,MAX(G65,G79),G65)</f>
        <v>1658048.331592049</v>
      </c>
      <c r="G13" s="2663" t="s">
        <v>1979</v>
      </c>
      <c r="H13" s="2664"/>
      <c r="I13" s="2665"/>
    </row>
    <row r="14" spans="1:13" ht="15" customHeight="1">
      <c r="A14" s="1044"/>
      <c r="B14" s="2667" t="s">
        <v>2213</v>
      </c>
      <c r="C14" s="2668"/>
      <c r="D14" s="2669"/>
      <c r="E14" s="1160">
        <f>MAX(E15,E16)+E17</f>
        <v>2306700</v>
      </c>
      <c r="G14" s="2654" t="s">
        <v>2592</v>
      </c>
      <c r="H14" s="2654"/>
      <c r="I14" s="1059">
        <f>IF(AND(G134="Yes",G136&lt;&gt;""),IF(OR(G141="Yes",G145="Yes"),18%,15%),0)</f>
        <v>0.15</v>
      </c>
      <c r="M14" s="1057"/>
    </row>
    <row r="15" spans="1:13" ht="15" customHeight="1">
      <c r="A15" s="1044"/>
      <c r="B15" s="2670" t="s">
        <v>2589</v>
      </c>
      <c r="C15" s="2671"/>
      <c r="D15" s="2672"/>
      <c r="E15" s="1158">
        <f>G94</f>
        <v>699000</v>
      </c>
      <c r="G15" s="1131" t="s">
        <v>1957</v>
      </c>
      <c r="H15" s="1131"/>
      <c r="I15" s="1059">
        <f>IF(Application!AJ1041&gt;0,10%,IF(Application!AJ1045&gt;0,5%,0))</f>
        <v>0.1</v>
      </c>
      <c r="M15" s="1057"/>
    </row>
    <row r="16" spans="1:13" ht="15" customHeight="1">
      <c r="A16" s="1044"/>
      <c r="B16" s="2670" t="s">
        <v>2590</v>
      </c>
      <c r="C16" s="2671"/>
      <c r="D16" s="2672"/>
      <c r="E16" s="1158">
        <f>G104</f>
        <v>0</v>
      </c>
      <c r="G16" s="2654" t="s">
        <v>1958</v>
      </c>
      <c r="H16" s="2654"/>
      <c r="I16" s="1059">
        <f>G155</f>
        <v>2.1785714285714287E-2</v>
      </c>
    </row>
    <row r="17" spans="1:21" ht="15" customHeight="1" thickBot="1">
      <c r="A17" s="1044"/>
      <c r="B17" s="2670" t="s">
        <v>2591</v>
      </c>
      <c r="C17" s="2671"/>
      <c r="D17" s="2672"/>
      <c r="E17" s="1158">
        <f>G129</f>
        <v>1607700</v>
      </c>
      <c r="G17" s="2654" t="s">
        <v>2221</v>
      </c>
      <c r="H17" s="2654"/>
      <c r="I17" s="1059">
        <f>IF(AND(G161="Yes",G159),IF(G165&gt;15%,15%,G165),0)</f>
        <v>0</v>
      </c>
    </row>
    <row r="18" spans="1:21" ht="15" customHeight="1">
      <c r="A18" s="1041"/>
      <c r="B18" s="2655" t="s">
        <v>1912</v>
      </c>
      <c r="C18" s="2655"/>
      <c r="D18" s="2655"/>
      <c r="E18" s="1105">
        <f>SUM(E9:E11,E14)</f>
        <v>10512040.331592049</v>
      </c>
      <c r="G18" s="1132" t="s">
        <v>1946</v>
      </c>
      <c r="H18" s="1132"/>
      <c r="I18" s="1106">
        <f>I11-((I11*I14)+(I11*I15)+(I11*I16)+(I11*I17))</f>
        <v>10195000</v>
      </c>
      <c r="M18" s="1060">
        <f>SUM(Cdlac[Quantity])</f>
        <v>23</v>
      </c>
      <c r="O18" s="1079" t="s">
        <v>582</v>
      </c>
      <c r="P18" s="1039">
        <f>MATCH(Application!T189,Application!CB160:CB217,0)</f>
        <v>19</v>
      </c>
      <c r="T18" s="1060">
        <f>SUM(Cdlac[Population])</f>
        <v>23</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1</v>
      </c>
      <c r="U20" s="1039" t="b">
        <f>AND('Subsidy Contract Calculation'!F4&gt;0,OR('Subsidy Contract Calculation'!C4="Federal",'Subsidy Contract Calculation'!C4="Local - Approved by ED"),Cdlac[[#This Row],[Quantity]]&gt;0)</f>
        <v>1</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0.3</v>
      </c>
      <c r="P21" s="1060" cm="1">
        <f t="array" ref="P21">IF(Cdlac[[#This Row],[Quantity]]&gt;0,INDEX(TcacRents,$P$18,Cdlac[[#This Row],[Bedrooms]]+1)*Cdlac[[#This Row],[AMI]],"")</f>
        <v>795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1061</v>
      </c>
      <c r="T21" s="1039">
        <f>IF(Cdlac[[#This Row],[Quantity]]&gt;0,AND(Application!AK727&lt;&gt;"N/A",Application!AK727&lt;&gt;"")*Cdlac[[#This Row],[Quantity]],"")</f>
        <v>1</v>
      </c>
      <c r="U21" s="1039" t="b">
        <f>AND('Subsidy Contract Calculation'!F5&gt;0,OR('Subsidy Contract Calculation'!C5="Federal",'Subsidy Contract Calculation'!C5="Local - Approved by ED"),Cdlac[[#This Row],[Quantity]]&gt;0)</f>
        <v>1</v>
      </c>
    </row>
    <row r="22" spans="1:21" ht="15" customHeight="1">
      <c r="A22" s="1044"/>
      <c r="C22" s="2644" t="s">
        <v>1960</v>
      </c>
      <c r="D22" s="2644" t="s">
        <v>1961</v>
      </c>
      <c r="E22" s="2644" t="s">
        <v>1962</v>
      </c>
      <c r="F22" s="2644" t="s">
        <v>2536</v>
      </c>
      <c r="G22" s="2644" t="s">
        <v>1959</v>
      </c>
      <c r="H22" s="1065"/>
      <c r="I22" s="1064"/>
      <c r="L22" s="1039">
        <f>IFERROR(MIN(4,MATCH(Application!B728,UnitSizes,0)-1),"")</f>
        <v>1</v>
      </c>
      <c r="M22" s="1060">
        <f>Application!G728</f>
        <v>10</v>
      </c>
      <c r="N22" s="1066">
        <f>Application!AC728</f>
        <v>0.3</v>
      </c>
      <c r="O22" s="1066">
        <f>IF(Cdlac[[#This Row],[Quantity]]&gt;0,IF(Cdlac[[#This Row],[Federal]],30%,IF(AND(OR(NOT($G$38),$G$38=""),$G$43),40%,Cdlac[[#This Row],[iAMI]])),"")</f>
        <v>0.3</v>
      </c>
      <c r="P22" s="1060" cm="1">
        <f t="array" ref="P22">IF(Cdlac[[#This Row],[Quantity]]&gt;0,INDEX(TcacRents,$P$18,Cdlac[[#This Row],[Bedrooms]]+1)*Cdlac[[#This Row],[AMI]],"")</f>
        <v>852</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1229</v>
      </c>
      <c r="T22" s="1039">
        <f>IF(Cdlac[[#This Row],[Quantity]]&gt;0,AND(Application!AK728&lt;&gt;"N/A",Application!AK728&lt;&gt;"")*Cdlac[[#This Row],[Quantity]],"")</f>
        <v>10</v>
      </c>
      <c r="U22" s="1039" t="b">
        <f>AND('Subsidy Contract Calculation'!F6&gt;0,OR('Subsidy Contract Calculation'!C6="Federal",'Subsidy Contract Calculation'!C6="Local - Approved by ED"),Cdlac[[#This Row],[Quantity]]&gt;0)</f>
        <v>1</v>
      </c>
    </row>
    <row r="23" spans="1:21" ht="15" customHeight="1">
      <c r="A23" s="1044"/>
      <c r="C23" s="2645"/>
      <c r="D23" s="2645"/>
      <c r="E23" s="2645"/>
      <c r="F23" s="2645"/>
      <c r="G23" s="2645"/>
      <c r="H23" s="1065"/>
      <c r="I23" s="1064"/>
      <c r="L23" s="1039">
        <f>IFERROR(MIN(4,MATCH(Application!B729,UnitSizes,0)-1),"")</f>
        <v>1</v>
      </c>
      <c r="M23" s="1060">
        <f>Application!G729</f>
        <v>9</v>
      </c>
      <c r="N23" s="1066">
        <f>Application!AC729</f>
        <v>0.5</v>
      </c>
      <c r="O23" s="1066">
        <f>IF(Cdlac[[#This Row],[Quantity]]&gt;0,IF(Cdlac[[#This Row],[Federal]],30%,IF(AND(OR(NOT($G$38),$G$38=""),$G$43),40%,Cdlac[[#This Row],[iAMI]])),"")</f>
        <v>0.3</v>
      </c>
      <c r="P23" s="1060" cm="1">
        <f t="array" ref="P23">IF(Cdlac[[#This Row],[Quantity]]&gt;0,INDEX(TcacRents,$P$18,Cdlac[[#This Row],[Bedrooms]]+1)*Cdlac[[#This Row],[AMI]],"")</f>
        <v>852</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1229</v>
      </c>
      <c r="T23" s="1039">
        <f>IF(Cdlac[[#This Row],[Quantity]]&gt;0,AND(Application!AK729&lt;&gt;"N/A",Application!AK729&lt;&gt;"")*Cdlac[[#This Row],[Quantity]],"")</f>
        <v>9</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2</v>
      </c>
      <c r="F24" s="1067">
        <f>E24</f>
        <v>2</v>
      </c>
      <c r="G24" s="1067">
        <f>D24*F24</f>
        <v>1.8</v>
      </c>
      <c r="L24" s="1039">
        <f>IFERROR(MIN(4,MATCH(Application!B730,UnitSizes,0)-1),"")</f>
        <v>2</v>
      </c>
      <c r="M24" s="1060">
        <f>Application!G730</f>
        <v>1</v>
      </c>
      <c r="N24" s="1066">
        <f>Application!AC730</f>
        <v>0.3</v>
      </c>
      <c r="O24" s="1066">
        <f>IF(Cdlac[[#This Row],[Quantity]]&gt;0,IF(Cdlac[[#This Row],[Federal]],30%,IF(AND(OR(NOT($G$38),$G$38=""),$G$43),40%,Cdlac[[#This Row],[iAMI]])),"")</f>
        <v>0.3</v>
      </c>
      <c r="P24" s="1060" cm="1">
        <f t="array" ref="P24">IF(Cdlac[[#This Row],[Quantity]]&gt;0,INDEX(TcacRents,$P$18,Cdlac[[#This Row],[Bedrooms]]+1)*Cdlac[[#This Row],[AMI]],"")</f>
        <v>1021.8</v>
      </c>
      <c r="Q24" s="1157"/>
      <c r="R24" s="1060" cm="1">
        <f t="array" ref="R24">IF(Cdlac[[#This Row],[Quantity]]&gt;0,INDEX(HudFmrs,$P$18,Cdlac[[#This Row],[Bedrooms]]+1),"")</f>
        <v>2625</v>
      </c>
      <c r="S24" s="1060">
        <f>IF(Cdlac[[#This Row],[Quantity]]&gt;0,MAX(0,Cdlac[[#This Row],[Fair Market Rent]]-IF(AND($G$37,$G$38,$G$38&lt;&gt;"",NOT(Cdlac[[#This Row],[Federal]]),Cdlac[[#This Row],[Preservation Rent]]&lt;&gt;""),Cdlac[[#This Row],[Preservation Rent]],Cdlac[[#This Row],[Restricted Rent]])),"")</f>
        <v>1603.2</v>
      </c>
      <c r="T24" s="1039">
        <f>IF(Cdlac[[#This Row],[Quantity]]&gt;0,AND(Application!AK730&lt;&gt;"N/A",Application!AK730&lt;&gt;"")*Cdlac[[#This Row],[Quantity]],"")</f>
        <v>1</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19</v>
      </c>
      <c r="F25" s="1067">
        <f>E25</f>
        <v>19</v>
      </c>
      <c r="G25" s="1067">
        <f>D25*F25</f>
        <v>19</v>
      </c>
      <c r="L25" s="1039">
        <f>IFERROR(MIN(4,MATCH(Application!B731,UnitSizes,0)-1),"")</f>
        <v>2</v>
      </c>
      <c r="M25" s="1060">
        <f>Application!G731</f>
        <v>1</v>
      </c>
      <c r="N25" s="1066">
        <f>Application!AC731</f>
        <v>0.5</v>
      </c>
      <c r="O25" s="1066">
        <f>IF(Cdlac[[#This Row],[Quantity]]&gt;0,IF(Cdlac[[#This Row],[Federal]],30%,IF(AND(OR(NOT($G$38),$G$38=""),$G$43),40%,Cdlac[[#This Row],[iAMI]])),"")</f>
        <v>0.3</v>
      </c>
      <c r="P25" s="1060" cm="1">
        <f t="array" ref="P25">IF(Cdlac[[#This Row],[Quantity]]&gt;0,INDEX(TcacRents,$P$18,Cdlac[[#This Row],[Bedrooms]]+1)*Cdlac[[#This Row],[AMI]],"")</f>
        <v>1021.8</v>
      </c>
      <c r="Q25" s="1157"/>
      <c r="R25" s="1060" cm="1">
        <f t="array" ref="R25">IF(Cdlac[[#This Row],[Quantity]]&gt;0,INDEX(HudFmrs,$P$18,Cdlac[[#This Row],[Bedrooms]]+1),"")</f>
        <v>2625</v>
      </c>
      <c r="S25" s="1060">
        <f>IF(Cdlac[[#This Row],[Quantity]]&gt;0,MAX(0,Cdlac[[#This Row],[Fair Market Rent]]-IF(AND($G$37,$G$38,$G$38&lt;&gt;"",NOT(Cdlac[[#This Row],[Federal]]),Cdlac[[#This Row],[Preservation Rent]]&lt;&gt;""),Cdlac[[#This Row],[Preservation Rent]],Cdlac[[#This Row],[Restricted Rent]])),"")</f>
        <v>1603.2</v>
      </c>
      <c r="T25" s="1039">
        <f>IF(Cdlac[[#This Row],[Quantity]]&gt;0,AND(Application!AK731&lt;&gt;"N/A",Application!AK731&lt;&gt;"")*Cdlac[[#This Row],[Quantity]],"")</f>
        <v>1</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2</v>
      </c>
      <c r="F26" s="1070">
        <f>SUM(E26:E28)-SUM(F27:F28)</f>
        <v>2</v>
      </c>
      <c r="G26" s="1067">
        <f>D26*F26</f>
        <v>2.5</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4" t="s">
        <v>1575</v>
      </c>
      <c r="D29" s="2675"/>
      <c r="E29" s="1084">
        <f>SUM(E24:E28)</f>
        <v>23</v>
      </c>
      <c r="F29" s="1084">
        <f>SUM(F24:F28)</f>
        <v>23</v>
      </c>
      <c r="G29" s="1085">
        <f>SUMPRODUCT(D24:D28,F24:F28)</f>
        <v>23.3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23.3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1165000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t="e" cm="1">
        <f t="array" ref="G42">SUMPRODUCT(Cdlac[Quantity],Cdlac[iAMI],IF(Cdlac[Federal],0,1))/SUMIFS(Cdlac[Quantity],Cdlac[Federal],FALSE)</f>
        <v>#DIV/0!</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e">
        <f>G42&lt;40%</f>
        <v>#DIV/0!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28679.4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5162292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11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23</v>
      </c>
    </row>
    <row r="61" spans="2:21" ht="15" customHeight="1">
      <c r="E61" s="1111" t="s">
        <v>1968</v>
      </c>
      <c r="G61" s="1108">
        <f>ROUNDDOWN(E29*50%,0)</f>
        <v>11</v>
      </c>
    </row>
    <row r="62" spans="2:21" ht="15" customHeight="1">
      <c r="E62" s="1111"/>
      <c r="G62" s="1119"/>
    </row>
    <row r="63" spans="2:21" ht="15" customHeight="1">
      <c r="E63" s="1111" t="s">
        <v>1928</v>
      </c>
      <c r="G63" s="1108">
        <f>MIN(G60:G61)</f>
        <v>11</v>
      </c>
    </row>
    <row r="64" spans="2:21" ht="15" customHeight="1">
      <c r="E64" s="1111" t="s">
        <v>1918</v>
      </c>
      <c r="F64" s="1107" t="s">
        <v>1966</v>
      </c>
      <c r="G64" s="1118">
        <v>10000</v>
      </c>
    </row>
    <row r="65" spans="5:7" ht="15" customHeight="1">
      <c r="E65" s="1112" t="s">
        <v>1951</v>
      </c>
      <c r="F65" s="1041"/>
      <c r="G65" s="1117">
        <f>G63*G64</f>
        <v>110000</v>
      </c>
    </row>
    <row r="66" spans="5:7" ht="15" customHeight="1">
      <c r="E66" s="1112"/>
      <c r="F66" s="1041"/>
      <c r="G66" s="1117"/>
    </row>
    <row r="67" spans="5:7" ht="15" customHeight="1">
      <c r="E67" s="1079" t="s">
        <v>2579</v>
      </c>
      <c r="G67" s="1039" t="b">
        <f>Application!V227="Yes"</f>
        <v>1</v>
      </c>
    </row>
    <row r="68" spans="5:7" ht="15" customHeight="1">
      <c r="E68" s="1079" t="s">
        <v>2580</v>
      </c>
      <c r="G68" s="1202">
        <f>SUMIF(Application!AK726:AK760,"Homeless",Application!G726:G760)</f>
        <v>23</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v>71201</v>
      </c>
    </row>
    <row r="74" spans="5:7" ht="15" customHeight="1">
      <c r="E74" s="1079" t="s">
        <v>2585</v>
      </c>
      <c r="G74" s="1203">
        <v>9876811</v>
      </c>
    </row>
    <row r="75" spans="5:7" ht="15" customHeight="1">
      <c r="E75" s="1079" t="s">
        <v>2586</v>
      </c>
      <c r="G75" s="1202">
        <f>IF(G74=0,0,(G73/G74)*100000)</f>
        <v>720.89057895306485</v>
      </c>
    </row>
    <row r="76" spans="5:7" ht="15" customHeight="1">
      <c r="E76" s="1112"/>
      <c r="F76" s="1041"/>
      <c r="G76" s="1117"/>
    </row>
    <row r="77" spans="5:7" ht="15" customHeight="1">
      <c r="E77" s="1111" t="s">
        <v>1928</v>
      </c>
      <c r="G77" s="1108">
        <f>IF(OR(G75&gt;G72,G71&lt;100000),G75*G68,G72*G68)</f>
        <v>16580.48331592049</v>
      </c>
    </row>
    <row r="78" spans="5:7" ht="15" customHeight="1">
      <c r="E78" s="1111" t="s">
        <v>1918</v>
      </c>
      <c r="F78" s="1107" t="s">
        <v>1966</v>
      </c>
      <c r="G78" s="1118">
        <v>100</v>
      </c>
    </row>
    <row r="79" spans="5:7" ht="15" customHeight="1">
      <c r="E79" s="1112" t="s">
        <v>1951</v>
      </c>
      <c r="F79" s="1041"/>
      <c r="G79" s="1117">
        <f>G77*G78</f>
        <v>1658048.331592049</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6" t="s">
        <v>1943</v>
      </c>
      <c r="M83" s="2647"/>
      <c r="N83" s="1125">
        <v>30000</v>
      </c>
    </row>
    <row r="84" spans="2:14" ht="15" customHeight="1">
      <c r="C84" s="1072" t="s">
        <v>1955</v>
      </c>
      <c r="G84" s="1076" t="str">
        <f>IF(Application!D211="Large Family","Yes","No")</f>
        <v>No</v>
      </c>
      <c r="L84" s="2650" t="s">
        <v>1911</v>
      </c>
      <c r="M84" s="2651"/>
      <c r="N84" s="1126">
        <v>20000</v>
      </c>
    </row>
    <row r="85" spans="2:14" ht="15" customHeight="1" thickBot="1">
      <c r="C85" s="1072" t="s">
        <v>1941</v>
      </c>
      <c r="G85" s="1038" t="s">
        <v>545</v>
      </c>
      <c r="L85" s="2652" t="s">
        <v>1944</v>
      </c>
      <c r="M85" s="2653"/>
      <c r="N85" s="1127">
        <v>10000</v>
      </c>
    </row>
    <row r="86" spans="2:14" ht="15" customHeight="1" thickBot="1">
      <c r="C86" s="1072" t="s">
        <v>1942</v>
      </c>
      <c r="G86" s="1039" t="str">
        <f>Application!T193</f>
        <v>Highest Resource</v>
      </c>
    </row>
    <row r="87" spans="2:14" ht="15" customHeight="1">
      <c r="C87" s="2680" t="s">
        <v>2211</v>
      </c>
      <c r="D87" s="2680"/>
      <c r="E87" s="2680"/>
      <c r="F87" s="2680"/>
      <c r="G87" s="1038" t="s">
        <v>669</v>
      </c>
      <c r="L87" s="1121" t="str">
        <f>'Points System'!H651</f>
        <v>(i)</v>
      </c>
      <c r="M87" s="2648" t="s">
        <v>1397</v>
      </c>
      <c r="N87" s="2649"/>
    </row>
    <row r="88" spans="2:14" ht="15" customHeight="1">
      <c r="C88" s="2680"/>
      <c r="D88" s="2680"/>
      <c r="E88" s="2680"/>
      <c r="F88" s="2680"/>
      <c r="L88" s="1122" t="str">
        <f>'Points System'!H663</f>
        <v>(ii)</v>
      </c>
      <c r="M88" s="2640" t="s">
        <v>1930</v>
      </c>
      <c r="N88" s="2641"/>
    </row>
    <row r="89" spans="2:14" ht="15" customHeight="1">
      <c r="C89" s="1072"/>
      <c r="L89" s="1122" t="str">
        <f>'Points System'!H698</f>
        <v>(i)</v>
      </c>
      <c r="M89" s="2640" t="s">
        <v>1931</v>
      </c>
      <c r="N89" s="2641"/>
    </row>
    <row r="90" spans="2:14" ht="15" customHeight="1">
      <c r="E90" s="1079" t="s">
        <v>1973</v>
      </c>
      <c r="G90" s="1074" t="b">
        <f>OR(AND(COUNTIFS(G84:G85,"Yes")&gt;=1,G83="Yes"),G87="Yes")</f>
        <v>1</v>
      </c>
      <c r="L90" s="1122" t="str">
        <f>IF(OR('Points System'!H722="(ii)",'Points System'!H722="(i)"),"(i)","N/A")</f>
        <v>N/A</v>
      </c>
      <c r="M90" s="2640" t="s">
        <v>1932</v>
      </c>
      <c r="N90" s="2641"/>
    </row>
    <row r="91" spans="2:14" ht="15" customHeight="1">
      <c r="E91" s="1079"/>
      <c r="G91" s="1074"/>
      <c r="L91" s="1123" t="str">
        <f>'Points System'!H736</f>
        <v>N/A</v>
      </c>
      <c r="M91" s="2640" t="s">
        <v>1423</v>
      </c>
      <c r="N91" s="2641"/>
    </row>
    <row r="92" spans="2:14" ht="15" customHeight="1">
      <c r="E92" s="1079" t="s">
        <v>1918</v>
      </c>
      <c r="G92" s="1073">
        <f>IFERROR(IF($G$87="Yes",30000,INDEX(N83:N85,MATCH(LEFT(G86,17),L83:L85,0))),0)</f>
        <v>30000</v>
      </c>
      <c r="L92" s="1122" t="str">
        <f>'Points System'!H748</f>
        <v>(i)</v>
      </c>
      <c r="M92" s="2640" t="s">
        <v>1933</v>
      </c>
      <c r="N92" s="2641"/>
    </row>
    <row r="93" spans="2:14" ht="15" customHeight="1">
      <c r="E93" s="1079" t="str">
        <f>E110</f>
        <v>Bedroom-Adjusted Low-Income Units</v>
      </c>
      <c r="F93" s="1107" t="s">
        <v>1966</v>
      </c>
      <c r="G93" s="1108">
        <f>G29</f>
        <v>23.3</v>
      </c>
      <c r="L93" s="1122" t="str">
        <f>'Points System'!H764</f>
        <v>(i)</v>
      </c>
      <c r="M93" s="2640" t="s">
        <v>1934</v>
      </c>
      <c r="N93" s="2641"/>
    </row>
    <row r="94" spans="2:14" ht="15" customHeight="1" thickBot="1">
      <c r="D94" s="1041"/>
      <c r="E94" s="1112" t="s">
        <v>2214</v>
      </c>
      <c r="F94" s="1041"/>
      <c r="G94" s="1117">
        <f>G93*G92*G90</f>
        <v>699000</v>
      </c>
      <c r="L94" s="1124" t="str">
        <f>'Points System'!H776</f>
        <v>(i)</v>
      </c>
      <c r="M94" s="2642" t="s">
        <v>1426</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23.3</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6</v>
      </c>
    </row>
    <row r="109" spans="2:9" ht="15" customHeight="1">
      <c r="E109" s="1079" t="s">
        <v>1918</v>
      </c>
      <c r="F109" s="1107" t="s">
        <v>1966</v>
      </c>
      <c r="G109" s="1071">
        <v>4000</v>
      </c>
    </row>
    <row r="110" spans="2:9" ht="15" customHeight="1">
      <c r="E110" s="1079" t="s">
        <v>1970</v>
      </c>
      <c r="F110" s="1107" t="s">
        <v>1966</v>
      </c>
      <c r="G110" s="1120">
        <f>G29</f>
        <v>23.3</v>
      </c>
    </row>
    <row r="111" spans="2:9" ht="15" customHeight="1">
      <c r="E111" s="1112" t="s">
        <v>1935</v>
      </c>
      <c r="F111" s="1041"/>
      <c r="G111" s="1117">
        <f>G108*G109*G110</f>
        <v>559200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466000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t="s">
        <v>545</v>
      </c>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23.3</v>
      </c>
    </row>
    <row r="126" spans="2:7" ht="15">
      <c r="E126" s="1079" t="s">
        <v>1918</v>
      </c>
      <c r="F126" s="1107" t="s">
        <v>1966</v>
      </c>
      <c r="G126" s="1118">
        <v>25000</v>
      </c>
    </row>
    <row r="127" spans="2:7" ht="15">
      <c r="E127" s="1112" t="s">
        <v>1937</v>
      </c>
      <c r="F127" s="1041"/>
      <c r="G127" s="1117">
        <f>G123*G126*G110</f>
        <v>582500</v>
      </c>
    </row>
    <row r="128" spans="2:7">
      <c r="C128" s="1072"/>
      <c r="E128" s="1072"/>
    </row>
    <row r="129" spans="2:9" ht="15">
      <c r="E129" s="1112" t="s">
        <v>2216</v>
      </c>
      <c r="G129" s="1117">
        <f>G127+G115+G111</f>
        <v>1607700</v>
      </c>
    </row>
    <row r="131" spans="2:9" ht="15">
      <c r="B131" s="1061" t="s">
        <v>139</v>
      </c>
      <c r="C131" s="1062"/>
      <c r="D131" s="1062"/>
      <c r="E131" s="1062"/>
      <c r="F131" s="1062"/>
      <c r="G131" s="1062"/>
      <c r="H131" s="1062"/>
      <c r="I131" s="1063"/>
    </row>
    <row r="133" spans="2:9">
      <c r="C133" s="2676" t="s">
        <v>2182</v>
      </c>
      <c r="D133" s="2676"/>
      <c r="E133" s="2676"/>
      <c r="F133" s="2676"/>
    </row>
    <row r="134" spans="2:9">
      <c r="C134" s="2676"/>
      <c r="D134" s="2676"/>
      <c r="E134" s="2676"/>
      <c r="F134" s="2676"/>
      <c r="G134" s="1038" t="s">
        <v>545</v>
      </c>
    </row>
    <row r="135" spans="2:9" ht="14.25" customHeight="1"/>
    <row r="136" spans="2:9">
      <c r="C136" s="1039" t="s">
        <v>2184</v>
      </c>
      <c r="G136" s="2678" t="s">
        <v>2751</v>
      </c>
      <c r="H136" s="2678"/>
    </row>
    <row r="137" spans="2:9">
      <c r="G137" s="2678"/>
      <c r="H137" s="2678"/>
    </row>
    <row r="138" spans="2:9">
      <c r="G138" s="2679"/>
      <c r="H138" s="2679"/>
    </row>
    <row r="140" spans="2:9">
      <c r="C140" s="2676" t="s">
        <v>2594</v>
      </c>
      <c r="D140" s="2676"/>
      <c r="E140" s="2676"/>
      <c r="F140" s="2676"/>
    </row>
    <row r="141" spans="2:9">
      <c r="C141" s="2676"/>
      <c r="D141" s="2676"/>
      <c r="E141" s="2676"/>
      <c r="F141" s="2676"/>
      <c r="G141" s="1038"/>
    </row>
    <row r="142" spans="2:9">
      <c r="C142" s="2676"/>
      <c r="D142" s="2676"/>
      <c r="E142" s="2676"/>
      <c r="F142" s="2676"/>
    </row>
    <row r="144" spans="2:9">
      <c r="C144" s="2676" t="s">
        <v>2593</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5">
      <c r="B149" s="1061" t="s">
        <v>1975</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1974</v>
      </c>
      <c r="G154" s="1073">
        <f>MEDIAN((Application!CU160:CU217))</f>
        <v>560000</v>
      </c>
    </row>
    <row r="155" spans="2:9" ht="15">
      <c r="D155" s="1041"/>
      <c r="E155" s="1112" t="s">
        <v>1976</v>
      </c>
      <c r="F155" s="1128"/>
      <c r="G155" s="1129">
        <f>((G153-G154)/G154)*0.25</f>
        <v>2.1785714285714287E-2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73" t="s">
        <v>2218</v>
      </c>
      <c r="D160" s="2673"/>
      <c r="E160" s="2673"/>
      <c r="F160" s="2673"/>
    </row>
    <row r="161" spans="2:7">
      <c r="B161" s="1040"/>
      <c r="C161" s="2673"/>
      <c r="D161" s="2673"/>
      <c r="E161" s="2673"/>
      <c r="F161" s="2673"/>
      <c r="G161" s="1038" t="s">
        <v>545</v>
      </c>
    </row>
    <row r="162" spans="2:7">
      <c r="B162" s="1040"/>
      <c r="C162" s="1040"/>
      <c r="D162" s="1040"/>
      <c r="E162" s="1040"/>
      <c r="F162" s="1040"/>
    </row>
    <row r="163" spans="2:7">
      <c r="E163" s="1079" t="s">
        <v>2220</v>
      </c>
      <c r="G163" s="1162">
        <v>2437391</v>
      </c>
    </row>
    <row r="165" spans="2:7">
      <c r="E165" s="1079" t="s">
        <v>2222</v>
      </c>
      <c r="G165" s="1161">
        <f>IF(I9=0,0,G163/I9)</f>
        <v>0.17409935714285715</v>
      </c>
    </row>
    <row r="166" spans="2:7">
      <c r="E166" s="1079" t="s">
        <v>2219</v>
      </c>
      <c r="G166" s="1159">
        <f>I9*0.15</f>
        <v>2100000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4" sqref="F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1</v>
      </c>
      <c r="C4" s="1155" t="s">
        <v>385</v>
      </c>
      <c r="D4" s="428">
        <f>Application!O726</f>
        <v>795</v>
      </c>
      <c r="E4" s="429"/>
      <c r="F4" s="1078">
        <v>1840</v>
      </c>
      <c r="G4" s="428">
        <f>F4*B4</f>
        <v>1840</v>
      </c>
      <c r="H4" s="429"/>
      <c r="I4" s="428">
        <f t="shared" ref="I4:I27" si="0">IF(F4=0,"",(F4-D4))</f>
        <v>1045</v>
      </c>
      <c r="J4" s="428">
        <f t="shared" ref="J4:J27" si="1">IF(F4=0,"",(I4*B4))</f>
        <v>1045</v>
      </c>
      <c r="K4" s="204"/>
      <c r="L4" s="305"/>
    </row>
    <row r="5" spans="1:12">
      <c r="A5" s="428" t="str">
        <f>Application!B727</f>
        <v>SRO/Studio</v>
      </c>
      <c r="B5" s="1077">
        <f>Application!G727</f>
        <v>1</v>
      </c>
      <c r="C5" s="1155" t="s">
        <v>385</v>
      </c>
      <c r="D5" s="428">
        <f>Application!O727</f>
        <v>1325</v>
      </c>
      <c r="E5" s="429"/>
      <c r="F5" s="1078">
        <v>1840</v>
      </c>
      <c r="G5" s="428">
        <f t="shared" ref="G5:G38" si="2">F5*B5</f>
        <v>1840</v>
      </c>
      <c r="H5" s="429"/>
      <c r="I5" s="428">
        <f t="shared" si="0"/>
        <v>515</v>
      </c>
      <c r="J5" s="428">
        <f t="shared" si="1"/>
        <v>515</v>
      </c>
      <c r="K5" s="204"/>
      <c r="L5" s="305"/>
    </row>
    <row r="6" spans="1:12">
      <c r="A6" s="428" t="str">
        <f>Application!B728</f>
        <v>1 Bedroom</v>
      </c>
      <c r="B6" s="1077">
        <f>Application!G728</f>
        <v>10</v>
      </c>
      <c r="C6" s="1155" t="s">
        <v>385</v>
      </c>
      <c r="D6" s="428">
        <f>Application!O728</f>
        <v>852</v>
      </c>
      <c r="E6" s="429"/>
      <c r="F6" s="1078">
        <v>2096</v>
      </c>
      <c r="G6" s="428">
        <f t="shared" si="2"/>
        <v>20960</v>
      </c>
      <c r="H6" s="429"/>
      <c r="I6" s="428">
        <f t="shared" si="0"/>
        <v>1244</v>
      </c>
      <c r="J6" s="428">
        <f t="shared" si="1"/>
        <v>12440</v>
      </c>
      <c r="K6" s="204"/>
      <c r="L6" s="305"/>
    </row>
    <row r="7" spans="1:12">
      <c r="A7" s="428" t="str">
        <f>Application!B729</f>
        <v>1 Bedroom</v>
      </c>
      <c r="B7" s="1077">
        <f>Application!G729</f>
        <v>9</v>
      </c>
      <c r="C7" s="1155" t="s">
        <v>385</v>
      </c>
      <c r="D7" s="428">
        <f>Application!O729</f>
        <v>1420</v>
      </c>
      <c r="E7" s="429"/>
      <c r="F7" s="1078">
        <v>2096</v>
      </c>
      <c r="G7" s="428">
        <f t="shared" si="2"/>
        <v>18864</v>
      </c>
      <c r="H7" s="429"/>
      <c r="I7" s="428">
        <f t="shared" si="0"/>
        <v>676</v>
      </c>
      <c r="J7" s="428">
        <f t="shared" si="1"/>
        <v>6084</v>
      </c>
      <c r="K7" s="204"/>
      <c r="L7" s="305"/>
    </row>
    <row r="8" spans="1:12">
      <c r="A8" s="428" t="str">
        <f>Application!B730</f>
        <v>2 Bedrooms</v>
      </c>
      <c r="B8" s="1077">
        <f>Application!G730</f>
        <v>1</v>
      </c>
      <c r="C8" s="1155" t="s">
        <v>385</v>
      </c>
      <c r="D8" s="428">
        <f>Application!O730</f>
        <v>1022</v>
      </c>
      <c r="E8" s="429"/>
      <c r="F8" s="1078">
        <v>2666</v>
      </c>
      <c r="G8" s="428">
        <f t="shared" si="2"/>
        <v>2666</v>
      </c>
      <c r="H8" s="429"/>
      <c r="I8" s="428">
        <f t="shared" si="0"/>
        <v>1644</v>
      </c>
      <c r="J8" s="428">
        <f t="shared" si="1"/>
        <v>1644</v>
      </c>
      <c r="K8" s="204"/>
      <c r="L8" s="305"/>
    </row>
    <row r="9" spans="1:12">
      <c r="A9" s="428" t="str">
        <f>Application!B731</f>
        <v>2 Bedrooms</v>
      </c>
      <c r="B9" s="1077">
        <f>Application!G731</f>
        <v>1</v>
      </c>
      <c r="C9" s="1155" t="s">
        <v>385</v>
      </c>
      <c r="D9" s="428">
        <f>Application!O731</f>
        <v>1703</v>
      </c>
      <c r="E9" s="429"/>
      <c r="F9" s="1078">
        <v>2666</v>
      </c>
      <c r="G9" s="428">
        <f t="shared" si="2"/>
        <v>2666</v>
      </c>
      <c r="H9" s="429"/>
      <c r="I9" s="428">
        <f t="shared" si="0"/>
        <v>963</v>
      </c>
      <c r="J9" s="428">
        <f t="shared" si="1"/>
        <v>963</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26145</v>
      </c>
      <c r="E40" s="429"/>
      <c r="F40" s="429"/>
      <c r="G40" s="432">
        <f>SUM(G4:G38)*12</f>
        <v>586032</v>
      </c>
      <c r="H40" s="433"/>
      <c r="I40" s="431"/>
      <c r="J40" s="432">
        <f>SUM(J4:J38)*12</f>
        <v>272292</v>
      </c>
      <c r="K40" s="204"/>
      <c r="L40" s="306"/>
    </row>
    <row r="41" spans="1:12" ht="15">
      <c r="A41" s="430"/>
      <c r="B41" s="431"/>
      <c r="C41" s="431"/>
      <c r="D41" s="433"/>
      <c r="E41" s="429"/>
      <c r="F41" s="429"/>
      <c r="G41" s="433"/>
      <c r="H41" s="433"/>
      <c r="I41" s="431"/>
      <c r="J41" s="433"/>
      <c r="K41" s="204"/>
      <c r="L41" s="306"/>
    </row>
    <row r="42" spans="1:12">
      <c r="A42" s="304" t="s">
        <v>2207</v>
      </c>
    </row>
    <row r="43" spans="1:12">
      <c r="A43" s="2682" t="s">
        <v>2428</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2208</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zoomScale="85" zoomScaleNormal="85" workbookViewId="0">
      <selection activeCell="N51" sqref="N51"/>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313740</v>
      </c>
      <c r="G4" s="219">
        <f>E4*$C$4</f>
        <v>321583.5</v>
      </c>
      <c r="I4" s="219">
        <f>G4*$C$4</f>
        <v>329623.08749999997</v>
      </c>
      <c r="K4" s="219">
        <f>I4*$C$4</f>
        <v>337863.66468749993</v>
      </c>
      <c r="M4" s="219">
        <f>K4*$C$4</f>
        <v>346310.25630468741</v>
      </c>
      <c r="O4" s="219">
        <f>M4*$C$4</f>
        <v>354968.01271230454</v>
      </c>
      <c r="Q4" s="219">
        <f>O4*$C$4</f>
        <v>363842.21303011209</v>
      </c>
      <c r="S4" s="219">
        <f>Q4*$C$4</f>
        <v>372938.26835586486</v>
      </c>
      <c r="U4" s="219">
        <f>S4*$C$4</f>
        <v>382261.72506476147</v>
      </c>
      <c r="W4" s="219">
        <f>U4*$C$4</f>
        <v>391818.26819138048</v>
      </c>
      <c r="Y4" s="219">
        <f>W4*$C$4</f>
        <v>401613.72489616496</v>
      </c>
      <c r="AA4" s="219">
        <f>Y4*$C$4</f>
        <v>411654.06801856903</v>
      </c>
      <c r="AC4" s="219">
        <f>AA4*$C$4</f>
        <v>421945.41971903323</v>
      </c>
      <c r="AE4" s="219">
        <f>AC4*$C$4</f>
        <v>432494.055212009</v>
      </c>
      <c r="AG4" s="219">
        <f>AE4*$C$4</f>
        <v>443306.40659230918</v>
      </c>
    </row>
    <row r="5" spans="1:34" s="210" customFormat="1" ht="14.25">
      <c r="B5" s="210" t="s">
        <v>838</v>
      </c>
      <c r="C5" s="238">
        <v>0.05</v>
      </c>
      <c r="E5" s="221">
        <f>-E4*$C$5</f>
        <v>-15687</v>
      </c>
      <c r="F5" s="221"/>
      <c r="G5" s="221">
        <f>-G4*$C$5</f>
        <v>-16079.175000000001</v>
      </c>
      <c r="H5" s="221"/>
      <c r="I5" s="221">
        <f>-I4*$C$5</f>
        <v>-16481.154374999998</v>
      </c>
      <c r="J5" s="221"/>
      <c r="K5" s="221">
        <f>-K4*$C$5</f>
        <v>-16893.183234374996</v>
      </c>
      <c r="L5" s="221"/>
      <c r="M5" s="221">
        <f>-M4*$C$5</f>
        <v>-17315.512815234371</v>
      </c>
      <c r="N5" s="221"/>
      <c r="O5" s="221">
        <f>-O4*$C$5</f>
        <v>-17748.400635615228</v>
      </c>
      <c r="P5" s="221"/>
      <c r="Q5" s="221">
        <f>-Q4*$C$5</f>
        <v>-18192.110651505605</v>
      </c>
      <c r="R5" s="221"/>
      <c r="S5" s="221">
        <f>-S4*$C$5</f>
        <v>-18646.913417793243</v>
      </c>
      <c r="T5" s="221"/>
      <c r="U5" s="221">
        <f>-U4*$C$5</f>
        <v>-19113.086253238074</v>
      </c>
      <c r="V5" s="221"/>
      <c r="W5" s="221">
        <f>-W4*$C$5</f>
        <v>-19590.913409569024</v>
      </c>
      <c r="X5" s="221"/>
      <c r="Y5" s="221">
        <f>-Y4*$C$5</f>
        <v>-20080.68624480825</v>
      </c>
      <c r="Z5" s="221"/>
      <c r="AA5" s="221">
        <f>-AA4*$C$5</f>
        <v>-20582.703400928454</v>
      </c>
      <c r="AB5" s="221"/>
      <c r="AC5" s="221">
        <f>-AC4*$C$5</f>
        <v>-21097.270985951662</v>
      </c>
      <c r="AD5" s="221"/>
      <c r="AE5" s="221">
        <f>-AE4*$C$5</f>
        <v>-21624.702760600452</v>
      </c>
      <c r="AF5" s="221"/>
      <c r="AG5" s="221">
        <f>-AG4*$C$5</f>
        <v>-22165.320329615461</v>
      </c>
    </row>
    <row r="6" spans="1:34" s="210" customFormat="1" ht="14.25">
      <c r="A6" s="210" t="s">
        <v>836</v>
      </c>
      <c r="C6" s="237">
        <v>1.0249999999999999</v>
      </c>
      <c r="E6" s="222">
        <f>Application!Z817</f>
        <v>272292</v>
      </c>
      <c r="F6" s="222"/>
      <c r="G6" s="222">
        <f>E6*$C$6</f>
        <v>279099.3</v>
      </c>
      <c r="H6" s="222"/>
      <c r="I6" s="222">
        <f>G6*$C$6</f>
        <v>286076.78249999997</v>
      </c>
      <c r="J6" s="222"/>
      <c r="K6" s="222">
        <f>I6*$C$6</f>
        <v>293228.70206249994</v>
      </c>
      <c r="L6" s="222"/>
      <c r="M6" s="222">
        <f>K6*$C$6</f>
        <v>300559.41961406241</v>
      </c>
      <c r="N6" s="222"/>
      <c r="O6" s="222">
        <f>M6*$C$6</f>
        <v>308073.40510441392</v>
      </c>
      <c r="P6" s="222"/>
      <c r="Q6" s="222">
        <f>O6*$C$6</f>
        <v>315775.24023202423</v>
      </c>
      <c r="R6" s="222"/>
      <c r="S6" s="222">
        <f>Q6*$C$6</f>
        <v>323669.62123782479</v>
      </c>
      <c r="T6" s="222"/>
      <c r="U6" s="222">
        <f>S6*$C$6</f>
        <v>331761.36176877038</v>
      </c>
      <c r="V6" s="222"/>
      <c r="W6" s="222">
        <f>U6*$C$6</f>
        <v>340055.39581298962</v>
      </c>
      <c r="X6" s="222"/>
      <c r="Y6" s="222">
        <f>W6*$C$6</f>
        <v>348556.78070831433</v>
      </c>
      <c r="Z6" s="222"/>
      <c r="AA6" s="222">
        <f>Y6*$C$6</f>
        <v>357270.70022602216</v>
      </c>
      <c r="AB6" s="222"/>
      <c r="AC6" s="222">
        <f>AA6*$C$6</f>
        <v>366202.46773167269</v>
      </c>
      <c r="AD6" s="222"/>
      <c r="AE6" s="222">
        <f>AC6*$C$6</f>
        <v>375357.52942496445</v>
      </c>
      <c r="AF6" s="222"/>
      <c r="AG6" s="222">
        <f>AE6*$C$6</f>
        <v>384741.4676605885</v>
      </c>
    </row>
    <row r="7" spans="1:34" s="210" customFormat="1" ht="14.25">
      <c r="B7" s="210" t="s">
        <v>838</v>
      </c>
      <c r="C7" s="238">
        <v>0.05</v>
      </c>
      <c r="E7" s="221">
        <f>-E6*$C$7</f>
        <v>-13614.6</v>
      </c>
      <c r="F7" s="221"/>
      <c r="G7" s="221">
        <f>-G6*$C$7</f>
        <v>-13954.965</v>
      </c>
      <c r="H7" s="221"/>
      <c r="I7" s="221">
        <f>-I6*$C$7</f>
        <v>-14303.839124999999</v>
      </c>
      <c r="J7" s="221"/>
      <c r="K7" s="221">
        <f>-K6*$C$7</f>
        <v>-14661.435103124997</v>
      </c>
      <c r="L7" s="221"/>
      <c r="M7" s="221">
        <f>-M6*$C$7</f>
        <v>-15027.970980703121</v>
      </c>
      <c r="N7" s="221"/>
      <c r="O7" s="221">
        <f>-O6*$C$7</f>
        <v>-15403.670255220697</v>
      </c>
      <c r="P7" s="221"/>
      <c r="Q7" s="221">
        <f>-Q6*$C$7</f>
        <v>-15788.762011601211</v>
      </c>
      <c r="R7" s="221"/>
      <c r="S7" s="221">
        <f>-S6*$C$7</f>
        <v>-16183.48106189124</v>
      </c>
      <c r="T7" s="221"/>
      <c r="U7" s="221">
        <f>-U6*$C$7</f>
        <v>-16588.068088438518</v>
      </c>
      <c r="V7" s="221"/>
      <c r="W7" s="221">
        <f>-W6*$C$7</f>
        <v>-17002.769790649483</v>
      </c>
      <c r="X7" s="221"/>
      <c r="Y7" s="221">
        <f>-Y6*$C$7</f>
        <v>-17427.839035415716</v>
      </c>
      <c r="Z7" s="221"/>
      <c r="AA7" s="221">
        <f>-AA6*$C$7</f>
        <v>-17863.535011301108</v>
      </c>
      <c r="AB7" s="221"/>
      <c r="AC7" s="221">
        <f>-AC6*$C$7</f>
        <v>-18310.123386583637</v>
      </c>
      <c r="AD7" s="221"/>
      <c r="AE7" s="221">
        <f>-AE6*$C$7</f>
        <v>-18767.876471248223</v>
      </c>
      <c r="AF7" s="221"/>
      <c r="AG7" s="221">
        <f>-AG6*$C$7</f>
        <v>-19237.073383029427</v>
      </c>
    </row>
    <row r="8" spans="1:34" s="210" customFormat="1" ht="14.25">
      <c r="A8" s="210" t="s">
        <v>288</v>
      </c>
      <c r="C8" s="237">
        <v>1.0249999999999999</v>
      </c>
      <c r="E8" s="222">
        <f>Application!Z825</f>
        <v>3450</v>
      </c>
      <c r="F8" s="222"/>
      <c r="G8" s="222">
        <f>E8*$C$8</f>
        <v>3536.2499999999995</v>
      </c>
      <c r="H8" s="222"/>
      <c r="I8" s="222">
        <f>G8*$C$8</f>
        <v>3624.6562499999991</v>
      </c>
      <c r="J8" s="222"/>
      <c r="K8" s="222">
        <f>I8*$C$8</f>
        <v>3715.2726562499988</v>
      </c>
      <c r="L8" s="222"/>
      <c r="M8" s="222">
        <f>K8*$C$8</f>
        <v>3808.1544726562483</v>
      </c>
      <c r="N8" s="222"/>
      <c r="O8" s="222">
        <f>M8*$C$8</f>
        <v>3903.3583344726544</v>
      </c>
      <c r="P8" s="222"/>
      <c r="Q8" s="222">
        <f>O8*$C$8</f>
        <v>4000.9422928344702</v>
      </c>
      <c r="R8" s="222"/>
      <c r="S8" s="222">
        <f>Q8*$C$8</f>
        <v>4100.9658501553313</v>
      </c>
      <c r="T8" s="222"/>
      <c r="U8" s="222">
        <f>S8*$C$8</f>
        <v>4203.4899964092137</v>
      </c>
      <c r="V8" s="222"/>
      <c r="W8" s="222">
        <f>U8*$C$8</f>
        <v>4308.5772463194435</v>
      </c>
      <c r="X8" s="222"/>
      <c r="Y8" s="222">
        <f>W8*$C$8</f>
        <v>4416.2916774774294</v>
      </c>
      <c r="Z8" s="222"/>
      <c r="AA8" s="222">
        <f>Y8*$C$8</f>
        <v>4526.6989694143649</v>
      </c>
      <c r="AB8" s="222"/>
      <c r="AC8" s="222">
        <f>AA8*$C$8</f>
        <v>4639.8664436497238</v>
      </c>
      <c r="AD8" s="222"/>
      <c r="AE8" s="222">
        <f>AC8*$C$8</f>
        <v>4755.8631047409663</v>
      </c>
      <c r="AF8" s="222"/>
      <c r="AG8" s="222">
        <f>AE8*$C$8</f>
        <v>4874.7596823594904</v>
      </c>
    </row>
    <row r="9" spans="1:34" s="210" customFormat="1" ht="14.25">
      <c r="B9" s="210" t="s">
        <v>838</v>
      </c>
      <c r="C9" s="238">
        <v>0.05</v>
      </c>
      <c r="E9" s="221">
        <f>-E8*$C$9</f>
        <v>-172.5</v>
      </c>
      <c r="F9" s="221"/>
      <c r="G9" s="221">
        <f>-G8*$C$9</f>
        <v>-176.8125</v>
      </c>
      <c r="H9" s="221"/>
      <c r="I9" s="221">
        <f>-I8*$C$9</f>
        <v>-181.23281249999997</v>
      </c>
      <c r="J9" s="221"/>
      <c r="K9" s="221">
        <f>-K8*$C$9</f>
        <v>-185.76363281249996</v>
      </c>
      <c r="L9" s="221"/>
      <c r="M9" s="221">
        <f>-M8*$C$9</f>
        <v>-190.40772363281243</v>
      </c>
      <c r="N9" s="221"/>
      <c r="O9" s="221">
        <f>-O8*$C$9</f>
        <v>-195.16791672363274</v>
      </c>
      <c r="P9" s="221"/>
      <c r="Q9" s="221">
        <f>-Q8*$C$9</f>
        <v>-200.04711464172351</v>
      </c>
      <c r="R9" s="221"/>
      <c r="S9" s="221">
        <f>-S8*$C$9</f>
        <v>-205.04829250776658</v>
      </c>
      <c r="T9" s="221"/>
      <c r="U9" s="221">
        <f>-U8*$C$9</f>
        <v>-210.17449982046071</v>
      </c>
      <c r="V9" s="221"/>
      <c r="W9" s="221">
        <f>-W8*$C$9</f>
        <v>-215.4288623159722</v>
      </c>
      <c r="X9" s="221"/>
      <c r="Y9" s="221">
        <f>-Y8*$C$9</f>
        <v>-220.81458387387147</v>
      </c>
      <c r="Z9" s="221"/>
      <c r="AA9" s="221">
        <f>-AA8*$C$9</f>
        <v>-226.33494847071825</v>
      </c>
      <c r="AB9" s="221"/>
      <c r="AC9" s="221">
        <f>-AC8*$C$9</f>
        <v>-231.9933221824862</v>
      </c>
      <c r="AD9" s="221"/>
      <c r="AE9" s="221">
        <f>-AE8*$C$9</f>
        <v>-237.79315523704832</v>
      </c>
      <c r="AF9" s="221"/>
      <c r="AG9" s="221">
        <f>-AG8*$C$9</f>
        <v>-243.73798411797452</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560007.9</v>
      </c>
      <c r="G11" s="223">
        <f>SUM(G4:G10)</f>
        <v>574008.09750000003</v>
      </c>
      <c r="I11" s="223">
        <f>SUM(I4:I10)</f>
        <v>588358.29993750004</v>
      </c>
      <c r="K11" s="223">
        <f>SUM(K4:K10)</f>
        <v>603067.25743593741</v>
      </c>
      <c r="M11" s="223">
        <f>SUM(M4:M10)</f>
        <v>618143.93887183582</v>
      </c>
      <c r="O11" s="223">
        <f>SUM(O4:O10)</f>
        <v>633597.5373436315</v>
      </c>
      <c r="Q11" s="223">
        <f>SUM(Q4:Q10)</f>
        <v>649437.47577722219</v>
      </c>
      <c r="S11" s="223">
        <f>SUM(S4:S10)</f>
        <v>665673.41267165274</v>
      </c>
      <c r="U11" s="223">
        <f>SUM(U4:U10)</f>
        <v>682315.24798844405</v>
      </c>
      <c r="W11" s="223">
        <f>SUM(W4:W10)</f>
        <v>699373.12918815494</v>
      </c>
      <c r="Y11" s="223">
        <f>SUM(Y4:Y10)</f>
        <v>716857.457417859</v>
      </c>
      <c r="AA11" s="223">
        <f>SUM(AA4:AA10)</f>
        <v>734778.89385330537</v>
      </c>
      <c r="AC11" s="223">
        <f>SUM(AC4:AC10)</f>
        <v>753148.366199638</v>
      </c>
      <c r="AE11" s="223">
        <f>SUM(AE4:AE10)</f>
        <v>771977.07535462861</v>
      </c>
      <c r="AG11" s="223">
        <f>SUM(AG4:AG10)</f>
        <v>791276.50223849446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25942</v>
      </c>
      <c r="G15" s="219">
        <f>E15*$C$14</f>
        <v>26849.969999999998</v>
      </c>
      <c r="I15" s="219">
        <f>G15*$C$14</f>
        <v>27789.718949999995</v>
      </c>
      <c r="K15" s="219">
        <f>I15*$C$14</f>
        <v>28762.359113249993</v>
      </c>
      <c r="M15" s="219">
        <f>K15*$C$14</f>
        <v>29769.041682213741</v>
      </c>
      <c r="O15" s="219">
        <f>M15*$C$14</f>
        <v>30810.958141091221</v>
      </c>
      <c r="Q15" s="219">
        <f>O15*$C$14</f>
        <v>31889.341676029413</v>
      </c>
      <c r="S15" s="219">
        <f>Q15*$C$14</f>
        <v>33005.468634690442</v>
      </c>
      <c r="U15" s="219">
        <f>S15*$C$14</f>
        <v>34160.660036904606</v>
      </c>
      <c r="W15" s="219">
        <f>U15*$C$14</f>
        <v>35356.283138196268</v>
      </c>
      <c r="Y15" s="219">
        <f>W15*$C$14</f>
        <v>36593.753048033133</v>
      </c>
      <c r="AA15" s="219">
        <f>Y15*$C$14</f>
        <v>37874.534404714293</v>
      </c>
      <c r="AC15" s="219">
        <f>AA15*$C$14</f>
        <v>39200.143108879289</v>
      </c>
      <c r="AE15" s="219">
        <f>AC15*$C$14</f>
        <v>40572.148117690063</v>
      </c>
      <c r="AG15" s="219">
        <f>AE15*$C$14</f>
        <v>41992.173301809213</v>
      </c>
    </row>
    <row r="16" spans="1:34" s="210" customFormat="1" ht="14.25">
      <c r="A16" s="210" t="s">
        <v>344</v>
      </c>
      <c r="C16" s="233"/>
      <c r="E16" s="222">
        <f>Application!W857</f>
        <v>24792</v>
      </c>
      <c r="F16" s="222"/>
      <c r="G16" s="222">
        <f t="shared" ref="G16:AG21" si="0">E16*$C$14</f>
        <v>25659.719999999998</v>
      </c>
      <c r="H16" s="222"/>
      <c r="I16" s="222">
        <f t="shared" si="0"/>
        <v>26557.810199999996</v>
      </c>
      <c r="J16" s="222"/>
      <c r="K16" s="222">
        <f t="shared" si="0"/>
        <v>27487.333556999994</v>
      </c>
      <c r="L16" s="222"/>
      <c r="M16" s="222">
        <f t="shared" si="0"/>
        <v>28449.390231494992</v>
      </c>
      <c r="N16" s="222"/>
      <c r="O16" s="222">
        <f t="shared" si="0"/>
        <v>29445.118889597314</v>
      </c>
      <c r="P16" s="222"/>
      <c r="Q16" s="222">
        <f t="shared" si="0"/>
        <v>30475.698050733215</v>
      </c>
      <c r="R16" s="222"/>
      <c r="S16" s="222">
        <f t="shared" si="0"/>
        <v>31542.347482508874</v>
      </c>
      <c r="T16" s="222"/>
      <c r="U16" s="222">
        <f t="shared" si="0"/>
        <v>32646.329644396683</v>
      </c>
      <c r="V16" s="222"/>
      <c r="W16" s="222">
        <f t="shared" si="0"/>
        <v>33788.951181950564</v>
      </c>
      <c r="X16" s="222"/>
      <c r="Y16" s="222">
        <f t="shared" si="0"/>
        <v>34971.564473318831</v>
      </c>
      <c r="Z16" s="222"/>
      <c r="AA16" s="222">
        <f t="shared" si="0"/>
        <v>36195.56922988499</v>
      </c>
      <c r="AB16" s="222"/>
      <c r="AC16" s="222">
        <f t="shared" si="0"/>
        <v>37462.414152930964</v>
      </c>
      <c r="AD16" s="222"/>
      <c r="AE16" s="222">
        <f t="shared" si="0"/>
        <v>38773.598648283543</v>
      </c>
      <c r="AF16" s="222"/>
      <c r="AG16" s="222">
        <f t="shared" si="0"/>
        <v>40130.674600973463</v>
      </c>
    </row>
    <row r="17" spans="1:33" s="210" customFormat="1" ht="14.25">
      <c r="A17" s="210" t="s">
        <v>561</v>
      </c>
      <c r="C17" s="233"/>
      <c r="E17" s="222">
        <f>Application!W863</f>
        <v>23198</v>
      </c>
      <c r="F17" s="222"/>
      <c r="G17" s="222">
        <f t="shared" si="0"/>
        <v>24009.929999999997</v>
      </c>
      <c r="H17" s="222"/>
      <c r="I17" s="222">
        <f t="shared" si="0"/>
        <v>24850.277549999995</v>
      </c>
      <c r="J17" s="222"/>
      <c r="K17" s="222">
        <f t="shared" si="0"/>
        <v>25720.037264249993</v>
      </c>
      <c r="L17" s="222"/>
      <c r="M17" s="222">
        <f t="shared" si="0"/>
        <v>26620.238568498742</v>
      </c>
      <c r="N17" s="222"/>
      <c r="O17" s="222">
        <f t="shared" si="0"/>
        <v>27551.946918396196</v>
      </c>
      <c r="P17" s="222"/>
      <c r="Q17" s="222">
        <f t="shared" si="0"/>
        <v>28516.265060540059</v>
      </c>
      <c r="R17" s="222"/>
      <c r="S17" s="222">
        <f t="shared" si="0"/>
        <v>29514.334337658958</v>
      </c>
      <c r="T17" s="222"/>
      <c r="U17" s="222">
        <f t="shared" si="0"/>
        <v>30547.336039477021</v>
      </c>
      <c r="V17" s="222"/>
      <c r="W17" s="222">
        <f t="shared" si="0"/>
        <v>31616.492800858712</v>
      </c>
      <c r="X17" s="222"/>
      <c r="Y17" s="222">
        <f t="shared" si="0"/>
        <v>32723.070048888763</v>
      </c>
      <c r="Z17" s="222"/>
      <c r="AA17" s="222">
        <f t="shared" si="0"/>
        <v>33868.377500599869</v>
      </c>
      <c r="AB17" s="222"/>
      <c r="AC17" s="222">
        <f t="shared" si="0"/>
        <v>35053.770713120859</v>
      </c>
      <c r="AD17" s="222"/>
      <c r="AE17" s="222">
        <f t="shared" si="0"/>
        <v>36280.652688080088</v>
      </c>
      <c r="AF17" s="222"/>
      <c r="AG17" s="222">
        <f t="shared" si="0"/>
        <v>37550.475532162891</v>
      </c>
    </row>
    <row r="18" spans="1:33" s="210" customFormat="1" ht="14.25">
      <c r="A18" s="210" t="s">
        <v>842</v>
      </c>
      <c r="C18" s="233"/>
      <c r="E18" s="222">
        <f>Application!W870</f>
        <v>60369</v>
      </c>
      <c r="F18" s="222"/>
      <c r="G18" s="222">
        <f t="shared" si="0"/>
        <v>62481.914999999994</v>
      </c>
      <c r="H18" s="222"/>
      <c r="I18" s="222">
        <f t="shared" si="0"/>
        <v>64668.782024999986</v>
      </c>
      <c r="J18" s="222"/>
      <c r="K18" s="222">
        <f t="shared" si="0"/>
        <v>66932.189395874986</v>
      </c>
      <c r="L18" s="222"/>
      <c r="M18" s="222">
        <f t="shared" si="0"/>
        <v>69274.816024730608</v>
      </c>
      <c r="N18" s="222"/>
      <c r="O18" s="222">
        <f t="shared" si="0"/>
        <v>71699.434585596173</v>
      </c>
      <c r="P18" s="222"/>
      <c r="Q18" s="222">
        <f t="shared" si="0"/>
        <v>74208.914796092038</v>
      </c>
      <c r="R18" s="222"/>
      <c r="S18" s="222">
        <f t="shared" si="0"/>
        <v>76806.226813955247</v>
      </c>
      <c r="T18" s="222"/>
      <c r="U18" s="222">
        <f t="shared" si="0"/>
        <v>79494.444752443669</v>
      </c>
      <c r="V18" s="222"/>
      <c r="W18" s="222">
        <f t="shared" si="0"/>
        <v>82276.750318779188</v>
      </c>
      <c r="X18" s="222"/>
      <c r="Y18" s="222">
        <f t="shared" si="0"/>
        <v>85156.436579936446</v>
      </c>
      <c r="Z18" s="222"/>
      <c r="AA18" s="222">
        <f t="shared" si="0"/>
        <v>88136.911860234221</v>
      </c>
      <c r="AB18" s="222"/>
      <c r="AC18" s="222">
        <f t="shared" si="0"/>
        <v>91221.703775342408</v>
      </c>
      <c r="AD18" s="222"/>
      <c r="AE18" s="222">
        <f t="shared" si="0"/>
        <v>94414.463407479387</v>
      </c>
      <c r="AF18" s="222"/>
      <c r="AG18" s="222">
        <f t="shared" si="0"/>
        <v>97718.969626741164</v>
      </c>
    </row>
    <row r="19" spans="1:33" s="210" customFormat="1" ht="14.25">
      <c r="A19" s="210" t="s">
        <v>155</v>
      </c>
      <c r="C19" s="233"/>
      <c r="E19" s="222">
        <f>Application!W872</f>
        <v>18713</v>
      </c>
      <c r="F19" s="222"/>
      <c r="G19" s="222">
        <f t="shared" si="0"/>
        <v>19367.954999999998</v>
      </c>
      <c r="H19" s="222"/>
      <c r="I19" s="222">
        <f t="shared" si="0"/>
        <v>20045.833424999997</v>
      </c>
      <c r="J19" s="222"/>
      <c r="K19" s="222">
        <f t="shared" si="0"/>
        <v>20747.437594874995</v>
      </c>
      <c r="L19" s="222"/>
      <c r="M19" s="222">
        <f t="shared" si="0"/>
        <v>21473.597910695618</v>
      </c>
      <c r="N19" s="222"/>
      <c r="O19" s="222">
        <f t="shared" si="0"/>
        <v>22225.173837569964</v>
      </c>
      <c r="P19" s="222"/>
      <c r="Q19" s="222">
        <f t="shared" si="0"/>
        <v>23003.054921884912</v>
      </c>
      <c r="R19" s="222"/>
      <c r="S19" s="222">
        <f t="shared" si="0"/>
        <v>23808.161844150884</v>
      </c>
      <c r="T19" s="222"/>
      <c r="U19" s="222">
        <f t="shared" si="0"/>
        <v>24641.447508696161</v>
      </c>
      <c r="V19" s="222"/>
      <c r="W19" s="222">
        <f t="shared" si="0"/>
        <v>25503.898171500525</v>
      </c>
      <c r="X19" s="222"/>
      <c r="Y19" s="222">
        <f t="shared" si="0"/>
        <v>26396.534607503039</v>
      </c>
      <c r="Z19" s="222"/>
      <c r="AA19" s="222">
        <f t="shared" si="0"/>
        <v>27320.413318765644</v>
      </c>
      <c r="AB19" s="222"/>
      <c r="AC19" s="222">
        <f t="shared" si="0"/>
        <v>28276.627784922439</v>
      </c>
      <c r="AD19" s="222"/>
      <c r="AE19" s="222">
        <f t="shared" si="0"/>
        <v>29266.309757394723</v>
      </c>
      <c r="AF19" s="222"/>
      <c r="AG19" s="222">
        <f t="shared" si="0"/>
        <v>30290.630598903535</v>
      </c>
    </row>
    <row r="20" spans="1:33" s="210" customFormat="1" ht="14.25">
      <c r="A20" s="210" t="s">
        <v>390</v>
      </c>
      <c r="C20" s="233"/>
      <c r="E20" s="222">
        <f>Application!W881</f>
        <v>26257</v>
      </c>
      <c r="F20" s="222"/>
      <c r="G20" s="222">
        <f t="shared" si="0"/>
        <v>27175.994999999999</v>
      </c>
      <c r="H20" s="222"/>
      <c r="I20" s="222">
        <f t="shared" si="0"/>
        <v>28127.154824999998</v>
      </c>
      <c r="J20" s="222"/>
      <c r="K20" s="222">
        <f t="shared" si="0"/>
        <v>29111.605243874994</v>
      </c>
      <c r="L20" s="222"/>
      <c r="M20" s="222">
        <f t="shared" si="0"/>
        <v>30130.511427410616</v>
      </c>
      <c r="N20" s="222"/>
      <c r="O20" s="222">
        <f t="shared" si="0"/>
        <v>31185.079327369986</v>
      </c>
      <c r="P20" s="222"/>
      <c r="Q20" s="222">
        <f t="shared" si="0"/>
        <v>32276.557103827934</v>
      </c>
      <c r="R20" s="222"/>
      <c r="S20" s="222">
        <f t="shared" si="0"/>
        <v>33406.236602461911</v>
      </c>
      <c r="T20" s="222"/>
      <c r="U20" s="222">
        <f t="shared" si="0"/>
        <v>34575.454883548075</v>
      </c>
      <c r="V20" s="222"/>
      <c r="W20" s="222">
        <f t="shared" si="0"/>
        <v>35785.595804472257</v>
      </c>
      <c r="X20" s="222"/>
      <c r="Y20" s="222">
        <f t="shared" si="0"/>
        <v>37038.091657628785</v>
      </c>
      <c r="Z20" s="222"/>
      <c r="AA20" s="222">
        <f t="shared" si="0"/>
        <v>38334.424865645793</v>
      </c>
      <c r="AB20" s="222"/>
      <c r="AC20" s="222">
        <f t="shared" si="0"/>
        <v>39676.129735943396</v>
      </c>
      <c r="AD20" s="222"/>
      <c r="AE20" s="222">
        <f t="shared" si="0"/>
        <v>41064.79427670141</v>
      </c>
      <c r="AF20" s="222"/>
      <c r="AG20" s="222">
        <f t="shared" si="0"/>
        <v>42502.062076385955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179271</v>
      </c>
      <c r="G22" s="223">
        <f>SUM(G15:G21)</f>
        <v>185545.48499999996</v>
      </c>
      <c r="I22" s="223">
        <f>SUM(I15:I21)</f>
        <v>192039.57697499997</v>
      </c>
      <c r="K22" s="223">
        <f>SUM(K15:K21)</f>
        <v>198760.96216912498</v>
      </c>
      <c r="M22" s="223">
        <f>SUM(M15:M21)</f>
        <v>205717.5958450443</v>
      </c>
      <c r="O22" s="223">
        <f>SUM(O15:O21)</f>
        <v>212917.71169962082</v>
      </c>
      <c r="Q22" s="223">
        <f>SUM(Q15:Q21)</f>
        <v>220369.83160910755</v>
      </c>
      <c r="S22" s="223">
        <f>SUM(S15:S21)</f>
        <v>228082.77571542631</v>
      </c>
      <c r="U22" s="223">
        <f>SUM(U15:U21)</f>
        <v>236065.67286546621</v>
      </c>
      <c r="W22" s="223">
        <f>SUM(W15:W21)</f>
        <v>244327.97141575752</v>
      </c>
      <c r="Y22" s="223">
        <f>SUM(Y15:Y21)</f>
        <v>252879.45041530899</v>
      </c>
      <c r="AA22" s="223">
        <f>SUM(AA15:AA21)</f>
        <v>261730.23117984479</v>
      </c>
      <c r="AC22" s="223">
        <f>SUM(AC15:AC21)</f>
        <v>270890.78927113937</v>
      </c>
      <c r="AE22" s="223">
        <f>SUM(AE15:AE21)</f>
        <v>280371.96689562919</v>
      </c>
      <c r="AG22" s="223">
        <f>SUM(AG15:AG21)</f>
        <v>290184.98573697626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37472</v>
      </c>
      <c r="F27" s="222"/>
      <c r="G27" s="222">
        <f>E27*$C$27</f>
        <v>38783.519999999997</v>
      </c>
      <c r="H27" s="222"/>
      <c r="I27" s="222">
        <f>G27*$C$27</f>
        <v>40140.943199999994</v>
      </c>
      <c r="J27" s="222"/>
      <c r="K27" s="222">
        <f>I27*$C$27</f>
        <v>41545.876211999988</v>
      </c>
      <c r="L27" s="222"/>
      <c r="M27" s="222">
        <f>K27*$C$27</f>
        <v>42999.981879419982</v>
      </c>
      <c r="N27" s="222"/>
      <c r="O27" s="222">
        <f>M27*$C$27</f>
        <v>44504.981245199677</v>
      </c>
      <c r="P27" s="222"/>
      <c r="Q27" s="222">
        <f>O27*$C$27</f>
        <v>46062.655588781665</v>
      </c>
      <c r="R27" s="222"/>
      <c r="S27" s="222">
        <f>Q27*$C$27</f>
        <v>47674.848534389021</v>
      </c>
      <c r="T27" s="222"/>
      <c r="U27" s="222">
        <f>S27*$C$27</f>
        <v>49343.46823309263</v>
      </c>
      <c r="V27" s="222"/>
      <c r="W27" s="222">
        <f>U27*$C$27</f>
        <v>51070.489621250868</v>
      </c>
      <c r="X27" s="222"/>
      <c r="Y27" s="222">
        <f>W27*$C$27</f>
        <v>52857.956757994645</v>
      </c>
      <c r="Z27" s="222"/>
      <c r="AA27" s="222">
        <f>Y27*$C$27</f>
        <v>54707.985244524454</v>
      </c>
      <c r="AB27" s="222"/>
      <c r="AC27" s="222">
        <f>AA27*$C$27</f>
        <v>56622.764728082802</v>
      </c>
      <c r="AD27" s="222"/>
      <c r="AE27" s="222">
        <f>AC27*$C$27</f>
        <v>58604.561493565699</v>
      </c>
      <c r="AF27" s="222"/>
      <c r="AG27" s="222">
        <f>AE27*$C$27</f>
        <v>60655.721145840493</v>
      </c>
    </row>
    <row r="28" spans="1:33" s="210" customFormat="1" ht="14.25">
      <c r="A28" s="210" t="s">
        <v>846</v>
      </c>
      <c r="C28" s="237"/>
      <c r="E28" s="222">
        <f>Application!AC898</f>
        <v>12000</v>
      </c>
      <c r="F28" s="222"/>
      <c r="G28" s="222">
        <f>$E$28</f>
        <v>12000</v>
      </c>
      <c r="H28" s="222"/>
      <c r="I28" s="222">
        <f>$E$28</f>
        <v>12000</v>
      </c>
      <c r="J28" s="222"/>
      <c r="K28" s="222">
        <f>$E$28</f>
        <v>12000</v>
      </c>
      <c r="L28" s="222"/>
      <c r="M28" s="222">
        <f>$E$28</f>
        <v>12000</v>
      </c>
      <c r="N28" s="222"/>
      <c r="O28" s="222">
        <f>$E$28</f>
        <v>12000</v>
      </c>
      <c r="P28" s="222"/>
      <c r="Q28" s="222">
        <f>$E$28</f>
        <v>12000</v>
      </c>
      <c r="R28" s="222"/>
      <c r="S28" s="222">
        <f>$E$28</f>
        <v>12000</v>
      </c>
      <c r="T28" s="222"/>
      <c r="U28" s="222">
        <f>$E$28</f>
        <v>12000</v>
      </c>
      <c r="V28" s="222"/>
      <c r="W28" s="222">
        <f>$E$28</f>
        <v>12000</v>
      </c>
      <c r="X28" s="222"/>
      <c r="Y28" s="222">
        <f>$E$28</f>
        <v>12000</v>
      </c>
      <c r="Z28" s="222"/>
      <c r="AA28" s="222">
        <f>$E$28</f>
        <v>12000</v>
      </c>
      <c r="AB28" s="222"/>
      <c r="AC28" s="222">
        <f>$E$28</f>
        <v>12000</v>
      </c>
      <c r="AD28" s="222"/>
      <c r="AE28" s="222">
        <f>$E$28</f>
        <v>12000</v>
      </c>
      <c r="AF28" s="222"/>
      <c r="AG28" s="222">
        <f>$E$28</f>
        <v>12000</v>
      </c>
    </row>
    <row r="29" spans="1:33" s="210" customFormat="1" ht="14.25">
      <c r="A29" s="210" t="s">
        <v>1669</v>
      </c>
      <c r="C29" s="237"/>
      <c r="E29" s="222">
        <f>Application!AC899</f>
        <v>3251</v>
      </c>
      <c r="F29" s="222"/>
      <c r="G29" s="222">
        <f>$E$29</f>
        <v>3251</v>
      </c>
      <c r="H29" s="222"/>
      <c r="I29" s="222">
        <f>$E$29</f>
        <v>3251</v>
      </c>
      <c r="J29" s="222"/>
      <c r="K29" s="222">
        <f>$E$29</f>
        <v>3251</v>
      </c>
      <c r="L29" s="222"/>
      <c r="M29" s="222">
        <f>$E$29</f>
        <v>3251</v>
      </c>
      <c r="N29" s="222"/>
      <c r="O29" s="222">
        <f>$E$29</f>
        <v>3251</v>
      </c>
      <c r="P29" s="222"/>
      <c r="Q29" s="222">
        <f>$E$29</f>
        <v>3251</v>
      </c>
      <c r="R29" s="222"/>
      <c r="S29" s="222">
        <f>$E$29</f>
        <v>3251</v>
      </c>
      <c r="T29" s="222"/>
      <c r="U29" s="222">
        <f>$E$29</f>
        <v>3251</v>
      </c>
      <c r="V29" s="222"/>
      <c r="W29" s="222">
        <f>$E$29</f>
        <v>3251</v>
      </c>
      <c r="X29" s="222"/>
      <c r="Y29" s="222">
        <f>$E$29</f>
        <v>3251</v>
      </c>
      <c r="Z29" s="222"/>
      <c r="AA29" s="222">
        <f>$E$29</f>
        <v>3251</v>
      </c>
      <c r="AB29" s="222"/>
      <c r="AC29" s="222">
        <f>$E$29</f>
        <v>3251</v>
      </c>
      <c r="AD29" s="222"/>
      <c r="AE29" s="222">
        <f>$E$29</f>
        <v>3251</v>
      </c>
      <c r="AF29" s="222"/>
      <c r="AG29" s="222">
        <f>$E$29</f>
        <v>3251</v>
      </c>
    </row>
    <row r="30" spans="1:33" s="210" customFormat="1" ht="14.25">
      <c r="A30" s="210" t="s">
        <v>844</v>
      </c>
      <c r="C30" s="237">
        <v>1.02</v>
      </c>
      <c r="E30" s="222">
        <f>Application!AC900</f>
        <v>2700</v>
      </c>
      <c r="F30" s="222"/>
      <c r="G30" s="222">
        <f>E30*$C$30</f>
        <v>2754</v>
      </c>
      <c r="H30" s="222"/>
      <c r="I30" s="222">
        <f>G30*$C$30</f>
        <v>2809.08</v>
      </c>
      <c r="J30" s="222"/>
      <c r="K30" s="222">
        <f>I30*$C$30</f>
        <v>2865.2615999999998</v>
      </c>
      <c r="L30" s="222"/>
      <c r="M30" s="222">
        <f>K30*$C$30</f>
        <v>2922.566832</v>
      </c>
      <c r="N30" s="222"/>
      <c r="O30" s="222">
        <f>M30*$C$30</f>
        <v>2981.0181686400001</v>
      </c>
      <c r="P30" s="222"/>
      <c r="Q30" s="222">
        <f>O30*$C$30</f>
        <v>3040.6385320128002</v>
      </c>
      <c r="R30" s="222"/>
      <c r="S30" s="222">
        <f>Q30*$C$30</f>
        <v>3101.4513026530562</v>
      </c>
      <c r="T30" s="222"/>
      <c r="U30" s="222">
        <f>S30*$C$30</f>
        <v>3163.4803287061172</v>
      </c>
      <c r="V30" s="222"/>
      <c r="W30" s="222">
        <f>U30*$C$30</f>
        <v>3226.7499352802397</v>
      </c>
      <c r="X30" s="222"/>
      <c r="Y30" s="222">
        <f>W30*$C$30</f>
        <v>3291.2849339858444</v>
      </c>
      <c r="Z30" s="222"/>
      <c r="AA30" s="222">
        <f>Y30*$C$30</f>
        <v>3357.1106326655613</v>
      </c>
      <c r="AB30" s="222"/>
      <c r="AC30" s="222">
        <f>AA30*$C$30</f>
        <v>3424.2528453188725</v>
      </c>
      <c r="AD30" s="222"/>
      <c r="AE30" s="222">
        <f>AC30*$C$30</f>
        <v>3492.7379022252499</v>
      </c>
      <c r="AF30" s="222"/>
      <c r="AG30" s="222">
        <f>AE30*$C$30</f>
        <v>3562.592660269755</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Bond Issuer Fees</v>
      </c>
      <c r="C32" s="316">
        <v>1.0349999999999999</v>
      </c>
      <c r="E32" s="222">
        <f>Application!AC903</f>
        <v>17500</v>
      </c>
      <c r="F32" s="222"/>
      <c r="G32" s="222">
        <f>E32*$C$32</f>
        <v>18112.5</v>
      </c>
      <c r="H32" s="222"/>
      <c r="I32" s="222">
        <f>G32*$C$32</f>
        <v>18746.4375</v>
      </c>
      <c r="J32" s="222"/>
      <c r="K32" s="222">
        <f>I32*$C$32</f>
        <v>19402.5628125</v>
      </c>
      <c r="L32" s="222"/>
      <c r="M32" s="222">
        <f>K32*$C$32</f>
        <v>20081.6525109375</v>
      </c>
      <c r="N32" s="222"/>
      <c r="O32" s="222">
        <f>M32*$C$32</f>
        <v>20784.510348820309</v>
      </c>
      <c r="P32" s="222"/>
      <c r="Q32" s="222">
        <f>O32*$C$32</f>
        <v>21511.96821102902</v>
      </c>
      <c r="R32" s="222"/>
      <c r="S32" s="222">
        <f>Q32*$C$32</f>
        <v>22264.887098415034</v>
      </c>
      <c r="T32" s="222"/>
      <c r="U32" s="222">
        <f>S32*$C$32</f>
        <v>23044.158146859558</v>
      </c>
      <c r="V32" s="222"/>
      <c r="W32" s="222">
        <f>U32*$C$32</f>
        <v>23850.703681999639</v>
      </c>
      <c r="X32" s="222"/>
      <c r="Y32" s="222">
        <f>W32*$C$32</f>
        <v>24685.478310869625</v>
      </c>
      <c r="Z32" s="222"/>
      <c r="AA32" s="222">
        <f>Y32*$C$32</f>
        <v>25549.470051750061</v>
      </c>
      <c r="AB32" s="222"/>
      <c r="AC32" s="222">
        <f>AA32*$C$32</f>
        <v>26443.701503561311</v>
      </c>
      <c r="AD32" s="222"/>
      <c r="AE32" s="222">
        <f>AC32*$C$32</f>
        <v>27369.231056185956</v>
      </c>
      <c r="AF32" s="222"/>
      <c r="AG32" s="222">
        <f>AE32*$C$32</f>
        <v>28327.154143152464</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252194</v>
      </c>
      <c r="G35" s="223">
        <f>SUM(G22:G33)</f>
        <v>260446.50499999995</v>
      </c>
      <c r="I35" s="223">
        <f>SUM(I22:I33)</f>
        <v>268987.03767499991</v>
      </c>
      <c r="K35" s="223">
        <f>SUM(K22:K33)</f>
        <v>277825.66279362497</v>
      </c>
      <c r="M35" s="223">
        <f>SUM(M22:M33)</f>
        <v>286972.79706740176</v>
      </c>
      <c r="O35" s="223">
        <f>SUM(O22:O33)</f>
        <v>296439.22146228078</v>
      </c>
      <c r="Q35" s="223">
        <f>SUM(Q22:Q33)</f>
        <v>306236.09394093108</v>
      </c>
      <c r="S35" s="223">
        <f>SUM(S22:S33)</f>
        <v>316374.96265088348</v>
      </c>
      <c r="U35" s="223">
        <f>SUM(U22:U33)</f>
        <v>326867.77957412449</v>
      </c>
      <c r="W35" s="223">
        <f>SUM(W22:W33)</f>
        <v>337726.91465428827</v>
      </c>
      <c r="Y35" s="223">
        <f>SUM(Y22:Y33)</f>
        <v>348965.1704181591</v>
      </c>
      <c r="AA35" s="223">
        <f>SUM(AA22:AA33)</f>
        <v>360595.7971087849</v>
      </c>
      <c r="AC35" s="223">
        <f>SUM(AC22:AC33)</f>
        <v>372632.50834810233</v>
      </c>
      <c r="AE35" s="223">
        <f>SUM(AE22:AE33)</f>
        <v>385089.49734760605</v>
      </c>
      <c r="AG35" s="223">
        <f>SUM(AG22:AG33)</f>
        <v>397981.45368623897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307813.90000000002</v>
      </c>
      <c r="G37" s="223">
        <f>G11-G35</f>
        <v>313561.59250000009</v>
      </c>
      <c r="I37" s="223">
        <f>I11-I35</f>
        <v>319371.26226250012</v>
      </c>
      <c r="K37" s="223">
        <f>K11-K35</f>
        <v>325241.59464231244</v>
      </c>
      <c r="M37" s="223">
        <f>M11-M35</f>
        <v>331171.14180443407</v>
      </c>
      <c r="O37" s="223">
        <f>O11-O35</f>
        <v>337158.31588135072</v>
      </c>
      <c r="Q37" s="223">
        <f>Q11-Q35</f>
        <v>343201.38183629111</v>
      </c>
      <c r="S37" s="223">
        <f>S11-S35</f>
        <v>349298.45002076926</v>
      </c>
      <c r="U37" s="223">
        <f>U11-U35</f>
        <v>355447.46841431956</v>
      </c>
      <c r="W37" s="223">
        <f>W11-W35</f>
        <v>361646.21453386667</v>
      </c>
      <c r="Y37" s="223">
        <f>Y11-Y35</f>
        <v>367892.28699969989</v>
      </c>
      <c r="AA37" s="223">
        <f>AA11-AA35</f>
        <v>374183.09674452047</v>
      </c>
      <c r="AC37" s="223">
        <f>AC11-AC35</f>
        <v>380515.85785153566</v>
      </c>
      <c r="AE37" s="223">
        <f>AE11-AE35</f>
        <v>386887.57800702256</v>
      </c>
      <c r="AG37" s="223">
        <f>AG11-AG35</f>
        <v>393295.0485522555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Citibank</v>
      </c>
      <c r="B40" s="226"/>
      <c r="C40" s="220"/>
      <c r="E40" s="222">
        <f>Application!AF635</f>
        <v>258968.61962753115</v>
      </c>
      <c r="F40" s="222"/>
      <c r="G40" s="222">
        <f>$E$40</f>
        <v>258968.61962753115</v>
      </c>
      <c r="H40" s="222"/>
      <c r="I40" s="222">
        <f>$E$40</f>
        <v>258968.61962753115</v>
      </c>
      <c r="J40" s="222"/>
      <c r="K40" s="222">
        <f>$E$40</f>
        <v>258968.61962753115</v>
      </c>
      <c r="L40" s="222"/>
      <c r="M40" s="222">
        <f>$E$40</f>
        <v>258968.61962753115</v>
      </c>
      <c r="N40" s="222"/>
      <c r="O40" s="222">
        <f>$E$40</f>
        <v>258968.61962753115</v>
      </c>
      <c r="P40" s="222"/>
      <c r="Q40" s="222">
        <f>$E$40</f>
        <v>258968.61962753115</v>
      </c>
      <c r="R40" s="222"/>
      <c r="S40" s="222">
        <f>$E$40</f>
        <v>258968.61962753115</v>
      </c>
      <c r="T40" s="222"/>
      <c r="U40" s="222">
        <f>$E$40</f>
        <v>258968.61962753115</v>
      </c>
      <c r="V40" s="222"/>
      <c r="W40" s="222">
        <f>$E$40</f>
        <v>258968.61962753115</v>
      </c>
      <c r="X40" s="222"/>
      <c r="Y40" s="222">
        <f>$E$40</f>
        <v>258968.61962753115</v>
      </c>
      <c r="Z40" s="222"/>
      <c r="AA40" s="222">
        <f>$E$40</f>
        <v>258968.61962753115</v>
      </c>
      <c r="AB40" s="222"/>
      <c r="AC40" s="222">
        <f>$E$40</f>
        <v>258968.61962753115</v>
      </c>
      <c r="AD40" s="222"/>
      <c r="AE40" s="222">
        <f>$E$40</f>
        <v>258968.61962753115</v>
      </c>
      <c r="AF40" s="222"/>
      <c r="AG40" s="222">
        <f>$E$40</f>
        <v>258968.61962753115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258968.61962753115</v>
      </c>
      <c r="G43" s="223">
        <f>SUM(G40:G42)</f>
        <v>258968.61962753115</v>
      </c>
      <c r="I43" s="223">
        <f>SUM(I40:I42)</f>
        <v>258968.61962753115</v>
      </c>
      <c r="K43" s="223">
        <f>SUM(K40:K42)</f>
        <v>258968.61962753115</v>
      </c>
      <c r="M43" s="223">
        <f>SUM(M40:M42)</f>
        <v>258968.61962753115</v>
      </c>
      <c r="O43" s="223">
        <f>SUM(O40:O42)</f>
        <v>258968.61962753115</v>
      </c>
      <c r="Q43" s="223">
        <f>SUM(Q40:Q42)</f>
        <v>258968.61962753115</v>
      </c>
      <c r="S43" s="223">
        <f>SUM(S40:S42)</f>
        <v>258968.61962753115</v>
      </c>
      <c r="U43" s="223">
        <f>SUM(U40:U42)</f>
        <v>258968.61962753115</v>
      </c>
      <c r="W43" s="223">
        <f>SUM(W40:W42)</f>
        <v>258968.61962753115</v>
      </c>
      <c r="Y43" s="223">
        <f>SUM(Y40:Y42)</f>
        <v>258968.61962753115</v>
      </c>
      <c r="AA43" s="223">
        <f>SUM(AA40:AA42)</f>
        <v>258968.61962753115</v>
      </c>
      <c r="AC43" s="223">
        <f>SUM(AC40:AC42)</f>
        <v>258968.61962753115</v>
      </c>
      <c r="AE43" s="223">
        <f>SUM(AE40:AE42)</f>
        <v>258968.61962753115</v>
      </c>
      <c r="AG43" s="223">
        <f>SUM(AG40:AG42)</f>
        <v>258968.61962753115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48845.280372468871</v>
      </c>
      <c r="G45" s="223">
        <f>G37-G43</f>
        <v>54592.972872468934</v>
      </c>
      <c r="I45" s="223">
        <f>I37-I43</f>
        <v>60402.642634968972</v>
      </c>
      <c r="K45" s="223">
        <f>K37-K43</f>
        <v>66272.975014781288</v>
      </c>
      <c r="M45" s="223">
        <f>M37-M43</f>
        <v>72202.522176902916</v>
      </c>
      <c r="O45" s="223">
        <f>O37-O43</f>
        <v>78189.696253819566</v>
      </c>
      <c r="Q45" s="223">
        <f>Q37-Q43</f>
        <v>84232.762208759959</v>
      </c>
      <c r="S45" s="223">
        <f>S37-S43</f>
        <v>90329.83039323811</v>
      </c>
      <c r="U45" s="223">
        <f>U37-U43</f>
        <v>96478.848786788411</v>
      </c>
      <c r="W45" s="223">
        <f>W37-W43</f>
        <v>102677.59490633552</v>
      </c>
      <c r="Y45" s="223">
        <f>Y37-Y43</f>
        <v>108923.66737216874</v>
      </c>
      <c r="AA45" s="223">
        <f>AA37-AA43</f>
        <v>115214.47711698932</v>
      </c>
      <c r="AC45" s="223">
        <f>AC37-AC43</f>
        <v>121547.23822400451</v>
      </c>
      <c r="AE45" s="223">
        <f>AE37-AE43</f>
        <v>127918.95837949141</v>
      </c>
      <c r="AG45" s="223">
        <f>AG37-AG43</f>
        <v>134326.42892472434</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8.2861360266248796E-2</v>
      </c>
      <c r="G47" s="227">
        <f>G45/(G4+G6+G8)</f>
        <v>9.0352948773245276E-2</v>
      </c>
      <c r="I47" s="227">
        <f>I45/(I4+I6+I8)</f>
        <v>9.7529873394012034E-2</v>
      </c>
      <c r="K47" s="227">
        <f>K45/(K4+K6+K8)</f>
        <v>0.10439851523647056</v>
      </c>
      <c r="M47" s="227">
        <f>M45/(M4+M6+M8)</f>
        <v>0.11096508718219356</v>
      </c>
      <c r="O47" s="227">
        <f>O45/(O4+O6+O8)</f>
        <v>0.11723563786650693</v>
      </c>
      <c r="Q47" s="227">
        <f>Q45/(Q4+Q6+Q8)</f>
        <v>0.12321605556032272</v>
      </c>
      <c r="S47" s="227">
        <f>S45/(S4+S6+S8)</f>
        <v>0.12891207195607815</v>
      </c>
      <c r="U47" s="227">
        <f>U45/(U4+U6+U8)</f>
        <v>0.13432926586011354</v>
      </c>
      <c r="W47" s="227">
        <f>W45/(W4+W6+W8)</f>
        <v>0.13947306679375751</v>
      </c>
      <c r="Y47" s="227">
        <f>Y45/(Y4+Y6+Y8)</f>
        <v>0.14434875850533685</v>
      </c>
      <c r="AA47" s="227">
        <f>AA45/(AA4+AA6+AA8)</f>
        <v>0.14896148239526286</v>
      </c>
      <c r="AC47" s="227">
        <f>AC45/(AC4+AC6+AC8)</f>
        <v>0.15331624085631562</v>
      </c>
      <c r="AE47" s="227">
        <f>AE45/(AE4+AE6+AE8)</f>
        <v>0.15741790053116789</v>
      </c>
      <c r="AG47" s="227">
        <f>AG45/(AG4+AG6+AG8)</f>
        <v>0.16127119548916652</v>
      </c>
    </row>
    <row r="48" spans="1:33" s="227" customFormat="1" ht="14.25">
      <c r="A48" s="227" t="s">
        <v>852</v>
      </c>
      <c r="C48" s="220"/>
      <c r="E48" s="227">
        <f>E45/E43</f>
        <v>0.18861466861398868</v>
      </c>
      <c r="G48" s="227">
        <f>G45/G43</f>
        <v>0.21080922063448768</v>
      </c>
      <c r="I48" s="227">
        <f>I45/I43</f>
        <v>0.2332430961011599</v>
      </c>
      <c r="K48" s="227">
        <f>K45/K43</f>
        <v>0.25591121854879656</v>
      </c>
      <c r="M48" s="227">
        <f>M45/M43</f>
        <v>0.27880799720348437</v>
      </c>
      <c r="O48" s="227">
        <f>O45/O43</f>
        <v>0.30192730055972833</v>
      </c>
      <c r="Q48" s="227">
        <f>Q45/Q43</f>
        <v>0.32526242882211009</v>
      </c>
      <c r="S48" s="227">
        <f>S45/S43</f>
        <v>0.34880608516644801</v>
      </c>
      <c r="U48" s="227">
        <f>U45/U43</f>
        <v>0.37255034577375362</v>
      </c>
      <c r="W48" s="227">
        <f>W45/W43</f>
        <v>0.39648662858849248</v>
      </c>
      <c r="Y48" s="227">
        <f>Y45/Y43</f>
        <v>0.42060566075083244</v>
      </c>
      <c r="AA48" s="227">
        <f>AA45/AA43</f>
        <v>0.44489744465062897</v>
      </c>
      <c r="AC48" s="227">
        <f>AC45/AC43</f>
        <v>0.46935122254898382</v>
      </c>
      <c r="AE48" s="227">
        <f>AE45/AE43</f>
        <v>0.49395543971109096</v>
      </c>
      <c r="AG48" s="227">
        <f>AG45/AG43</f>
        <v>0.51869770599203513</v>
      </c>
    </row>
    <row r="49" spans="1:34" s="228" customFormat="1" ht="14.25">
      <c r="A49" s="228" t="s">
        <v>850</v>
      </c>
      <c r="C49" s="229"/>
      <c r="E49" s="228">
        <f>E37/E43</f>
        <v>1.1886146686139887</v>
      </c>
      <c r="G49" s="228">
        <f>G37/G43</f>
        <v>1.2108092206344876</v>
      </c>
      <c r="I49" s="228">
        <f>I37/I43</f>
        <v>1.23324309610116</v>
      </c>
      <c r="K49" s="228">
        <f>K37/K43</f>
        <v>1.2559112185487966</v>
      </c>
      <c r="M49" s="228">
        <f>M37/M43</f>
        <v>1.2788079972034845</v>
      </c>
      <c r="O49" s="228">
        <f>O37/O43</f>
        <v>1.3019273005597283</v>
      </c>
      <c r="Q49" s="228">
        <f>Q37/Q43</f>
        <v>1.3252624288221102</v>
      </c>
      <c r="S49" s="228">
        <f>S37/S43</f>
        <v>1.3488060851664481</v>
      </c>
      <c r="U49" s="228">
        <f>U37/U43</f>
        <v>1.3725503457737536</v>
      </c>
      <c r="W49" s="228">
        <f>W37/W43</f>
        <v>1.3964866285884925</v>
      </c>
      <c r="Y49" s="228">
        <f>Y37/Y43</f>
        <v>1.4206056607508324</v>
      </c>
      <c r="AA49" s="228">
        <f>AA37/AA43</f>
        <v>1.4448974446506289</v>
      </c>
      <c r="AC49" s="228">
        <f>AC37/AC43</f>
        <v>1.4693512225489838</v>
      </c>
      <c r="AE49" s="228">
        <f>AE37/AE43</f>
        <v>1.493955439711091</v>
      </c>
      <c r="AG49" s="228">
        <f>AG37/AG43</f>
        <v>1.5186977059920352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2758</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15000</v>
      </c>
      <c r="G53" s="956">
        <f>E53*$C$53</f>
        <v>15450</v>
      </c>
      <c r="I53" s="956">
        <f>G53*$C$53</f>
        <v>15913.5</v>
      </c>
      <c r="K53" s="956">
        <f>I53*$C$53</f>
        <v>16390.904999999999</v>
      </c>
      <c r="M53" s="956">
        <f>K53*$C$53</f>
        <v>16882.632149999998</v>
      </c>
      <c r="O53" s="956">
        <f>M53*$C$53</f>
        <v>17389.1111145</v>
      </c>
      <c r="Q53" s="956">
        <f>O53*$C$53</f>
        <v>17910.784447934999</v>
      </c>
      <c r="S53" s="956">
        <f>Q53*$C$53</f>
        <v>18448.10798137305</v>
      </c>
      <c r="U53" s="956">
        <f>S53*$C$53</f>
        <v>19001.551220814243</v>
      </c>
      <c r="W53" s="956">
        <f>U53*$C$53</f>
        <v>19571.597757438671</v>
      </c>
      <c r="Y53" s="956">
        <f>W53*$C$53</f>
        <v>20158.745690161832</v>
      </c>
      <c r="AA53" s="956">
        <f>Y53*$C$53</f>
        <v>20763.508060866687</v>
      </c>
      <c r="AC53" s="956">
        <f>AA53*$C$53</f>
        <v>21386.413302692687</v>
      </c>
      <c r="AE53" s="956">
        <f>AC53*$C$53</f>
        <v>22028.005701773469</v>
      </c>
      <c r="AG53" s="956">
        <f>AE53*$C$53</f>
        <v>22688.845872826674</v>
      </c>
    </row>
    <row r="54" spans="1:34" s="3" customFormat="1">
      <c r="A54" s="3" t="s">
        <v>855</v>
      </c>
      <c r="C54" s="954"/>
      <c r="E54" s="961">
        <v>15000</v>
      </c>
      <c r="F54" s="956"/>
      <c r="G54" s="956">
        <f t="shared" ref="G54:AG57" si="1">E54*$C$53</f>
        <v>15450</v>
      </c>
      <c r="H54" s="956"/>
      <c r="I54" s="956">
        <f t="shared" si="1"/>
        <v>15913.5</v>
      </c>
      <c r="J54" s="956"/>
      <c r="K54" s="956">
        <f t="shared" si="1"/>
        <v>16390.904999999999</v>
      </c>
      <c r="L54" s="956"/>
      <c r="M54" s="956">
        <f t="shared" si="1"/>
        <v>16882.632149999998</v>
      </c>
      <c r="N54" s="956"/>
      <c r="O54" s="956">
        <f t="shared" si="1"/>
        <v>17389.1111145</v>
      </c>
      <c r="P54" s="956"/>
      <c r="Q54" s="956">
        <f t="shared" si="1"/>
        <v>17910.784447934999</v>
      </c>
      <c r="R54" s="956"/>
      <c r="S54" s="956">
        <f t="shared" si="1"/>
        <v>18448.10798137305</v>
      </c>
      <c r="T54" s="956"/>
      <c r="U54" s="956">
        <f t="shared" si="1"/>
        <v>19001.551220814243</v>
      </c>
      <c r="V54" s="956"/>
      <c r="W54" s="956">
        <f t="shared" si="1"/>
        <v>19571.597757438671</v>
      </c>
      <c r="X54" s="956"/>
      <c r="Y54" s="956">
        <f t="shared" si="1"/>
        <v>20158.745690161832</v>
      </c>
      <c r="Z54" s="956"/>
      <c r="AA54" s="956">
        <f t="shared" si="1"/>
        <v>20763.508060866687</v>
      </c>
      <c r="AB54" s="956"/>
      <c r="AC54" s="956">
        <f t="shared" si="1"/>
        <v>21386.413302692687</v>
      </c>
      <c r="AD54" s="956"/>
      <c r="AE54" s="956">
        <f t="shared" si="1"/>
        <v>22028.005701773469</v>
      </c>
      <c r="AF54" s="956"/>
      <c r="AG54" s="956">
        <f t="shared" si="1"/>
        <v>22688.845872826674</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30000</v>
      </c>
      <c r="F58" s="956"/>
      <c r="G58" s="956">
        <f>SUM(G53:G57)</f>
        <v>30900</v>
      </c>
      <c r="H58" s="956"/>
      <c r="I58" s="956">
        <f>SUM(I53:I57)</f>
        <v>31827</v>
      </c>
      <c r="J58" s="956"/>
      <c r="K58" s="956">
        <f>SUM(K53:K57)</f>
        <v>32781.81</v>
      </c>
      <c r="L58" s="956"/>
      <c r="M58" s="956">
        <f>SUM(M53:M57)</f>
        <v>33765.264299999995</v>
      </c>
      <c r="N58" s="956"/>
      <c r="O58" s="956">
        <f>SUM(O53:O57)</f>
        <v>34778.222228999999</v>
      </c>
      <c r="P58" s="956"/>
      <c r="Q58" s="956">
        <f>SUM(Q53:Q57)</f>
        <v>35821.568895869998</v>
      </c>
      <c r="R58" s="956"/>
      <c r="S58" s="956">
        <f>SUM(S53:S57)</f>
        <v>36896.215962746101</v>
      </c>
      <c r="T58" s="956"/>
      <c r="U58" s="956">
        <f>SUM(U53:U57)</f>
        <v>38003.102441628485</v>
      </c>
      <c r="V58" s="956"/>
      <c r="W58" s="956">
        <f>SUM(W53:W57)</f>
        <v>39143.195514877341</v>
      </c>
      <c r="X58" s="956"/>
      <c r="Y58" s="956">
        <f>SUM(Y53:Y57)</f>
        <v>40317.491380323663</v>
      </c>
      <c r="Z58" s="956"/>
      <c r="AA58" s="956">
        <f>SUM(AA53:AA57)</f>
        <v>41527.016121733373</v>
      </c>
      <c r="AB58" s="956"/>
      <c r="AC58" s="956">
        <f>SUM(AC53:AC57)</f>
        <v>42772.826605385373</v>
      </c>
      <c r="AD58" s="956"/>
      <c r="AE58" s="956">
        <f>SUM(AE53:AE57)</f>
        <v>44056.011403546938</v>
      </c>
      <c r="AF58" s="956"/>
      <c r="AG58" s="956">
        <f>SUM(AG53:AG57)</f>
        <v>45377.691745653348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18845.280372468871</v>
      </c>
      <c r="G60" s="958">
        <f>G45-G58</f>
        <v>23692.972872468934</v>
      </c>
      <c r="I60" s="958">
        <f>I45-I58</f>
        <v>28575.642634968972</v>
      </c>
      <c r="K60" s="958">
        <f>K45-K58</f>
        <v>33491.165014781291</v>
      </c>
      <c r="M60" s="958">
        <f>M45-M58</f>
        <v>38437.257876902921</v>
      </c>
      <c r="O60" s="958">
        <f>O45-O58</f>
        <v>43411.474024819567</v>
      </c>
      <c r="Q60" s="958">
        <f>Q45-Q58</f>
        <v>48411.193312889962</v>
      </c>
      <c r="S60" s="958">
        <f>S45-S58</f>
        <v>53433.614430492009</v>
      </c>
      <c r="U60" s="958">
        <f>U45-U58</f>
        <v>58475.746345159925</v>
      </c>
      <c r="W60" s="958">
        <f>W45-W58</f>
        <v>63534.399391458181</v>
      </c>
      <c r="Y60" s="958">
        <f>Y45-Y58</f>
        <v>68606.175991845084</v>
      </c>
      <c r="AA60" s="958">
        <f>AA45-AA58</f>
        <v>73687.46099525594</v>
      </c>
      <c r="AC60" s="958">
        <f>AC45-AC58</f>
        <v>78774.411618619139</v>
      </c>
      <c r="AE60" s="958">
        <f>AE45-AE58</f>
        <v>83862.946975944476</v>
      </c>
      <c r="AG60" s="958">
        <f>AG45-AG58</f>
        <v>88948.737179071002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18845.280372468871</v>
      </c>
      <c r="G62" s="958">
        <f>G60*$C$62</f>
        <v>23692.972872468934</v>
      </c>
      <c r="I62" s="958">
        <f>I60*$C$62</f>
        <v>28575.642634968972</v>
      </c>
      <c r="K62" s="958">
        <f>K60*$C$62</f>
        <v>33491.165014781291</v>
      </c>
      <c r="M62" s="958">
        <f>M60*$C$62</f>
        <v>38437.257876902921</v>
      </c>
      <c r="O62" s="958">
        <f>O60*$C$62</f>
        <v>43411.474024819567</v>
      </c>
      <c r="Q62" s="958">
        <f>Q60*$C$62</f>
        <v>48411.193312889962</v>
      </c>
      <c r="S62" s="958">
        <f>S60*$C$62</f>
        <v>53433.614430492009</v>
      </c>
      <c r="U62" s="958">
        <f>U60*$C$62</f>
        <v>58475.746345159925</v>
      </c>
      <c r="W62" s="958">
        <f>W60*$C$62</f>
        <v>63534.399391458181</v>
      </c>
      <c r="Y62" s="958">
        <f>Y60*$C$62</f>
        <v>68606.175991845084</v>
      </c>
      <c r="AA62" s="958">
        <f>AA60*$C$62</f>
        <v>73687.46099525594</v>
      </c>
      <c r="AC62" s="958">
        <f>AC60*$C$62</f>
        <v>78774.411618619139</v>
      </c>
      <c r="AE62" s="958">
        <f>AE60*$C$62</f>
        <v>83862.946975944476</v>
      </c>
      <c r="AG62" s="958">
        <f>AG60*$C$62</f>
        <v>88948.737179071002</v>
      </c>
    </row>
    <row r="63" spans="1:34" s="958" customFormat="1">
      <c r="A63" s="2685" t="s">
        <v>2758</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13831846</v>
      </c>
      <c r="C31" s="266">
        <f>'Sources and Uses Budget'!$C30</f>
        <v>13831846</v>
      </c>
      <c r="D31" s="270">
        <f t="shared" si="0"/>
        <v>0</v>
      </c>
      <c r="E31" s="268"/>
      <c r="F31" s="267"/>
    </row>
    <row r="32" spans="1:6" s="352" customFormat="1">
      <c r="A32" s="145" t="s">
        <v>600</v>
      </c>
      <c r="B32" s="266">
        <f>'Sources and Uses Budget'!$C31</f>
        <v>749870</v>
      </c>
      <c r="C32" s="266">
        <f>'Sources and Uses Budget'!$C31</f>
        <v>749870</v>
      </c>
      <c r="D32" s="270">
        <f t="shared" si="0"/>
        <v>0</v>
      </c>
      <c r="E32" s="268"/>
      <c r="F32" s="267"/>
    </row>
    <row r="33" spans="1:6" s="352" customFormat="1">
      <c r="A33" s="145" t="s">
        <v>137</v>
      </c>
      <c r="B33" s="266">
        <f>'Sources and Uses Budget'!$C32</f>
        <v>257577</v>
      </c>
      <c r="C33" s="266">
        <f>'Sources and Uses Budget'!$C32</f>
        <v>257577</v>
      </c>
      <c r="D33" s="270">
        <f t="shared" si="0"/>
        <v>0</v>
      </c>
      <c r="E33" s="268"/>
      <c r="F33" s="267"/>
    </row>
    <row r="34" spans="1:6" s="352" customFormat="1">
      <c r="A34" s="145" t="s">
        <v>138</v>
      </c>
      <c r="B34" s="266">
        <f>'Sources and Uses Budget'!$C33</f>
        <v>648149</v>
      </c>
      <c r="C34" s="266">
        <f>'Sources and Uses Budget'!$C33</f>
        <v>648149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215063</v>
      </c>
      <c r="C36" s="266">
        <f>'Sources and Uses Budget'!$C35</f>
        <v>215063</v>
      </c>
      <c r="D36" s="270">
        <f t="shared" si="0"/>
        <v>0</v>
      </c>
      <c r="E36" s="268"/>
      <c r="F36" s="267"/>
    </row>
    <row r="37" spans="1:6" s="352" customFormat="1">
      <c r="A37" s="283" t="s">
        <v>1629</v>
      </c>
      <c r="B37" s="266">
        <f>'Sources and Uses Budget'!$C36</f>
        <v>250000</v>
      </c>
      <c r="C37" s="266">
        <f>'Sources and Uses Budget'!$C36</f>
        <v>250000</v>
      </c>
      <c r="D37" s="270"/>
      <c r="E37" s="268"/>
      <c r="F37" s="267"/>
    </row>
    <row r="38" spans="1:6" s="352" customFormat="1">
      <c r="A38" s="155" t="str">
        <f>'Sources and Uses Budget'!A37</f>
        <v>Other: (Commercial Costs)</v>
      </c>
      <c r="B38" s="266">
        <f>'Sources and Uses Budget'!$C37</f>
        <v>0</v>
      </c>
      <c r="C38" s="266">
        <f>'Sources and Uses Budget'!$C37</f>
        <v>0</v>
      </c>
      <c r="D38" s="270">
        <f t="shared" si="0"/>
        <v>0</v>
      </c>
      <c r="E38" s="268"/>
      <c r="F38" s="267"/>
    </row>
    <row r="39" spans="1:6" s="352" customFormat="1">
      <c r="A39" s="271" t="s">
        <v>143</v>
      </c>
      <c r="B39" s="270">
        <f>SUM(B30:B38)</f>
        <v>15952505</v>
      </c>
      <c r="C39" s="270">
        <f>SUM(C30:C38)</f>
        <v>15952505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700000</v>
      </c>
      <c r="C41" s="266">
        <f>'Sources and Uses Budget'!$C40</f>
        <v>700000</v>
      </c>
      <c r="D41" s="270">
        <f t="shared" si="0"/>
        <v>0</v>
      </c>
      <c r="E41" s="268"/>
      <c r="F41" s="267"/>
    </row>
    <row r="42" spans="1:6" s="352" customFormat="1">
      <c r="A42" s="269" t="s">
        <v>146</v>
      </c>
      <c r="B42" s="266">
        <f>'Sources and Uses Budget'!$C41</f>
        <v>250000</v>
      </c>
      <c r="C42" s="266">
        <f>'Sources and Uses Budget'!$C41</f>
        <v>250000</v>
      </c>
      <c r="D42" s="270">
        <f t="shared" si="0"/>
        <v>0</v>
      </c>
      <c r="E42" s="268"/>
      <c r="F42" s="267"/>
    </row>
    <row r="43" spans="1:6" s="352" customFormat="1">
      <c r="A43" s="271" t="s">
        <v>147</v>
      </c>
      <c r="B43" s="270">
        <f>SUM(B41:B42)</f>
        <v>950000</v>
      </c>
      <c r="C43" s="270">
        <f>SUM(C41:C42)</f>
        <v>950000</v>
      </c>
      <c r="D43" s="270">
        <f t="shared" si="0"/>
        <v>0</v>
      </c>
      <c r="E43" s="268"/>
      <c r="F43" s="267"/>
    </row>
    <row r="44" spans="1:6" s="352" customFormat="1">
      <c r="A44" s="271" t="s">
        <v>148</v>
      </c>
      <c r="B44" s="266">
        <f>'Sources and Uses Budget'!$C43</f>
        <v>2250000</v>
      </c>
      <c r="C44" s="266">
        <f>'Sources and Uses Budget'!$C43</f>
        <v>2250000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2005601</v>
      </c>
      <c r="C46" s="266">
        <f>'Sources and Uses Budget'!$C45</f>
        <v>2005601</v>
      </c>
      <c r="D46" s="270">
        <f t="shared" si="0"/>
        <v>0</v>
      </c>
      <c r="E46" s="268"/>
      <c r="F46" s="267"/>
    </row>
    <row r="47" spans="1:6" s="352" customFormat="1">
      <c r="A47" s="145" t="s">
        <v>151</v>
      </c>
      <c r="B47" s="266">
        <f>'Sources and Uses Budget'!$C46</f>
        <v>237267</v>
      </c>
      <c r="C47" s="266">
        <f>'Sources and Uses Budget'!$C46</f>
        <v>237267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274156</v>
      </c>
      <c r="C49" s="266">
        <f>'Sources and Uses Budget'!$C48</f>
        <v>274156</v>
      </c>
      <c r="D49" s="270">
        <f t="shared" si="0"/>
        <v>0</v>
      </c>
      <c r="E49" s="268"/>
      <c r="F49" s="267"/>
    </row>
    <row r="50" spans="1:6" s="352" customFormat="1">
      <c r="A50" s="145" t="s">
        <v>57</v>
      </c>
      <c r="B50" s="266">
        <f>'Sources and Uses Budget'!$C49</f>
        <v>290000</v>
      </c>
      <c r="C50" s="266">
        <f>'Sources and Uses Budget'!$C49</f>
        <v>290000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314050</v>
      </c>
      <c r="C53" s="266">
        <f>'Sources and Uses Budget'!$C52</f>
        <v>314050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3171074</v>
      </c>
      <c r="C55" s="273">
        <f>SUM(C46:C54)</f>
        <v>3171074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39239</v>
      </c>
      <c r="C57" s="266">
        <f>'Sources and Uses Budget'!$C56</f>
        <v>39239</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T2T Admin Fee</v>
      </c>
      <c r="B62" s="266">
        <f>'Sources and Uses Budget'!$C61</f>
        <v>196875</v>
      </c>
      <c r="C62" s="266">
        <f>'Sources and Uses Budget'!$C61</f>
        <v>196875</v>
      </c>
      <c r="D62" s="270">
        <f t="shared" si="0"/>
        <v>0</v>
      </c>
      <c r="E62" s="268"/>
      <c r="F62" s="267"/>
    </row>
    <row r="63" spans="1:6" s="352" customFormat="1" ht="13.7" customHeight="1">
      <c r="A63" s="271" t="s">
        <v>301</v>
      </c>
      <c r="B63" s="270">
        <f>SUM(B57:B62)</f>
        <v>271114</v>
      </c>
      <c r="C63" s="270">
        <f>SUM(C57:C62)</f>
        <v>271114</v>
      </c>
      <c r="D63" s="270">
        <f t="shared" si="0"/>
        <v>0</v>
      </c>
      <c r="E63" s="268"/>
      <c r="F63" s="267"/>
    </row>
    <row r="64" spans="1:6" s="352" customFormat="1">
      <c r="A64" s="274" t="s">
        <v>302</v>
      </c>
      <c r="B64" s="270">
        <f>SUM(B9+B12+B14+B15+B17+B26+B28+B39+B43+B44+B55+B63)</f>
        <v>22594693</v>
      </c>
      <c r="C64" s="270">
        <f>SUM(C9+C12+C14+C15+C17+C26+C28+C39+C43+C44+C55+C63)</f>
        <v>22594693</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260000</v>
      </c>
      <c r="C66" s="266">
        <f>'Sources and Uses Budget'!$C65</f>
        <v>260000</v>
      </c>
      <c r="D66" s="270">
        <f t="shared" si="0"/>
        <v>0</v>
      </c>
      <c r="E66" s="268"/>
      <c r="F66" s="267"/>
    </row>
    <row r="67" spans="1:6" s="352" customFormat="1" ht="24">
      <c r="A67" s="283" t="s">
        <v>1630</v>
      </c>
      <c r="B67" s="266">
        <f>'Sources and Uses Budget'!$C66</f>
        <v>250000</v>
      </c>
      <c r="C67" s="266">
        <f>'Sources and Uses Budget'!$C66</f>
        <v>250000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510000</v>
      </c>
      <c r="C71" s="270">
        <f>SUM(C66:C70)</f>
        <v>510000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129965</v>
      </c>
      <c r="C76" s="266">
        <f>'Sources and Uses Budget'!$C75</f>
        <v>129965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129965</v>
      </c>
      <c r="C78" s="270">
        <f>SUM(C73:C77)</f>
        <v>129965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1597666</v>
      </c>
      <c r="C80" s="266">
        <f>'Sources and Uses Budget'!$C79</f>
        <v>1597666</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1897666</v>
      </c>
      <c r="C82" s="270">
        <f>SUM(C80:C81)</f>
        <v>1897666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102312</v>
      </c>
      <c r="C84" s="266">
        <f>'Sources and Uses Budget'!$C83</f>
        <v>102312</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332478</v>
      </c>
      <c r="C86" s="266">
        <f>'Sources and Uses Budget'!$C85</f>
        <v>332478</v>
      </c>
      <c r="D86" s="270">
        <f t="shared" si="1"/>
        <v>0</v>
      </c>
      <c r="E86" s="268"/>
      <c r="F86" s="267"/>
    </row>
    <row r="87" spans="1:6" s="352" customFormat="1">
      <c r="A87" s="269" t="s">
        <v>769</v>
      </c>
      <c r="B87" s="266">
        <f>'Sources and Uses Budget'!$C86</f>
        <v>332000</v>
      </c>
      <c r="C87" s="266">
        <f>'Sources and Uses Budget'!$C86</f>
        <v>332000</v>
      </c>
      <c r="D87" s="270">
        <f t="shared" si="1"/>
        <v>0</v>
      </c>
      <c r="E87" s="268"/>
      <c r="F87" s="267"/>
    </row>
    <row r="88" spans="1:6" s="352" customFormat="1">
      <c r="A88" s="269" t="s">
        <v>770</v>
      </c>
      <c r="B88" s="266">
        <f>'Sources and Uses Budget'!$C87</f>
        <v>146400</v>
      </c>
      <c r="C88" s="266">
        <f>'Sources and Uses Budget'!$C87</f>
        <v>146400</v>
      </c>
      <c r="D88" s="270">
        <f t="shared" si="1"/>
        <v>0</v>
      </c>
      <c r="E88" s="268"/>
      <c r="F88" s="267"/>
    </row>
    <row r="89" spans="1:6" s="352" customFormat="1">
      <c r="A89" s="269" t="s">
        <v>771</v>
      </c>
      <c r="B89" s="266">
        <f>'Sources and Uses Budget'!$C88</f>
        <v>75000</v>
      </c>
      <c r="C89" s="266">
        <f>'Sources and Uses Budget'!$C88</f>
        <v>75000</v>
      </c>
      <c r="D89" s="270">
        <f t="shared" si="1"/>
        <v>0</v>
      </c>
      <c r="E89" s="268"/>
      <c r="F89" s="267"/>
    </row>
    <row r="90" spans="1:6" s="352" customFormat="1">
      <c r="A90" s="269" t="s">
        <v>772</v>
      </c>
      <c r="B90" s="266">
        <f>'Sources and Uses Budget'!$C89</f>
        <v>204000</v>
      </c>
      <c r="C90" s="266">
        <f>'Sources and Uses Budget'!$C89</f>
        <v>204000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1277190</v>
      </c>
      <c r="C97" s="270">
        <f>SUM(C84:C96)</f>
        <v>1277190</v>
      </c>
      <c r="D97" s="270">
        <f t="shared" si="1"/>
        <v>0</v>
      </c>
      <c r="E97" s="268"/>
      <c r="F97" s="267"/>
    </row>
    <row r="98" spans="1:6" s="352" customFormat="1">
      <c r="A98" s="271" t="s">
        <v>775</v>
      </c>
      <c r="B98" s="270">
        <f>SUM(B64+B71+B78+B82+B97)</f>
        <v>26409514</v>
      </c>
      <c r="C98" s="270">
        <f>SUM(C64+C71+C78+C82+C97)</f>
        <v>26409514</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3676598</v>
      </c>
      <c r="C100" s="266">
        <f>'Sources and Uses Budget'!$C99</f>
        <v>3676598</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3676598</v>
      </c>
      <c r="C105" s="270">
        <f>SUM(C100:C104)</f>
        <v>3676598</v>
      </c>
      <c r="D105" s="270">
        <f t="shared" si="1"/>
        <v>0</v>
      </c>
      <c r="E105" s="268"/>
      <c r="F105" s="267"/>
    </row>
    <row r="106" spans="1:6" s="352" customFormat="1">
      <c r="A106" s="271" t="s">
        <v>780</v>
      </c>
      <c r="B106" s="273">
        <f>SUM(B98+B105)</f>
        <v>30086112</v>
      </c>
      <c r="C106" s="273">
        <f>SUM(C98+C105)</f>
        <v>30086112</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1" t="s">
        <v>1843</v>
      </c>
      <c r="B1" s="1282"/>
      <c r="C1" s="1282"/>
      <c r="D1" s="1282"/>
      <c r="E1" s="1282"/>
      <c r="F1" s="1282"/>
      <c r="G1" s="1282"/>
      <c r="H1" s="1282"/>
      <c r="I1" s="1282"/>
      <c r="J1" s="1282"/>
    </row>
    <row r="2" spans="1:10" ht="15">
      <c r="A2" s="1285" t="s">
        <v>1268</v>
      </c>
      <c r="B2" s="1286"/>
      <c r="C2" s="1286"/>
      <c r="D2" s="1286"/>
      <c r="E2" s="1286"/>
      <c r="F2" s="1286"/>
      <c r="G2" s="1286"/>
      <c r="H2" s="1286"/>
      <c r="I2" s="1286"/>
      <c r="J2" s="1286"/>
    </row>
    <row r="3" spans="1:10" ht="12.75"/>
    <row r="4" spans="1:10" ht="12.75" customHeight="1">
      <c r="A4" s="1283" t="s">
        <v>2007</v>
      </c>
      <c r="B4" s="1283"/>
      <c r="C4" s="1283"/>
      <c r="D4" s="1283"/>
      <c r="E4" s="1283"/>
      <c r="F4" s="1283"/>
      <c r="G4" s="1283"/>
      <c r="H4" s="1283"/>
      <c r="I4" s="1283"/>
      <c r="J4" s="1283"/>
    </row>
    <row r="5" spans="1:10" ht="12.75">
      <c r="A5" s="1283"/>
      <c r="B5" s="1283"/>
      <c r="C5" s="1283"/>
      <c r="D5" s="1283"/>
      <c r="E5" s="1283"/>
      <c r="F5" s="1283"/>
      <c r="G5" s="1283"/>
      <c r="H5" s="1283"/>
      <c r="I5" s="1283"/>
      <c r="J5" s="1283"/>
    </row>
    <row r="6" spans="1:10" ht="30" customHeight="1">
      <c r="A6" s="1283"/>
      <c r="B6" s="1283"/>
      <c r="C6" s="1283"/>
      <c r="D6" s="1283"/>
      <c r="E6" s="1283"/>
      <c r="F6" s="1283"/>
      <c r="G6" s="1283"/>
      <c r="H6" s="1283"/>
      <c r="I6" s="1283"/>
      <c r="J6" s="1283"/>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7" t="s">
        <v>1848</v>
      </c>
      <c r="B10" s="1287"/>
      <c r="C10" s="1287"/>
      <c r="D10" s="1287"/>
      <c r="E10" s="1287"/>
      <c r="F10" s="1287"/>
      <c r="G10" s="1287"/>
      <c r="H10" s="1287"/>
      <c r="I10" s="1287"/>
      <c r="J10" s="1287"/>
    </row>
    <row r="11" spans="1:10" ht="12.75">
      <c r="A11" s="1287"/>
      <c r="B11" s="1287"/>
      <c r="C11" s="1287"/>
      <c r="D11" s="1287"/>
      <c r="E11" s="1287"/>
      <c r="F11" s="1287"/>
      <c r="G11" s="1287"/>
      <c r="H11" s="1287"/>
      <c r="I11" s="1287"/>
      <c r="J11" s="1287"/>
    </row>
    <row r="12" spans="1:10" ht="12.75">
      <c r="A12" s="1287"/>
      <c r="B12" s="1287"/>
      <c r="C12" s="1287"/>
      <c r="D12" s="1287"/>
      <c r="E12" s="1287"/>
      <c r="F12" s="1287"/>
      <c r="G12" s="1287"/>
      <c r="H12" s="1287"/>
      <c r="I12" s="1287"/>
      <c r="J12" s="1287"/>
    </row>
    <row r="13" spans="1:10" ht="12.75">
      <c r="A13" s="1287"/>
      <c r="B13" s="1287"/>
      <c r="C13" s="1287"/>
      <c r="D13" s="1287"/>
      <c r="E13" s="1287"/>
      <c r="F13" s="1287"/>
      <c r="G13" s="1287"/>
      <c r="H13" s="1287"/>
      <c r="I13" s="1287"/>
      <c r="J13" s="1287"/>
    </row>
    <row r="14" spans="1:10" ht="12.75">
      <c r="A14" s="1287"/>
      <c r="B14" s="1287"/>
      <c r="C14" s="1287"/>
      <c r="D14" s="1287"/>
      <c r="E14" s="1287"/>
      <c r="F14" s="1287"/>
      <c r="G14" s="1287"/>
      <c r="H14" s="1287"/>
      <c r="I14" s="1287"/>
      <c r="J14" s="1287"/>
    </row>
    <row r="15" spans="1:10" ht="12.75">
      <c r="A15" s="1287"/>
      <c r="B15" s="1287"/>
      <c r="C15" s="1287"/>
      <c r="D15" s="1287"/>
      <c r="E15" s="1287"/>
      <c r="F15" s="1287"/>
      <c r="G15" s="1287"/>
      <c r="H15" s="1287"/>
      <c r="I15" s="1287"/>
      <c r="J15" s="1287"/>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6" t="s">
        <v>1189</v>
      </c>
      <c r="B19" s="1286"/>
      <c r="C19" s="1286"/>
      <c r="D19" s="1286"/>
      <c r="E19" s="128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3" t="s">
        <v>1190</v>
      </c>
      <c r="B76" s="1283"/>
      <c r="C76" s="1283"/>
      <c r="D76" s="1283"/>
      <c r="E76" s="1283"/>
      <c r="F76" s="1283"/>
      <c r="G76" s="1283"/>
      <c r="H76" s="1283"/>
      <c r="I76" s="1283"/>
      <c r="J76" s="1283"/>
    </row>
    <row r="77" spans="1:10" ht="12.75">
      <c r="A77" s="1283"/>
      <c r="B77" s="1283"/>
      <c r="C77" s="1283"/>
      <c r="D77" s="1283"/>
      <c r="E77" s="1283"/>
      <c r="F77" s="1283"/>
      <c r="G77" s="1283"/>
      <c r="H77" s="1283"/>
      <c r="I77" s="1283"/>
      <c r="J77" s="1283"/>
    </row>
    <row r="78" spans="1:10" ht="12.75">
      <c r="A78" s="1283"/>
      <c r="B78" s="1283"/>
      <c r="C78" s="1283"/>
      <c r="D78" s="1283"/>
      <c r="E78" s="1283"/>
      <c r="F78" s="1283"/>
      <c r="G78" s="1283"/>
      <c r="H78" s="1283"/>
      <c r="I78" s="1283"/>
      <c r="J78" s="1283"/>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4" t="s">
        <v>1844</v>
      </c>
      <c r="B89" s="1284"/>
      <c r="C89" s="1284"/>
      <c r="D89" s="1284"/>
      <c r="E89" s="1284"/>
      <c r="F89" s="1284"/>
      <c r="G89" s="1284"/>
      <c r="H89" s="1284"/>
      <c r="I89" s="1284"/>
    </row>
    <row r="90" spans="1:9" ht="12.75">
      <c r="A90" s="1276" t="s">
        <v>2005</v>
      </c>
      <c r="B90" s="1276"/>
      <c r="C90" s="1276"/>
      <c r="D90" s="1276"/>
      <c r="E90" s="1276"/>
    </row>
    <row r="91" spans="1:9" ht="12.75">
      <c r="A91" s="1276" t="s">
        <v>2006</v>
      </c>
      <c r="B91" s="1276"/>
      <c r="C91" s="1276"/>
      <c r="D91" s="1276"/>
      <c r="E91" s="1276"/>
    </row>
    <row r="92" spans="1:9" ht="12.75">
      <c r="A92" s="1276" t="s">
        <v>1845</v>
      </c>
      <c r="B92" s="1276"/>
      <c r="C92" s="1276"/>
      <c r="D92" s="1276"/>
      <c r="E92" s="127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26" zoomScale="130" zoomScaleNormal="130" workbookViewId="0">
      <selection activeCell="B669" sqref="B669"/>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9" t="s">
        <v>2607</v>
      </c>
      <c r="B2" s="1339"/>
      <c r="C2" s="1339"/>
      <c r="D2" s="1339"/>
      <c r="E2" s="1339"/>
      <c r="F2" s="1339"/>
      <c r="G2" s="1339"/>
      <c r="H2" s="1339"/>
      <c r="I2" s="1339"/>
    </row>
    <row r="3" spans="1:13">
      <c r="A3" s="1329" t="s">
        <v>2174</v>
      </c>
      <c r="B3" s="1329"/>
      <c r="C3" s="1329"/>
      <c r="D3" s="1329"/>
      <c r="E3" s="1329"/>
      <c r="F3" s="1329"/>
      <c r="G3" s="1329"/>
      <c r="H3" s="1329"/>
      <c r="I3" s="1329"/>
    </row>
    <row r="4" spans="1:13">
      <c r="A4" s="1329"/>
      <c r="B4" s="1329"/>
      <c r="C4" s="1286"/>
      <c r="D4" s="1286"/>
      <c r="E4" s="1286"/>
      <c r="F4" s="1286"/>
      <c r="G4" s="1286"/>
    </row>
    <row r="5" spans="1:13">
      <c r="A5" s="1329"/>
      <c r="B5" s="1329"/>
      <c r="C5" s="1286"/>
      <c r="D5" s="1286"/>
      <c r="E5" s="1286"/>
      <c r="F5" s="1286"/>
      <c r="G5" s="1286"/>
    </row>
    <row r="6" spans="1:13" ht="12.75" customHeight="1">
      <c r="A6" s="1332" t="s">
        <v>2173</v>
      </c>
      <c r="B6" s="1332"/>
      <c r="C6" s="1332"/>
      <c r="D6" s="1332"/>
      <c r="E6" s="1332"/>
      <c r="F6" s="1332"/>
      <c r="G6" s="1332"/>
      <c r="I6" s="490"/>
    </row>
    <row r="7" spans="1:13">
      <c r="A7" s="1332"/>
      <c r="B7" s="1332"/>
      <c r="C7" s="1332"/>
      <c r="D7" s="1332"/>
      <c r="E7" s="1332"/>
      <c r="F7" s="1332"/>
      <c r="G7" s="1332"/>
      <c r="I7" s="490"/>
    </row>
    <row r="8" spans="1:13">
      <c r="A8" s="481"/>
      <c r="B8" s="481"/>
      <c r="C8" s="482"/>
      <c r="D8" s="482"/>
      <c r="E8" s="482"/>
      <c r="F8" s="482"/>
    </row>
    <row r="9" spans="1:13">
      <c r="A9" s="1308" t="s">
        <v>1101</v>
      </c>
      <c r="B9" s="1308"/>
      <c r="C9" s="1308"/>
      <c r="D9" s="1308"/>
      <c r="E9" s="1308"/>
      <c r="F9" s="1308"/>
      <c r="G9" s="1308"/>
      <c r="H9" s="1023"/>
      <c r="I9" s="1024"/>
    </row>
    <row r="10" spans="1:13">
      <c r="A10" s="482"/>
      <c r="B10" s="482"/>
      <c r="E10" s="404"/>
    </row>
    <row r="11" spans="1:13" ht="13.7" customHeight="1">
      <c r="C11" s="482"/>
      <c r="D11" s="1331" t="s">
        <v>1100</v>
      </c>
      <c r="E11" s="1331"/>
      <c r="F11" s="1331"/>
    </row>
    <row r="12" spans="1:13">
      <c r="C12" s="482"/>
      <c r="D12" s="1331"/>
      <c r="E12" s="1331"/>
      <c r="F12" s="1331"/>
    </row>
    <row r="13" spans="1:13">
      <c r="A13" s="483"/>
      <c r="B13" s="483"/>
      <c r="C13" s="483"/>
      <c r="D13" s="1309" t="s">
        <v>1090</v>
      </c>
      <c r="E13" s="1309"/>
      <c r="F13" s="1309"/>
      <c r="M13" s="96"/>
    </row>
    <row r="14" spans="1:13">
      <c r="A14" s="483"/>
      <c r="B14" s="483"/>
      <c r="C14" s="483"/>
      <c r="D14" s="476"/>
      <c r="L14" s="312"/>
    </row>
    <row r="15" spans="1:13" ht="14.25">
      <c r="A15" s="484"/>
      <c r="B15" s="485" t="s">
        <v>2760</v>
      </c>
      <c r="C15" s="483"/>
      <c r="D15" s="1307" t="s">
        <v>1895</v>
      </c>
      <c r="E15" s="1307"/>
      <c r="F15" s="1307"/>
      <c r="I15" s="490"/>
    </row>
    <row r="16" spans="1:13">
      <c r="A16" s="483"/>
      <c r="B16" s="483"/>
      <c r="C16" s="483"/>
      <c r="D16" s="1307"/>
      <c r="E16" s="1307"/>
      <c r="F16" s="1307"/>
      <c r="I16" s="490"/>
    </row>
    <row r="17" spans="1:9">
      <c r="A17" s="483"/>
      <c r="B17" s="483"/>
      <c r="C17" s="483"/>
      <c r="D17" s="1307"/>
      <c r="E17" s="1307"/>
      <c r="F17" s="1307"/>
      <c r="I17" s="490"/>
    </row>
    <row r="18" spans="1:9">
      <c r="A18" s="483"/>
      <c r="B18" s="483"/>
      <c r="C18" s="483"/>
      <c r="D18" s="445"/>
      <c r="E18" s="312" t="s">
        <v>1893</v>
      </c>
      <c r="F18" s="445"/>
      <c r="I18" s="490"/>
    </row>
    <row r="19" spans="1:9">
      <c r="A19" s="483"/>
      <c r="B19" s="483"/>
      <c r="C19" s="483"/>
      <c r="I19" s="490"/>
    </row>
    <row r="20" spans="1:9" ht="14.25">
      <c r="A20" s="484"/>
      <c r="B20" s="485" t="s">
        <v>2760</v>
      </c>
      <c r="D20" s="1307" t="s">
        <v>1896</v>
      </c>
      <c r="E20" s="1307"/>
      <c r="F20" s="1307"/>
      <c r="I20" s="490"/>
    </row>
    <row r="21" spans="1:9" ht="14.25">
      <c r="A21" s="484"/>
      <c r="D21" s="1307"/>
      <c r="E21" s="1307"/>
      <c r="F21" s="1307"/>
      <c r="I21" s="490"/>
    </row>
    <row r="22" spans="1:9" ht="14.25">
      <c r="A22" s="484"/>
      <c r="D22" s="392"/>
      <c r="E22" s="96" t="s">
        <v>1892</v>
      </c>
      <c r="F22" s="392"/>
      <c r="I22" s="490"/>
    </row>
    <row r="23" spans="1:9" ht="14.25">
      <c r="A23" s="484"/>
      <c r="B23" s="484"/>
      <c r="D23" s="446"/>
      <c r="I23" s="490"/>
    </row>
    <row r="24" spans="1:9" ht="14.25">
      <c r="A24" s="484"/>
      <c r="B24" s="485" t="s">
        <v>2665</v>
      </c>
      <c r="D24" s="1307" t="s">
        <v>1091</v>
      </c>
      <c r="E24" s="1307"/>
      <c r="F24" s="1307"/>
      <c r="I24" s="490"/>
    </row>
    <row r="25" spans="1:9" ht="14.25">
      <c r="A25" s="484"/>
      <c r="B25" s="484"/>
      <c r="D25" s="1307"/>
      <c r="E25" s="1307"/>
      <c r="F25" s="1307"/>
      <c r="I25" s="490"/>
    </row>
    <row r="26" spans="1:9">
      <c r="I26" s="490"/>
    </row>
    <row r="27" spans="1:9" ht="14.25">
      <c r="A27" s="484"/>
      <c r="B27" s="485" t="s">
        <v>2760</v>
      </c>
      <c r="D27" s="1307" t="s">
        <v>2008</v>
      </c>
      <c r="E27" s="1307"/>
      <c r="F27" s="1307"/>
      <c r="I27" s="490"/>
    </row>
    <row r="28" spans="1:9">
      <c r="D28" s="1307"/>
      <c r="E28" s="1307"/>
      <c r="F28" s="1307"/>
      <c r="I28" s="490"/>
    </row>
    <row r="29" spans="1:9">
      <c r="D29" s="1307"/>
      <c r="E29" s="1307"/>
      <c r="F29" s="1307"/>
      <c r="I29" s="490"/>
    </row>
    <row r="30" spans="1:9">
      <c r="D30" s="1307"/>
      <c r="E30" s="1307"/>
      <c r="F30" s="1307"/>
      <c r="I30" s="490"/>
    </row>
    <row r="31" spans="1:9">
      <c r="D31" s="1307"/>
      <c r="E31" s="1307"/>
      <c r="F31" s="1307"/>
      <c r="I31" s="490"/>
    </row>
    <row r="32" spans="1:9">
      <c r="D32" s="447"/>
      <c r="I32" s="490"/>
    </row>
    <row r="33" spans="1:9">
      <c r="B33" s="485" t="s">
        <v>2665</v>
      </c>
      <c r="D33" s="1307" t="s">
        <v>2009</v>
      </c>
      <c r="E33" s="1307"/>
      <c r="F33" s="1307"/>
      <c r="I33" s="490"/>
    </row>
    <row r="34" spans="1:9">
      <c r="D34" s="1307"/>
      <c r="E34" s="1307"/>
      <c r="F34" s="1307"/>
      <c r="I34" s="490"/>
    </row>
    <row r="35" spans="1:9" ht="14.25">
      <c r="A35" s="484"/>
      <c r="B35" s="484"/>
      <c r="D35" s="447"/>
      <c r="I35" s="490"/>
    </row>
    <row r="36" spans="1:9" ht="14.45" customHeight="1">
      <c r="A36" s="484"/>
      <c r="B36" s="485" t="s">
        <v>2760</v>
      </c>
      <c r="D36" s="1307" t="s">
        <v>1214</v>
      </c>
      <c r="E36" s="1307"/>
      <c r="F36" s="1307"/>
      <c r="I36" s="490"/>
    </row>
    <row r="37" spans="1:9" ht="14.25">
      <c r="A37" s="484"/>
      <c r="B37" s="484"/>
      <c r="D37" s="1307"/>
      <c r="E37" s="1307"/>
      <c r="F37" s="1307"/>
      <c r="I37" s="490"/>
    </row>
    <row r="38" spans="1:9" ht="14.25">
      <c r="A38" s="484"/>
      <c r="B38" s="484"/>
      <c r="D38" s="1307"/>
      <c r="E38" s="1307"/>
      <c r="F38" s="1307"/>
      <c r="I38" s="490"/>
    </row>
    <row r="39" spans="1:9" ht="14.25">
      <c r="A39" s="484"/>
      <c r="B39" s="484"/>
      <c r="D39" s="1307"/>
      <c r="E39" s="1307"/>
      <c r="F39" s="1307"/>
      <c r="I39" s="490"/>
    </row>
    <row r="40" spans="1:9" ht="14.25">
      <c r="A40" s="484"/>
      <c r="B40" s="484"/>
      <c r="I40" s="490"/>
    </row>
    <row r="41" spans="1:9" ht="14.25">
      <c r="A41" s="484"/>
      <c r="B41" s="485" t="s">
        <v>2665</v>
      </c>
      <c r="D41" s="1307" t="s">
        <v>1092</v>
      </c>
      <c r="E41" s="1307"/>
      <c r="F41" s="1307"/>
      <c r="I41" s="490"/>
    </row>
    <row r="42" spans="1:9" ht="14.25">
      <c r="A42" s="484"/>
      <c r="B42" s="484"/>
      <c r="D42" s="1307"/>
      <c r="E42" s="1307"/>
      <c r="F42" s="1307"/>
      <c r="I42" s="490"/>
    </row>
    <row r="43" spans="1:9" ht="14.25">
      <c r="A43" s="484"/>
      <c r="B43" s="484"/>
      <c r="D43" s="1307"/>
      <c r="E43" s="1307"/>
      <c r="F43" s="1307"/>
      <c r="I43" s="490"/>
    </row>
    <row r="44" spans="1:9" ht="14.25">
      <c r="A44" s="484"/>
      <c r="B44" s="484"/>
      <c r="D44" s="1307"/>
      <c r="E44" s="1307"/>
      <c r="F44" s="1307"/>
      <c r="I44" s="490"/>
    </row>
    <row r="45" spans="1:9" ht="14.25">
      <c r="A45" s="484"/>
      <c r="B45" s="484"/>
      <c r="D45" s="1307"/>
      <c r="E45" s="1307"/>
      <c r="F45" s="1307"/>
      <c r="I45" s="490"/>
    </row>
    <row r="46" spans="1:9" ht="14.25">
      <c r="A46" s="484"/>
      <c r="B46" s="484"/>
      <c r="D46" s="445"/>
      <c r="E46" s="445"/>
      <c r="F46" s="445"/>
      <c r="I46" s="490"/>
    </row>
    <row r="47" spans="1:9" ht="14.25">
      <c r="A47" s="484"/>
      <c r="B47" s="485" t="s">
        <v>2760</v>
      </c>
      <c r="D47" s="1307" t="s">
        <v>1093</v>
      </c>
      <c r="E47" s="1307"/>
      <c r="F47" s="1307"/>
      <c r="I47" s="490"/>
    </row>
    <row r="48" spans="1:9" ht="14.25">
      <c r="A48" s="484"/>
      <c r="B48" s="484"/>
      <c r="D48" s="1307"/>
      <c r="E48" s="1307"/>
      <c r="F48" s="1307"/>
      <c r="I48" s="490"/>
    </row>
    <row r="49" spans="1:9" ht="14.25">
      <c r="A49" s="484"/>
      <c r="B49" s="484"/>
      <c r="D49" s="1307"/>
      <c r="E49" s="1307"/>
      <c r="F49" s="1307"/>
      <c r="I49" s="490"/>
    </row>
    <row r="50" spans="1:9" ht="23.25" customHeight="1">
      <c r="A50" s="484"/>
      <c r="B50" s="484"/>
      <c r="D50" s="1307"/>
      <c r="E50" s="1307"/>
      <c r="F50" s="1307"/>
      <c r="I50" s="490"/>
    </row>
    <row r="51" spans="1:9" ht="14.25">
      <c r="A51" s="484"/>
      <c r="B51" s="484"/>
      <c r="D51" s="446"/>
      <c r="I51" s="490"/>
    </row>
    <row r="52" spans="1:9" ht="14.45" customHeight="1">
      <c r="A52" s="484"/>
      <c r="B52" s="485" t="s">
        <v>2665</v>
      </c>
      <c r="D52" s="1307" t="s">
        <v>1094</v>
      </c>
      <c r="E52" s="1307"/>
      <c r="F52" s="1307"/>
      <c r="I52" s="490"/>
    </row>
    <row r="53" spans="1:9" ht="14.25">
      <c r="A53" s="484"/>
      <c r="B53" s="484"/>
      <c r="D53" s="1307"/>
      <c r="E53" s="1307"/>
      <c r="F53" s="1307"/>
      <c r="I53" s="490"/>
    </row>
    <row r="54" spans="1:9" ht="14.25">
      <c r="A54" s="484"/>
      <c r="B54" s="484"/>
      <c r="D54" s="1307"/>
      <c r="E54" s="1307"/>
      <c r="F54" s="1307"/>
      <c r="I54" s="490"/>
    </row>
    <row r="55" spans="1:9" ht="14.25">
      <c r="A55" s="484"/>
      <c r="B55" s="484"/>
      <c r="I55" s="490"/>
    </row>
    <row r="56" spans="1:9" ht="14.25">
      <c r="A56" s="484"/>
      <c r="B56" s="485" t="s">
        <v>2760</v>
      </c>
      <c r="D56" s="1334" t="s">
        <v>1095</v>
      </c>
      <c r="E56" s="1334"/>
      <c r="F56" s="1334"/>
      <c r="I56" s="490"/>
    </row>
    <row r="57" spans="1:9" ht="14.25">
      <c r="A57" s="484"/>
      <c r="B57" s="484"/>
      <c r="D57" s="1334"/>
      <c r="E57" s="1334"/>
      <c r="F57" s="1334"/>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2760</v>
      </c>
      <c r="D61" s="1307" t="s">
        <v>1096</v>
      </c>
      <c r="E61" s="1307"/>
      <c r="F61" s="1307"/>
      <c r="I61" s="490"/>
    </row>
    <row r="62" spans="1:9">
      <c r="D62" s="1307"/>
      <c r="E62" s="1307"/>
      <c r="F62" s="1307"/>
      <c r="I62" s="490"/>
    </row>
    <row r="63" spans="1:9">
      <c r="D63" s="1307"/>
      <c r="E63" s="1307"/>
      <c r="F63" s="1307"/>
      <c r="I63" s="490"/>
    </row>
    <row r="64" spans="1:9">
      <c r="I64" s="490"/>
    </row>
    <row r="65" spans="1:9" ht="14.25">
      <c r="A65" s="484"/>
      <c r="B65" s="485" t="s">
        <v>2665</v>
      </c>
      <c r="D65" s="1307" t="s">
        <v>1097</v>
      </c>
      <c r="E65" s="1307"/>
      <c r="F65" s="1307"/>
      <c r="I65" s="490"/>
    </row>
    <row r="66" spans="1:9">
      <c r="D66" s="1307"/>
      <c r="E66" s="1307"/>
      <c r="F66" s="1307"/>
      <c r="I66" s="490"/>
    </row>
    <row r="67" spans="1:9">
      <c r="I67" s="490"/>
    </row>
    <row r="68" spans="1:9" ht="14.25">
      <c r="A68" s="484"/>
      <c r="B68" s="485" t="s">
        <v>2665</v>
      </c>
      <c r="D68" s="1307" t="s">
        <v>1098</v>
      </c>
      <c r="E68" s="1307"/>
      <c r="F68" s="1307"/>
      <c r="I68" s="490"/>
    </row>
    <row r="69" spans="1:9">
      <c r="D69" s="1307"/>
      <c r="E69" s="1307"/>
      <c r="F69" s="1307"/>
      <c r="I69" s="490"/>
    </row>
    <row r="70" spans="1:9">
      <c r="D70" s="1307"/>
      <c r="E70" s="1307"/>
      <c r="F70" s="1307"/>
      <c r="I70" s="490"/>
    </row>
    <row r="71" spans="1:9">
      <c r="I71" s="490"/>
    </row>
    <row r="72" spans="1:9" ht="14.25">
      <c r="A72" s="484"/>
      <c r="B72" s="485" t="s">
        <v>2760</v>
      </c>
      <c r="D72" s="1307" t="s">
        <v>1099</v>
      </c>
      <c r="E72" s="1307"/>
      <c r="F72" s="1307"/>
      <c r="I72" s="490"/>
    </row>
    <row r="73" spans="1:9">
      <c r="D73" s="1307"/>
      <c r="E73" s="1307"/>
      <c r="F73" s="1307"/>
      <c r="I73" s="490"/>
    </row>
    <row r="74" spans="1:9" ht="14.25">
      <c r="A74" s="484"/>
      <c r="B74" s="484"/>
      <c r="D74" s="446"/>
      <c r="I74" s="490"/>
    </row>
    <row r="75" spans="1:9">
      <c r="A75" s="1308" t="s">
        <v>1044</v>
      </c>
      <c r="B75" s="1308"/>
      <c r="C75" s="1308"/>
      <c r="D75" s="1308"/>
      <c r="E75" s="1308"/>
      <c r="F75" s="1308"/>
      <c r="G75" s="1308"/>
      <c r="H75" s="1023"/>
      <c r="I75" s="1147"/>
    </row>
    <row r="76" spans="1:9">
      <c r="I76" s="490"/>
    </row>
    <row r="77" spans="1:9">
      <c r="C77" s="486"/>
      <c r="D77" s="1327" t="s">
        <v>1102</v>
      </c>
      <c r="E77" s="1327"/>
      <c r="F77" s="1327"/>
      <c r="I77" s="490"/>
    </row>
    <row r="78" spans="1:9">
      <c r="A78" s="446"/>
      <c r="B78" s="446"/>
      <c r="D78" s="1307" t="s">
        <v>1117</v>
      </c>
      <c r="E78" s="1307"/>
      <c r="F78" s="1307"/>
      <c r="I78" s="490"/>
    </row>
    <row r="79" spans="1:9">
      <c r="A79" s="446"/>
      <c r="B79" s="446"/>
      <c r="I79" s="490"/>
    </row>
    <row r="80" spans="1:9" ht="13.7" customHeight="1">
      <c r="A80" s="484"/>
      <c r="B80" s="485" t="s">
        <v>2760</v>
      </c>
      <c r="D80" s="1307" t="s">
        <v>1245</v>
      </c>
      <c r="E80" s="1307"/>
      <c r="F80" s="1307"/>
      <c r="I80" s="490"/>
    </row>
    <row r="81" spans="1:9" ht="14.25">
      <c r="A81" s="484"/>
      <c r="B81" s="484"/>
      <c r="D81" s="1307"/>
      <c r="E81" s="1307"/>
      <c r="F81" s="1307"/>
      <c r="I81" s="490"/>
    </row>
    <row r="82" spans="1:9" ht="14.25">
      <c r="A82" s="484"/>
      <c r="B82" s="484"/>
      <c r="D82" s="1307"/>
      <c r="E82" s="1307"/>
      <c r="F82" s="1307"/>
      <c r="I82" s="490"/>
    </row>
    <row r="83" spans="1:9" ht="14.25">
      <c r="A83" s="484"/>
      <c r="B83" s="484"/>
      <c r="D83" s="1307"/>
      <c r="E83" s="1307"/>
      <c r="F83" s="1307"/>
      <c r="I83" s="490"/>
    </row>
    <row r="84" spans="1:9" ht="14.25">
      <c r="A84" s="484"/>
      <c r="B84" s="484"/>
      <c r="D84" s="1307"/>
      <c r="E84" s="1307"/>
      <c r="F84" s="1307"/>
      <c r="I84" s="490"/>
    </row>
    <row r="85" spans="1:9" ht="14.25">
      <c r="A85" s="484"/>
      <c r="B85" s="484"/>
      <c r="D85" s="1307"/>
      <c r="E85" s="1307"/>
      <c r="F85" s="1307"/>
      <c r="I85" s="490"/>
    </row>
    <row r="86" spans="1:9" ht="14.25">
      <c r="A86" s="484"/>
      <c r="B86" s="484"/>
      <c r="D86" s="1307"/>
      <c r="E86" s="1307"/>
      <c r="F86" s="1307"/>
      <c r="I86" s="490"/>
    </row>
    <row r="87" spans="1:9" ht="14.25">
      <c r="A87" s="484"/>
      <c r="B87" s="484"/>
      <c r="D87" s="1307"/>
      <c r="E87" s="1307"/>
      <c r="F87" s="1307"/>
      <c r="I87" s="490"/>
    </row>
    <row r="88" spans="1:9" ht="14.25">
      <c r="A88" s="484"/>
      <c r="B88" s="484"/>
      <c r="D88" s="385"/>
      <c r="E88" s="385"/>
      <c r="F88" s="385"/>
      <c r="I88" s="490"/>
    </row>
    <row r="89" spans="1:9" ht="15" customHeight="1">
      <c r="A89" s="484"/>
      <c r="B89" s="485" t="s">
        <v>2760</v>
      </c>
      <c r="D89" s="1307" t="s">
        <v>1731</v>
      </c>
      <c r="E89" s="1307"/>
      <c r="F89" s="1307"/>
      <c r="I89" s="490"/>
    </row>
    <row r="90" spans="1:9" ht="14.25">
      <c r="A90" s="484"/>
      <c r="B90" s="484"/>
      <c r="D90" s="1307"/>
      <c r="E90" s="1307"/>
      <c r="F90" s="1307"/>
      <c r="I90" s="490"/>
    </row>
    <row r="91" spans="1:9" ht="14.25">
      <c r="A91" s="484"/>
      <c r="B91" s="484"/>
      <c r="D91" s="445"/>
      <c r="E91" s="445"/>
      <c r="F91" s="445"/>
      <c r="I91" s="490"/>
    </row>
    <row r="92" spans="1:9" ht="14.25">
      <c r="A92" s="484"/>
      <c r="B92" s="485" t="s">
        <v>2760</v>
      </c>
      <c r="D92" s="1307" t="s">
        <v>1734</v>
      </c>
      <c r="E92" s="1307"/>
      <c r="F92" s="1307"/>
      <c r="I92" s="490"/>
    </row>
    <row r="93" spans="1:9" ht="14.25">
      <c r="A93" s="484"/>
      <c r="B93" s="484"/>
      <c r="D93" s="1307"/>
      <c r="E93" s="1307"/>
      <c r="F93" s="1307"/>
      <c r="I93" s="490"/>
    </row>
    <row r="94" spans="1:9" ht="14.25">
      <c r="A94" s="484"/>
      <c r="B94" s="484"/>
      <c r="D94" s="1307"/>
      <c r="E94" s="1307"/>
      <c r="F94" s="1307"/>
      <c r="I94" s="490"/>
    </row>
    <row r="95" spans="1:9" ht="14.25">
      <c r="A95" s="484"/>
      <c r="B95" s="484"/>
      <c r="D95" s="445"/>
      <c r="E95" s="445"/>
      <c r="F95" s="445"/>
      <c r="I95" s="490"/>
    </row>
    <row r="96" spans="1:9" ht="14.25">
      <c r="A96" s="484"/>
      <c r="B96" s="485" t="s">
        <v>2760</v>
      </c>
      <c r="D96" s="1307" t="s">
        <v>1733</v>
      </c>
      <c r="E96" s="1307"/>
      <c r="F96" s="1307"/>
      <c r="I96" s="490"/>
    </row>
    <row r="97" spans="1:9" s="982" customFormat="1" ht="14.25">
      <c r="A97" s="980"/>
      <c r="B97" s="980"/>
      <c r="C97" s="981"/>
      <c r="D97" s="1307"/>
      <c r="E97" s="1307"/>
      <c r="F97" s="1307"/>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2665</v>
      </c>
      <c r="D100" s="1307" t="s">
        <v>1732</v>
      </c>
      <c r="E100" s="1307"/>
      <c r="F100" s="1307"/>
      <c r="I100" s="490"/>
    </row>
    <row r="101" spans="1:9" ht="14.25">
      <c r="A101" s="484"/>
      <c r="B101" s="484"/>
      <c r="D101" s="1307"/>
      <c r="E101" s="1307"/>
      <c r="F101" s="1307"/>
      <c r="I101" s="490"/>
    </row>
    <row r="102" spans="1:9" ht="14.25">
      <c r="A102" s="484"/>
      <c r="B102" s="484"/>
      <c r="D102" s="445"/>
      <c r="E102" s="445"/>
      <c r="F102" s="445"/>
      <c r="I102" s="490"/>
    </row>
    <row r="103" spans="1:9" ht="14.45" customHeight="1">
      <c r="A103" s="484"/>
      <c r="B103" s="485" t="s">
        <v>2665</v>
      </c>
      <c r="D103" s="1307" t="s">
        <v>1194</v>
      </c>
      <c r="E103" s="1307"/>
      <c r="F103" s="1307"/>
      <c r="I103" s="490"/>
    </row>
    <row r="104" spans="1:9" ht="14.25">
      <c r="A104" s="484"/>
      <c r="B104" s="484"/>
      <c r="D104" s="1307"/>
      <c r="E104" s="1307"/>
      <c r="F104" s="1307"/>
      <c r="I104" s="490"/>
    </row>
    <row r="105" spans="1:9" ht="14.25">
      <c r="A105" s="484"/>
      <c r="B105" s="484"/>
      <c r="D105" s="1307"/>
      <c r="E105" s="1307"/>
      <c r="F105" s="1307"/>
      <c r="I105" s="490"/>
    </row>
    <row r="106" spans="1:9" ht="14.25">
      <c r="A106" s="484"/>
      <c r="B106" s="484"/>
      <c r="D106" s="1307"/>
      <c r="E106" s="1307"/>
      <c r="F106" s="1307"/>
      <c r="I106" s="490"/>
    </row>
    <row r="107" spans="1:9" ht="14.25">
      <c r="A107" s="484"/>
      <c r="B107" s="484"/>
      <c r="D107" s="1307"/>
      <c r="E107" s="1307"/>
      <c r="F107" s="1307"/>
      <c r="I107" s="490"/>
    </row>
    <row r="108" spans="1:9" ht="14.25">
      <c r="A108" s="484"/>
      <c r="B108" s="484"/>
      <c r="D108" s="1307"/>
      <c r="E108" s="1307"/>
      <c r="F108" s="1307"/>
      <c r="I108" s="490"/>
    </row>
    <row r="109" spans="1:9" ht="14.25">
      <c r="A109" s="484"/>
      <c r="B109" s="484"/>
      <c r="D109" s="1307"/>
      <c r="E109" s="1307"/>
      <c r="F109" s="1307"/>
      <c r="I109" s="490"/>
    </row>
    <row r="110" spans="1:9" ht="14.25">
      <c r="A110" s="484"/>
      <c r="B110" s="484"/>
      <c r="D110" s="1307"/>
      <c r="E110" s="1307"/>
      <c r="F110" s="1307"/>
      <c r="I110" s="490"/>
    </row>
    <row r="111" spans="1:9" ht="14.25">
      <c r="A111" s="484"/>
      <c r="B111" s="484"/>
      <c r="D111" s="1307"/>
      <c r="E111" s="1307"/>
      <c r="F111" s="1307"/>
      <c r="I111" s="490"/>
    </row>
    <row r="112" spans="1:9" ht="14.25">
      <c r="A112" s="484"/>
      <c r="B112" s="484"/>
      <c r="D112" s="1307"/>
      <c r="E112" s="1307"/>
      <c r="F112" s="1307"/>
      <c r="I112" s="490"/>
    </row>
    <row r="113" spans="1:9" ht="14.25">
      <c r="A113" s="484"/>
      <c r="B113" s="484"/>
      <c r="D113" s="1307"/>
      <c r="E113" s="1307"/>
      <c r="F113" s="1307"/>
      <c r="I113" s="490"/>
    </row>
    <row r="114" spans="1:9" ht="14.25">
      <c r="A114" s="484"/>
      <c r="B114" s="484"/>
      <c r="D114" s="1307"/>
      <c r="E114" s="1307"/>
      <c r="F114" s="1307"/>
      <c r="I114" s="490"/>
    </row>
    <row r="115" spans="1:9" ht="14.25">
      <c r="A115" s="484"/>
      <c r="B115" s="484"/>
      <c r="D115" s="1307"/>
      <c r="E115" s="1307"/>
      <c r="F115" s="1307"/>
      <c r="I115" s="490"/>
    </row>
    <row r="116" spans="1:9" ht="14.25">
      <c r="A116" s="484"/>
      <c r="B116" s="484"/>
      <c r="D116" s="1307"/>
      <c r="E116" s="1307"/>
      <c r="F116" s="1307"/>
      <c r="I116" s="490"/>
    </row>
    <row r="117" spans="1:9" ht="14.25">
      <c r="A117" s="484"/>
      <c r="B117" s="484"/>
      <c r="D117" s="1307"/>
      <c r="E117" s="1307"/>
      <c r="F117" s="1307"/>
      <c r="I117" s="490"/>
    </row>
    <row r="118" spans="1:9" ht="14.25">
      <c r="A118" s="484"/>
      <c r="B118" s="484"/>
      <c r="D118" s="524"/>
      <c r="E118" s="524"/>
      <c r="F118" s="524"/>
      <c r="I118" s="490"/>
    </row>
    <row r="119" spans="1:9" ht="14.25" customHeight="1">
      <c r="A119" s="484"/>
      <c r="B119" s="485" t="s">
        <v>2665</v>
      </c>
      <c r="D119" s="1333" t="s">
        <v>1103</v>
      </c>
      <c r="E119" s="1333"/>
      <c r="F119" s="1333"/>
      <c r="I119" s="490"/>
    </row>
    <row r="120" spans="1:9" ht="14.25">
      <c r="A120" s="484"/>
      <c r="B120" s="484"/>
      <c r="D120" s="1333"/>
      <c r="E120" s="1333"/>
      <c r="F120" s="1333"/>
      <c r="I120" s="490"/>
    </row>
    <row r="121" spans="1:9" ht="14.25">
      <c r="A121" s="484"/>
      <c r="B121" s="484"/>
      <c r="D121" s="1333"/>
      <c r="E121" s="1333"/>
      <c r="F121" s="1333"/>
      <c r="I121" s="490"/>
    </row>
    <row r="122" spans="1:9" ht="14.25">
      <c r="A122" s="484"/>
      <c r="B122" s="484"/>
      <c r="D122" s="1333"/>
      <c r="E122" s="1333"/>
      <c r="F122" s="1333"/>
      <c r="I122" s="490"/>
    </row>
    <row r="123" spans="1:9" ht="14.25">
      <c r="A123" s="484"/>
      <c r="B123" s="484"/>
      <c r="D123" s="1333"/>
      <c r="E123" s="1333"/>
      <c r="F123" s="1333"/>
      <c r="I123" s="490"/>
    </row>
    <row r="124" spans="1:9" ht="14.25">
      <c r="A124" s="484"/>
      <c r="B124" s="484"/>
      <c r="D124" s="1333"/>
      <c r="E124" s="1333"/>
      <c r="F124" s="1333"/>
      <c r="I124" s="490"/>
    </row>
    <row r="125" spans="1:9" ht="14.25">
      <c r="A125" s="484"/>
      <c r="B125" s="484"/>
      <c r="D125" s="1333"/>
      <c r="E125" s="1333"/>
      <c r="F125" s="1333"/>
      <c r="I125" s="490"/>
    </row>
    <row r="126" spans="1:9" ht="14.25">
      <c r="A126" s="484"/>
      <c r="B126" s="484"/>
      <c r="D126" s="1333"/>
      <c r="E126" s="1333"/>
      <c r="F126" s="1333"/>
      <c r="I126" s="490"/>
    </row>
    <row r="127" spans="1:9">
      <c r="C127" s="402"/>
      <c r="D127" s="525"/>
      <c r="E127" s="525"/>
      <c r="F127" s="525"/>
      <c r="I127" s="490"/>
    </row>
    <row r="128" spans="1:9" ht="14.25">
      <c r="A128" s="484"/>
      <c r="B128" s="485" t="s">
        <v>2760</v>
      </c>
      <c r="C128" s="402"/>
      <c r="D128" s="1333" t="s">
        <v>2010</v>
      </c>
      <c r="E128" s="1333"/>
      <c r="F128" s="1333"/>
      <c r="I128" s="490"/>
    </row>
    <row r="129" spans="1:9" ht="14.25">
      <c r="A129" s="484"/>
      <c r="B129" s="484"/>
      <c r="C129" s="402"/>
      <c r="D129" s="1333"/>
      <c r="E129" s="1333"/>
      <c r="F129" s="1333"/>
      <c r="I129" s="490"/>
    </row>
    <row r="130" spans="1:9">
      <c r="I130" s="490"/>
    </row>
    <row r="131" spans="1:9" ht="14.25">
      <c r="A131" s="484"/>
      <c r="B131" s="485" t="s">
        <v>2760</v>
      </c>
      <c r="D131" s="1307" t="s">
        <v>1104</v>
      </c>
      <c r="E131" s="1307"/>
      <c r="F131" s="1307"/>
      <c r="I131" s="490"/>
    </row>
    <row r="132" spans="1:9">
      <c r="D132" s="1307"/>
      <c r="E132" s="1307"/>
      <c r="F132" s="1307"/>
      <c r="I132" s="490"/>
    </row>
    <row r="133" spans="1:9">
      <c r="D133" s="1307"/>
      <c r="E133" s="1307"/>
      <c r="F133" s="1307"/>
      <c r="I133" s="490"/>
    </row>
    <row r="134" spans="1:9">
      <c r="D134" s="1307"/>
      <c r="E134" s="1307"/>
      <c r="F134" s="1307"/>
      <c r="I134" s="490"/>
    </row>
    <row r="135" spans="1:9">
      <c r="D135" s="1307"/>
      <c r="E135" s="1307"/>
      <c r="F135" s="1307"/>
      <c r="I135" s="490"/>
    </row>
    <row r="136" spans="1:9">
      <c r="I136" s="490"/>
    </row>
    <row r="137" spans="1:9" ht="14.25">
      <c r="A137" s="484"/>
      <c r="B137" s="485" t="s">
        <v>2760</v>
      </c>
      <c r="D137" s="1307" t="s">
        <v>1105</v>
      </c>
      <c r="E137" s="1307"/>
      <c r="F137" s="1307"/>
      <c r="I137" s="490"/>
    </row>
    <row r="138" spans="1:9" s="417" customFormat="1" ht="13.7" customHeight="1">
      <c r="A138" s="488"/>
      <c r="B138" s="488"/>
      <c r="C138" s="488"/>
      <c r="D138" s="1307"/>
      <c r="E138" s="1307"/>
      <c r="F138" s="1307"/>
      <c r="I138" s="1149"/>
    </row>
    <row r="139" spans="1:9" ht="13.7" customHeight="1">
      <c r="D139" s="1307"/>
      <c r="E139" s="1307"/>
      <c r="F139" s="1307"/>
      <c r="I139" s="490"/>
    </row>
    <row r="140" spans="1:9" ht="13.7" customHeight="1">
      <c r="D140" s="1307"/>
      <c r="E140" s="1307"/>
      <c r="F140" s="1307"/>
      <c r="I140" s="490"/>
    </row>
    <row r="141" spans="1:9" ht="13.7" customHeight="1">
      <c r="D141" s="1307"/>
      <c r="E141" s="1307"/>
      <c r="F141" s="1307"/>
      <c r="I141" s="490"/>
    </row>
    <row r="142" spans="1:9" ht="13.7" customHeight="1">
      <c r="A142" s="489"/>
      <c r="B142" s="489"/>
      <c r="D142" s="1307"/>
      <c r="E142" s="1307"/>
      <c r="F142" s="1307"/>
      <c r="I142" s="490"/>
    </row>
    <row r="143" spans="1:9" ht="13.7" customHeight="1">
      <c r="D143" s="1307"/>
      <c r="E143" s="1307"/>
      <c r="F143" s="1307"/>
      <c r="I143" s="490"/>
    </row>
    <row r="144" spans="1:9" ht="13.7" customHeight="1">
      <c r="D144" s="1307"/>
      <c r="E144" s="1307"/>
      <c r="F144" s="1307"/>
      <c r="I144" s="490"/>
    </row>
    <row r="145" spans="2:9" ht="13.7" customHeight="1">
      <c r="D145" s="1307"/>
      <c r="E145" s="1307"/>
      <c r="F145" s="1307"/>
      <c r="I145" s="490"/>
    </row>
    <row r="146" spans="2:9" ht="13.7" customHeight="1">
      <c r="D146" s="1307"/>
      <c r="E146" s="1307"/>
      <c r="F146" s="1307"/>
      <c r="I146" s="490"/>
    </row>
    <row r="147" spans="2:9" ht="13.7" customHeight="1">
      <c r="D147" s="1307"/>
      <c r="E147" s="1307"/>
      <c r="F147" s="1307"/>
      <c r="I147" s="490"/>
    </row>
    <row r="148" spans="2:9" ht="13.7" customHeight="1">
      <c r="D148" s="1307"/>
      <c r="E148" s="1307"/>
      <c r="F148" s="1307"/>
      <c r="I148" s="490"/>
    </row>
    <row r="149" spans="2:9" ht="13.7" customHeight="1">
      <c r="D149" s="1307"/>
      <c r="E149" s="1307"/>
      <c r="F149" s="1307"/>
      <c r="I149" s="490"/>
    </row>
    <row r="150" spans="2:9" ht="13.7" customHeight="1">
      <c r="D150" s="476"/>
      <c r="E150" s="446"/>
      <c r="F150" s="446"/>
      <c r="I150" s="490"/>
    </row>
    <row r="151" spans="2:9" ht="13.7" customHeight="1">
      <c r="B151" s="485" t="s">
        <v>2665</v>
      </c>
      <c r="D151" s="1307" t="s">
        <v>1177</v>
      </c>
      <c r="E151" s="1307"/>
      <c r="F151" s="1307"/>
      <c r="I151" s="490"/>
    </row>
    <row r="152" spans="2:9" ht="13.7" customHeight="1">
      <c r="D152" s="1307"/>
      <c r="E152" s="1307"/>
      <c r="F152" s="1307"/>
      <c r="I152" s="490"/>
    </row>
    <row r="153" spans="2:9" ht="13.7" customHeight="1">
      <c r="D153" s="1307"/>
      <c r="E153" s="1307"/>
      <c r="F153" s="1307"/>
      <c r="I153" s="490"/>
    </row>
    <row r="154" spans="2:9" ht="13.7" customHeight="1">
      <c r="D154" s="1307"/>
      <c r="E154" s="1307"/>
      <c r="F154" s="1307"/>
      <c r="I154" s="490"/>
    </row>
    <row r="155" spans="2:9" ht="13.7" customHeight="1">
      <c r="D155" s="1307"/>
      <c r="E155" s="1307"/>
      <c r="F155" s="1307"/>
      <c r="I155" s="490"/>
    </row>
    <row r="156" spans="2:9" ht="13.7" customHeight="1">
      <c r="D156" s="1307"/>
      <c r="E156" s="1307"/>
      <c r="F156" s="1307"/>
      <c r="I156" s="490"/>
    </row>
    <row r="157" spans="2:9" ht="13.7" customHeight="1">
      <c r="D157" s="1307"/>
      <c r="E157" s="1307"/>
      <c r="F157" s="1307"/>
      <c r="I157" s="490"/>
    </row>
    <row r="158" spans="2:9" ht="13.7" customHeight="1">
      <c r="D158" s="1307"/>
      <c r="E158" s="1307"/>
      <c r="F158" s="1307"/>
      <c r="I158" s="490"/>
    </row>
    <row r="159" spans="2:9" ht="13.7" customHeight="1">
      <c r="D159" s="1307"/>
      <c r="E159" s="1307"/>
      <c r="F159" s="1307"/>
      <c r="I159" s="490"/>
    </row>
    <row r="160" spans="2:9" ht="13.7" customHeight="1">
      <c r="D160" s="1307"/>
      <c r="E160" s="1307"/>
      <c r="F160" s="1307"/>
      <c r="I160" s="490"/>
    </row>
    <row r="161" spans="1:9" ht="13.7" customHeight="1">
      <c r="D161" s="1307"/>
      <c r="E161" s="1307"/>
      <c r="F161" s="1307"/>
      <c r="I161" s="490"/>
    </row>
    <row r="162" spans="1:9" ht="13.7" customHeight="1">
      <c r="D162" s="1307"/>
      <c r="E162" s="1307"/>
      <c r="F162" s="1307"/>
      <c r="I162" s="490"/>
    </row>
    <row r="163" spans="1:9" ht="13.7" customHeight="1">
      <c r="D163" s="1307"/>
      <c r="E163" s="1307"/>
      <c r="F163" s="1307"/>
      <c r="I163" s="490"/>
    </row>
    <row r="164" spans="1:9" ht="13.7" customHeight="1">
      <c r="D164" s="1307"/>
      <c r="E164" s="1307"/>
      <c r="F164" s="1307"/>
      <c r="I164" s="490"/>
    </row>
    <row r="165" spans="1:9" ht="13.7" customHeight="1">
      <c r="D165" s="1307"/>
      <c r="E165" s="1307"/>
      <c r="F165" s="1307"/>
      <c r="I165" s="490"/>
    </row>
    <row r="166" spans="1:9" ht="13.7" customHeight="1">
      <c r="D166" s="1307"/>
      <c r="E166" s="1307"/>
      <c r="F166" s="1307"/>
      <c r="I166" s="490"/>
    </row>
    <row r="167" spans="1:9" ht="13.7" customHeight="1">
      <c r="D167" s="1307"/>
      <c r="E167" s="1307"/>
      <c r="F167" s="1307"/>
      <c r="I167" s="490"/>
    </row>
    <row r="168" spans="1:9" ht="13.7" customHeight="1">
      <c r="D168" s="1307"/>
      <c r="E168" s="1307"/>
      <c r="F168" s="1307"/>
      <c r="I168" s="490"/>
    </row>
    <row r="169" spans="1:9" ht="13.7" customHeight="1">
      <c r="D169" s="1330" t="s">
        <v>2032</v>
      </c>
      <c r="E169" s="1330"/>
      <c r="F169" s="1330"/>
      <c r="G169" s="507"/>
      <c r="I169" s="490"/>
    </row>
    <row r="170" spans="1:9" ht="13.7" customHeight="1">
      <c r="D170" s="1317"/>
      <c r="E170" s="1317"/>
      <c r="F170" s="1317"/>
      <c r="G170" s="1317"/>
      <c r="I170" s="490"/>
    </row>
    <row r="171" spans="1:9" ht="14.45" customHeight="1">
      <c r="A171" s="489"/>
      <c r="B171" s="485" t="s">
        <v>2665</v>
      </c>
      <c r="C171" s="476"/>
      <c r="D171" s="1279" t="s">
        <v>2168</v>
      </c>
      <c r="E171" s="1279"/>
      <c r="F171" s="1279"/>
      <c r="G171" s="476"/>
      <c r="I171" s="490"/>
    </row>
    <row r="172" spans="1:9" ht="14.45" customHeight="1">
      <c r="A172" s="489"/>
      <c r="B172" s="489"/>
      <c r="C172" s="476"/>
      <c r="D172" s="1279"/>
      <c r="E172" s="1279"/>
      <c r="F172" s="1279"/>
      <c r="G172" s="476"/>
      <c r="I172" s="490"/>
    </row>
    <row r="173" spans="1:9" ht="14.45" customHeight="1">
      <c r="A173" s="489"/>
      <c r="B173" s="489"/>
      <c r="C173" s="476"/>
      <c r="D173" s="1279"/>
      <c r="E173" s="1279"/>
      <c r="F173" s="1279"/>
      <c r="G173" s="476"/>
      <c r="I173" s="490"/>
    </row>
    <row r="174" spans="1:9" ht="14.45" customHeight="1">
      <c r="A174" s="489"/>
      <c r="B174" s="489"/>
      <c r="C174" s="476"/>
      <c r="D174" s="1279"/>
      <c r="E174" s="1279"/>
      <c r="F174" s="1279"/>
      <c r="G174" s="476"/>
      <c r="I174" s="490"/>
    </row>
    <row r="175" spans="1:9" ht="13.7" customHeight="1">
      <c r="A175" s="489"/>
      <c r="B175" s="489"/>
      <c r="C175" s="476"/>
      <c r="D175" s="1279"/>
      <c r="E175" s="1279"/>
      <c r="F175" s="1279"/>
      <c r="G175" s="476"/>
      <c r="I175" s="490"/>
    </row>
    <row r="176" spans="1:9" ht="13.7" customHeight="1">
      <c r="A176" s="489"/>
      <c r="B176" s="489"/>
      <c r="C176" s="476"/>
      <c r="D176" s="476"/>
      <c r="E176" s="476"/>
      <c r="F176" s="476"/>
      <c r="G176" s="476"/>
      <c r="I176" s="490"/>
    </row>
    <row r="177" spans="1:9" ht="13.7" customHeight="1">
      <c r="A177" s="489"/>
      <c r="B177" s="485" t="s">
        <v>2665</v>
      </c>
      <c r="C177" s="476"/>
      <c r="D177" s="1279" t="s">
        <v>1106</v>
      </c>
      <c r="E177" s="1279"/>
      <c r="F177" s="1279"/>
      <c r="G177" s="476"/>
      <c r="I177" s="490"/>
    </row>
    <row r="178" spans="1:9" ht="13.7" customHeight="1">
      <c r="A178" s="489"/>
      <c r="B178" s="489"/>
      <c r="C178" s="476"/>
      <c r="D178" s="1279"/>
      <c r="E178" s="1279"/>
      <c r="F178" s="1279"/>
      <c r="G178" s="476"/>
      <c r="I178" s="490"/>
    </row>
    <row r="179" spans="1:9" ht="13.7" customHeight="1">
      <c r="A179" s="489"/>
      <c r="B179" s="489"/>
      <c r="C179" s="476"/>
      <c r="D179" s="1279"/>
      <c r="E179" s="1279"/>
      <c r="F179" s="1279"/>
      <c r="G179" s="476"/>
      <c r="I179" s="490"/>
    </row>
    <row r="180" spans="1:9" ht="13.7" customHeight="1">
      <c r="A180" s="489"/>
      <c r="B180" s="489"/>
      <c r="C180" s="476"/>
      <c r="D180" s="1279"/>
      <c r="E180" s="1279"/>
      <c r="F180" s="1279"/>
      <c r="G180" s="476"/>
      <c r="I180" s="490"/>
    </row>
    <row r="181" spans="1:9" ht="13.7" customHeight="1">
      <c r="D181" s="446"/>
      <c r="E181" s="446"/>
      <c r="F181" s="446"/>
      <c r="I181" s="490"/>
    </row>
    <row r="182" spans="1:9" ht="13.7" hidden="1" customHeight="1">
      <c r="B182" s="485" t="s">
        <v>307</v>
      </c>
      <c r="D182" s="1323" t="s">
        <v>2011</v>
      </c>
      <c r="E182" s="1323"/>
      <c r="F182" s="1323"/>
      <c r="I182" s="490"/>
    </row>
    <row r="183" spans="1:9" ht="13.7" hidden="1" customHeight="1">
      <c r="D183" s="1323"/>
      <c r="E183" s="1323"/>
      <c r="F183" s="1323"/>
      <c r="I183" s="490"/>
    </row>
    <row r="184" spans="1:9" ht="13.7" hidden="1" customHeight="1">
      <c r="D184" s="1323"/>
      <c r="E184" s="1323"/>
      <c r="F184" s="1323"/>
      <c r="I184" s="490"/>
    </row>
    <row r="185" spans="1:9" ht="13.7" customHeight="1">
      <c r="A185" s="490"/>
      <c r="B185" s="490"/>
      <c r="E185" s="446"/>
      <c r="F185" s="446"/>
      <c r="I185" s="490"/>
    </row>
    <row r="186" spans="1:9">
      <c r="A186" s="1308" t="s">
        <v>2012</v>
      </c>
      <c r="B186" s="1308"/>
      <c r="C186" s="1308"/>
      <c r="D186" s="1308"/>
      <c r="E186" s="1308"/>
      <c r="F186" s="1308"/>
      <c r="G186" s="1308"/>
      <c r="H186" s="1023"/>
      <c r="I186" s="1147"/>
    </row>
    <row r="187" spans="1:9" ht="12" customHeight="1">
      <c r="D187" s="446"/>
      <c r="E187" s="446"/>
      <c r="F187" s="446"/>
      <c r="I187" s="490"/>
    </row>
    <row r="188" spans="1:9">
      <c r="B188" s="1313" t="s">
        <v>446</v>
      </c>
      <c r="C188" s="1313"/>
      <c r="D188" s="1313"/>
      <c r="E188" s="1313"/>
      <c r="F188" s="1313"/>
      <c r="I188" s="490"/>
    </row>
    <row r="189" spans="1:9">
      <c r="B189" s="392" t="s">
        <v>1849</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3"/>
      <c r="I191" s="1147"/>
    </row>
    <row r="192" spans="1:9" ht="12" customHeight="1">
      <c r="A192" s="404"/>
      <c r="B192" s="404"/>
      <c r="E192" s="404"/>
      <c r="I192" s="490"/>
    </row>
    <row r="193" spans="1:9" ht="13.7" customHeight="1">
      <c r="A193" s="404"/>
      <c r="B193" s="404"/>
      <c r="D193" s="1327" t="s">
        <v>1735</v>
      </c>
      <c r="E193" s="1327"/>
      <c r="F193" s="1327"/>
      <c r="I193" s="490"/>
    </row>
    <row r="194" spans="1:9">
      <c r="A194" s="404"/>
      <c r="B194" s="404"/>
      <c r="D194" s="1327"/>
      <c r="E194" s="1327"/>
      <c r="F194" s="1327"/>
      <c r="I194" s="490"/>
    </row>
    <row r="195" spans="1:9">
      <c r="A195" s="404"/>
      <c r="B195" s="404"/>
      <c r="D195" s="1313" t="s">
        <v>1195</v>
      </c>
      <c r="E195" s="1313"/>
      <c r="F195" s="1313"/>
      <c r="I195" s="490"/>
    </row>
    <row r="196" spans="1:9">
      <c r="A196" s="404"/>
      <c r="B196" s="404"/>
      <c r="D196" s="392"/>
      <c r="E196" s="392"/>
      <c r="F196" s="392"/>
      <c r="I196" s="490"/>
    </row>
    <row r="197" spans="1:9">
      <c r="A197" s="404"/>
      <c r="B197" s="485" t="s">
        <v>2665</v>
      </c>
      <c r="D197" s="1297" t="s">
        <v>1736</v>
      </c>
      <c r="E197" s="1297"/>
      <c r="F197" s="1297"/>
      <c r="I197" s="490"/>
    </row>
    <row r="198" spans="1:9">
      <c r="A198" s="404"/>
      <c r="B198" s="404"/>
      <c r="D198" s="1288" t="s">
        <v>1875</v>
      </c>
      <c r="E198" s="1288"/>
      <c r="F198" s="1288"/>
      <c r="I198" s="490"/>
    </row>
    <row r="199" spans="1:9">
      <c r="A199" s="404"/>
      <c r="B199" s="404"/>
      <c r="D199" s="96" t="s">
        <v>1737</v>
      </c>
      <c r="E199" s="1335" t="s">
        <v>1898</v>
      </c>
      <c r="F199" s="1335"/>
      <c r="I199" s="490"/>
    </row>
    <row r="200" spans="1:9">
      <c r="A200" s="404"/>
      <c r="B200" s="404"/>
      <c r="D200" s="3"/>
      <c r="E200" s="3"/>
      <c r="F200" s="3"/>
      <c r="I200" s="490"/>
    </row>
    <row r="201" spans="1:9">
      <c r="A201" s="404"/>
      <c r="B201" s="485" t="s">
        <v>2665</v>
      </c>
      <c r="D201" s="1288" t="s">
        <v>1738</v>
      </c>
      <c r="E201" s="1288"/>
      <c r="F201" s="1288"/>
      <c r="I201" s="490"/>
    </row>
    <row r="202" spans="1:9">
      <c r="A202" s="404"/>
      <c r="B202" s="404"/>
      <c r="D202" s="1297" t="s">
        <v>1875</v>
      </c>
      <c r="E202" s="1297"/>
      <c r="F202" s="1297"/>
      <c r="I202" s="490"/>
    </row>
    <row r="203" spans="1:9">
      <c r="A203" s="404"/>
      <c r="B203" s="404"/>
      <c r="D203" s="57" t="s">
        <v>1739</v>
      </c>
      <c r="E203" s="1335" t="s">
        <v>1899</v>
      </c>
      <c r="F203" s="1335"/>
      <c r="I203" s="490"/>
    </row>
    <row r="204" spans="1:9">
      <c r="A204" s="404"/>
      <c r="B204" s="404"/>
      <c r="D204" s="3"/>
      <c r="E204" s="3"/>
      <c r="F204" s="3"/>
      <c r="I204" s="490"/>
    </row>
    <row r="205" spans="1:9">
      <c r="A205" s="404"/>
      <c r="B205" s="485" t="s">
        <v>2760</v>
      </c>
      <c r="D205" s="1288" t="s">
        <v>1740</v>
      </c>
      <c r="E205" s="1288"/>
      <c r="F205" s="1288"/>
      <c r="I205" s="490"/>
    </row>
    <row r="206" spans="1:9">
      <c r="A206" s="404"/>
      <c r="B206" s="404"/>
      <c r="D206" s="1297" t="s">
        <v>1875</v>
      </c>
      <c r="E206" s="1297"/>
      <c r="F206" s="1297"/>
      <c r="I206" s="490"/>
    </row>
    <row r="207" spans="1:9">
      <c r="A207" s="404"/>
      <c r="B207" s="404"/>
      <c r="D207" s="57" t="s">
        <v>1737</v>
      </c>
      <c r="E207" s="1335" t="s">
        <v>1900</v>
      </c>
      <c r="F207" s="1335"/>
      <c r="I207" s="490"/>
    </row>
    <row r="208" spans="1:9">
      <c r="A208" s="404"/>
      <c r="B208" s="404"/>
      <c r="D208" s="392"/>
      <c r="E208" s="392"/>
      <c r="F208" s="392"/>
      <c r="I208" s="490"/>
    </row>
    <row r="209" spans="1:9" ht="14.25" customHeight="1">
      <c r="A209" s="484"/>
      <c r="B209" s="485" t="s">
        <v>2665</v>
      </c>
      <c r="D209" s="386" t="s">
        <v>1868</v>
      </c>
      <c r="E209" s="385"/>
      <c r="F209" s="385"/>
      <c r="I209" s="490"/>
    </row>
    <row r="210" spans="1:9" ht="14.25">
      <c r="A210" s="484"/>
      <c r="B210" s="484"/>
      <c r="D210" s="1297" t="s">
        <v>1875</v>
      </c>
      <c r="E210" s="1297"/>
      <c r="F210" s="1297"/>
      <c r="I210" s="490"/>
    </row>
    <row r="211" spans="1:9">
      <c r="D211" s="385"/>
      <c r="E211" s="1335" t="s">
        <v>1901</v>
      </c>
      <c r="F211" s="1335"/>
      <c r="I211" s="490"/>
    </row>
    <row r="212" spans="1:9">
      <c r="D212" s="447"/>
      <c r="I212" s="490"/>
    </row>
    <row r="213" spans="1:9">
      <c r="B213" s="485" t="s">
        <v>2665</v>
      </c>
      <c r="D213" s="1288" t="s">
        <v>1741</v>
      </c>
      <c r="E213" s="1288"/>
      <c r="F213" s="1288"/>
      <c r="I213" s="490"/>
    </row>
    <row r="214" spans="1:9">
      <c r="D214" s="1297" t="s">
        <v>1875</v>
      </c>
      <c r="E214" s="1297"/>
      <c r="F214" s="1297"/>
      <c r="I214" s="490"/>
    </row>
    <row r="215" spans="1:9">
      <c r="D215" s="57" t="s">
        <v>1737</v>
      </c>
      <c r="E215" s="1335" t="s">
        <v>1902</v>
      </c>
      <c r="F215" s="1335"/>
      <c r="I215" s="490"/>
    </row>
    <row r="216" spans="1:9">
      <c r="D216" s="451"/>
      <c r="E216" s="451"/>
      <c r="F216" s="451"/>
      <c r="I216" s="490"/>
    </row>
    <row r="217" spans="1:9" ht="14.25">
      <c r="A217" s="484"/>
      <c r="B217" s="485" t="s">
        <v>2665</v>
      </c>
      <c r="D217" s="1307" t="s">
        <v>1216</v>
      </c>
      <c r="E217" s="1307"/>
      <c r="F217" s="1307"/>
      <c r="I217" s="490"/>
    </row>
    <row r="218" spans="1:9" ht="14.45" customHeight="1">
      <c r="A218" s="484"/>
      <c r="B218" s="402"/>
      <c r="D218" s="1307"/>
      <c r="E218" s="1307"/>
      <c r="F218" s="1307"/>
      <c r="I218" s="490"/>
    </row>
    <row r="219" spans="1:9" ht="14.25">
      <c r="A219" s="484"/>
      <c r="D219" s="1307"/>
      <c r="E219" s="1307"/>
      <c r="F219" s="1307"/>
      <c r="I219" s="490"/>
    </row>
    <row r="220" spans="1:9" ht="14.25">
      <c r="A220" s="484"/>
      <c r="D220" s="1307"/>
      <c r="E220" s="1307"/>
      <c r="F220" s="1307"/>
      <c r="I220" s="490"/>
    </row>
    <row r="221" spans="1:9">
      <c r="D221" s="451"/>
      <c r="E221" s="451"/>
      <c r="F221" s="451"/>
      <c r="I221" s="490"/>
    </row>
    <row r="222" spans="1:9">
      <c r="A222" s="1308" t="s">
        <v>1046</v>
      </c>
      <c r="B222" s="1308"/>
      <c r="C222" s="1308"/>
      <c r="D222" s="1308"/>
      <c r="E222" s="1308"/>
      <c r="F222" s="1308"/>
      <c r="G222" s="1308"/>
      <c r="H222" s="1023"/>
      <c r="I222" s="1147"/>
    </row>
    <row r="223" spans="1:9" ht="12" customHeight="1">
      <c r="D223" s="446"/>
      <c r="E223" s="446"/>
      <c r="F223" s="446"/>
      <c r="I223" s="490"/>
    </row>
    <row r="224" spans="1:9">
      <c r="C224" s="486"/>
      <c r="D224" s="1310" t="s">
        <v>208</v>
      </c>
      <c r="E224" s="1310"/>
      <c r="F224" s="1310"/>
      <c r="I224" s="490"/>
    </row>
    <row r="225" spans="1:9">
      <c r="A225" s="482"/>
      <c r="B225" s="482"/>
      <c r="C225" s="482"/>
      <c r="D225" s="1309" t="s">
        <v>1120</v>
      </c>
      <c r="E225" s="1309"/>
      <c r="F225" s="1309"/>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2760</v>
      </c>
      <c r="D228" s="1307" t="s">
        <v>1742</v>
      </c>
      <c r="E228" s="1307"/>
      <c r="F228" s="1307"/>
      <c r="I228" s="490"/>
    </row>
    <row r="229" spans="1:9" ht="14.25" customHeight="1">
      <c r="A229" s="484"/>
      <c r="B229" s="484"/>
      <c r="D229" s="1307"/>
      <c r="E229" s="1307"/>
      <c r="F229" s="1307"/>
      <c r="I229" s="490"/>
    </row>
    <row r="230" spans="1:9" ht="14.25" customHeight="1">
      <c r="A230" s="484"/>
      <c r="B230" s="484"/>
      <c r="D230" s="1307"/>
      <c r="E230" s="1307"/>
      <c r="F230" s="1307"/>
      <c r="I230" s="490"/>
    </row>
    <row r="231" spans="1:9" ht="14.25">
      <c r="A231" s="484"/>
      <c r="B231" s="484"/>
      <c r="D231" s="1307"/>
      <c r="E231" s="1307"/>
      <c r="F231" s="1307"/>
      <c r="I231" s="490"/>
    </row>
    <row r="232" spans="1:9" ht="14.25">
      <c r="A232" s="484"/>
      <c r="B232" s="484"/>
      <c r="D232" s="445"/>
      <c r="E232" s="445"/>
      <c r="F232" s="445"/>
      <c r="I232" s="490"/>
    </row>
    <row r="233" spans="1:9" ht="14.25">
      <c r="A233" s="484"/>
      <c r="B233" s="485" t="s">
        <v>2760</v>
      </c>
      <c r="D233" s="1307" t="s">
        <v>1743</v>
      </c>
      <c r="E233" s="1307"/>
      <c r="F233" s="1307"/>
      <c r="I233" s="490"/>
    </row>
    <row r="234" spans="1:9" ht="14.25">
      <c r="A234" s="484"/>
      <c r="B234" s="484"/>
      <c r="D234" s="1307"/>
      <c r="E234" s="1307"/>
      <c r="F234" s="1307"/>
      <c r="I234" s="490"/>
    </row>
    <row r="235" spans="1:9" ht="14.25">
      <c r="A235" s="484"/>
      <c r="B235" s="484"/>
      <c r="D235" s="1307"/>
      <c r="E235" s="1307"/>
      <c r="F235" s="1307"/>
      <c r="I235" s="490"/>
    </row>
    <row r="236" spans="1:9" ht="14.25">
      <c r="A236" s="484"/>
      <c r="B236" s="484"/>
      <c r="D236" s="1307"/>
      <c r="E236" s="1307"/>
      <c r="F236" s="1307"/>
      <c r="I236" s="490"/>
    </row>
    <row r="237" spans="1:9" ht="14.25" customHeight="1">
      <c r="A237" s="484"/>
      <c r="B237" s="484"/>
      <c r="D237" s="1307"/>
      <c r="E237" s="1307"/>
      <c r="F237" s="1307"/>
      <c r="I237" s="490"/>
    </row>
    <row r="238" spans="1:9" ht="14.25" customHeight="1">
      <c r="A238" s="484"/>
      <c r="B238" s="484"/>
      <c r="D238" s="445"/>
      <c r="E238" s="445"/>
      <c r="F238" s="445"/>
      <c r="I238" s="490"/>
    </row>
    <row r="239" spans="1:9" ht="14.25">
      <c r="A239" s="484"/>
      <c r="B239" s="484"/>
      <c r="D239" s="1307" t="s">
        <v>1118</v>
      </c>
      <c r="E239" s="1307"/>
      <c r="F239" s="1307"/>
      <c r="I239" s="490"/>
    </row>
    <row r="240" spans="1:9" ht="14.25">
      <c r="A240" s="484"/>
      <c r="B240" s="484"/>
      <c r="D240" s="1307"/>
      <c r="E240" s="1307"/>
      <c r="F240" s="1307"/>
      <c r="I240" s="490"/>
    </row>
    <row r="241" spans="1:9" ht="14.25">
      <c r="A241" s="484"/>
      <c r="B241" s="484"/>
      <c r="D241" s="1307"/>
      <c r="E241" s="1307"/>
      <c r="F241" s="1307"/>
      <c r="I241" s="490"/>
    </row>
    <row r="242" spans="1:9" ht="14.25">
      <c r="A242" s="484"/>
      <c r="B242" s="484"/>
      <c r="D242" s="1307"/>
      <c r="E242" s="1307"/>
      <c r="F242" s="1307"/>
      <c r="I242" s="490"/>
    </row>
    <row r="243" spans="1:9" ht="14.25">
      <c r="A243" s="484"/>
      <c r="B243" s="484"/>
      <c r="D243" s="1307"/>
      <c r="E243" s="1307"/>
      <c r="F243" s="1307"/>
      <c r="I243" s="490"/>
    </row>
    <row r="244" spans="1:9" ht="14.25">
      <c r="A244" s="484"/>
      <c r="B244" s="484"/>
      <c r="D244" s="446"/>
      <c r="E244" s="446"/>
      <c r="F244" s="446"/>
      <c r="I244" s="490"/>
    </row>
    <row r="245" spans="1:9" ht="14.25">
      <c r="A245" s="484"/>
      <c r="B245" s="485" t="s">
        <v>2665</v>
      </c>
      <c r="D245" s="1307" t="s">
        <v>2013</v>
      </c>
      <c r="E245" s="1307"/>
      <c r="F245" s="1307"/>
      <c r="I245" s="490"/>
    </row>
    <row r="246" spans="1:9" ht="14.25">
      <c r="A246" s="484"/>
      <c r="B246" s="484"/>
      <c r="D246" s="1307"/>
      <c r="E246" s="1307"/>
      <c r="F246" s="1307"/>
      <c r="I246" s="490"/>
    </row>
    <row r="247" spans="1:9" ht="14.25">
      <c r="A247" s="484"/>
      <c r="B247" s="484"/>
      <c r="D247" s="1307"/>
      <c r="E247" s="1307"/>
      <c r="F247" s="1307"/>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2665</v>
      </c>
      <c r="D250" s="1307" t="s">
        <v>2014</v>
      </c>
      <c r="E250" s="1307"/>
      <c r="F250" s="1307"/>
      <c r="I250" s="490"/>
    </row>
    <row r="251" spans="1:9" ht="14.25">
      <c r="A251" s="484"/>
      <c r="B251" s="484"/>
      <c r="D251" s="1307"/>
      <c r="E251" s="1307"/>
      <c r="F251" s="1307"/>
      <c r="I251" s="490"/>
    </row>
    <row r="252" spans="1:9" ht="14.25">
      <c r="A252" s="484"/>
      <c r="B252" s="484"/>
      <c r="D252" s="1307"/>
      <c r="E252" s="1307"/>
      <c r="F252" s="1307"/>
      <c r="I252" s="490"/>
    </row>
    <row r="253" spans="1:9" ht="14.25">
      <c r="A253" s="484"/>
      <c r="B253" s="484"/>
      <c r="D253" s="1307"/>
      <c r="E253" s="1307"/>
      <c r="F253" s="1307"/>
      <c r="I253" s="490"/>
    </row>
    <row r="254" spans="1:9" ht="14.25">
      <c r="A254" s="484"/>
      <c r="B254" s="484"/>
      <c r="D254" s="1307"/>
      <c r="E254" s="1307"/>
      <c r="F254" s="1307"/>
      <c r="I254" s="490"/>
    </row>
    <row r="255" spans="1:9" ht="14.25">
      <c r="A255" s="484"/>
      <c r="B255" s="484"/>
      <c r="D255" s="445"/>
      <c r="E255" s="445"/>
      <c r="F255" s="445"/>
      <c r="I255" s="490"/>
    </row>
    <row r="256" spans="1:9" ht="14.25">
      <c r="A256" s="484"/>
      <c r="B256" s="485" t="s">
        <v>2760</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2760</v>
      </c>
      <c r="D259" s="1307" t="s">
        <v>1119</v>
      </c>
      <c r="E259" s="1307"/>
      <c r="F259" s="1307"/>
      <c r="I259" s="490"/>
    </row>
    <row r="260" spans="1:9" ht="14.25">
      <c r="A260" s="484"/>
      <c r="B260" s="484"/>
      <c r="D260" s="1307"/>
      <c r="E260" s="1307"/>
      <c r="F260" s="1307"/>
      <c r="I260" s="490"/>
    </row>
    <row r="261" spans="1:9">
      <c r="D261" s="491"/>
      <c r="I261" s="490"/>
    </row>
    <row r="262" spans="1:9">
      <c r="A262" s="1308" t="s">
        <v>1047</v>
      </c>
      <c r="B262" s="1308"/>
      <c r="C262" s="1308"/>
      <c r="D262" s="1308"/>
      <c r="E262" s="1308"/>
      <c r="F262" s="1308"/>
      <c r="G262" s="1308"/>
      <c r="H262" s="1023"/>
      <c r="I262" s="1147"/>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45" customHeight="1">
      <c r="A267" s="484"/>
      <c r="B267" s="485" t="s">
        <v>2760</v>
      </c>
      <c r="D267" s="1307" t="s">
        <v>1196</v>
      </c>
      <c r="E267" s="1307"/>
      <c r="F267" s="1307"/>
      <c r="I267" s="490"/>
    </row>
    <row r="268" spans="1:9">
      <c r="D268" s="1307"/>
      <c r="E268" s="1307"/>
      <c r="F268" s="1307"/>
      <c r="I268" s="490"/>
    </row>
    <row r="269" spans="1:9">
      <c r="E269" s="1031" t="s">
        <v>1871</v>
      </c>
      <c r="I269" s="490"/>
    </row>
    <row r="270" spans="1:9">
      <c r="D270" s="446"/>
      <c r="E270" s="446"/>
      <c r="F270" s="446"/>
      <c r="I270" s="490"/>
    </row>
    <row r="271" spans="1:9" ht="14.45" customHeight="1">
      <c r="A271" s="484"/>
      <c r="B271" s="485" t="s">
        <v>2665</v>
      </c>
      <c r="D271" s="1307" t="s">
        <v>2016</v>
      </c>
      <c r="E271" s="1307"/>
      <c r="F271" s="1307"/>
      <c r="I271" s="490"/>
    </row>
    <row r="272" spans="1:9">
      <c r="D272" s="1307"/>
      <c r="E272" s="1307"/>
      <c r="F272" s="1307"/>
      <c r="I272" s="490"/>
    </row>
    <row r="273" spans="1:9">
      <c r="D273" s="1307"/>
      <c r="E273" s="1307"/>
      <c r="F273" s="1307"/>
      <c r="I273" s="490"/>
    </row>
    <row r="274" spans="1:9">
      <c r="D274" s="1307"/>
      <c r="E274" s="1307"/>
      <c r="F274" s="1307"/>
      <c r="I274" s="490"/>
    </row>
    <row r="275" spans="1:9">
      <c r="D275" s="1307"/>
      <c r="E275" s="1307"/>
      <c r="F275" s="1307"/>
      <c r="I275" s="490"/>
    </row>
    <row r="276" spans="1:9">
      <c r="D276" s="1307"/>
      <c r="E276" s="1307"/>
      <c r="F276" s="1307"/>
      <c r="I276" s="490"/>
    </row>
    <row r="277" spans="1:9">
      <c r="D277" s="446"/>
      <c r="E277" s="446"/>
      <c r="F277" s="446"/>
      <c r="I277" s="490"/>
    </row>
    <row r="278" spans="1:9" ht="14.25">
      <c r="A278" s="484"/>
      <c r="B278" s="485" t="s">
        <v>2665</v>
      </c>
      <c r="D278" s="1307" t="s">
        <v>1122</v>
      </c>
      <c r="E278" s="1307"/>
      <c r="F278" s="1307"/>
      <c r="I278" s="490"/>
    </row>
    <row r="279" spans="1:9">
      <c r="D279" s="1307"/>
      <c r="E279" s="1307"/>
      <c r="F279" s="1307"/>
      <c r="I279" s="490"/>
    </row>
    <row r="280" spans="1:9">
      <c r="D280" s="1307"/>
      <c r="E280" s="1307"/>
      <c r="F280" s="1307"/>
      <c r="I280" s="490"/>
    </row>
    <row r="281" spans="1:9">
      <c r="D281" s="492"/>
      <c r="E281" s="446"/>
      <c r="F281" s="446"/>
      <c r="I281" s="490"/>
    </row>
    <row r="282" spans="1:9">
      <c r="A282" s="1308" t="s">
        <v>1048</v>
      </c>
      <c r="B282" s="1308"/>
      <c r="C282" s="1308"/>
      <c r="D282" s="1308"/>
      <c r="E282" s="1308"/>
      <c r="F282" s="1308"/>
      <c r="G282" s="1308"/>
      <c r="H282" s="1023"/>
      <c r="I282" s="1147"/>
    </row>
    <row r="283" spans="1:9">
      <c r="D283" s="492"/>
      <c r="E283" s="446"/>
      <c r="F283" s="446"/>
      <c r="I283" s="490"/>
    </row>
    <row r="284" spans="1:9">
      <c r="C284" s="482"/>
      <c r="D284" s="1327" t="s">
        <v>1123</v>
      </c>
      <c r="E284" s="1327"/>
      <c r="F284" s="1327"/>
      <c r="I284" s="490"/>
    </row>
    <row r="285" spans="1:9">
      <c r="C285" s="482"/>
      <c r="D285" s="1327"/>
      <c r="E285" s="1327"/>
      <c r="F285" s="1327"/>
      <c r="I285" s="490"/>
    </row>
    <row r="286" spans="1:9">
      <c r="A286" s="483"/>
      <c r="B286" s="483"/>
      <c r="C286" s="483"/>
      <c r="D286" s="404"/>
      <c r="I286" s="490"/>
    </row>
    <row r="287" spans="1:9">
      <c r="C287" s="483"/>
      <c r="D287" s="1310" t="s">
        <v>209</v>
      </c>
      <c r="E287" s="1310"/>
      <c r="F287" s="1310"/>
      <c r="I287" s="490"/>
    </row>
    <row r="288" spans="1:9" ht="15.75" customHeight="1">
      <c r="A288" s="484"/>
      <c r="B288" s="484"/>
      <c r="D288" s="1336" t="s">
        <v>1124</v>
      </c>
      <c r="E288" s="1336"/>
      <c r="F288" s="1336"/>
      <c r="I288" s="490"/>
    </row>
    <row r="289" spans="1:9">
      <c r="E289" s="446"/>
      <c r="F289" s="446"/>
      <c r="I289" s="490"/>
    </row>
    <row r="290" spans="1:9" ht="14.25">
      <c r="A290" s="484"/>
      <c r="B290" s="485" t="s">
        <v>2665</v>
      </c>
      <c r="D290" s="1307" t="s">
        <v>1125</v>
      </c>
      <c r="E290" s="1307"/>
      <c r="F290" s="1307"/>
      <c r="I290" s="490"/>
    </row>
    <row r="291" spans="1:9" ht="14.25">
      <c r="A291" s="484"/>
      <c r="B291" s="484"/>
      <c r="D291" s="1307"/>
      <c r="E291" s="1307"/>
      <c r="F291" s="1307"/>
      <c r="I291" s="490"/>
    </row>
    <row r="292" spans="1:9">
      <c r="D292" s="446"/>
      <c r="E292" s="446"/>
      <c r="F292" s="446"/>
      <c r="I292" s="490"/>
    </row>
    <row r="293" spans="1:9" ht="14.25">
      <c r="A293" s="484"/>
      <c r="B293" s="485" t="s">
        <v>2665</v>
      </c>
      <c r="D293" s="1307" t="s">
        <v>1126</v>
      </c>
      <c r="E293" s="1307"/>
      <c r="F293" s="1307"/>
      <c r="I293" s="490"/>
    </row>
    <row r="294" spans="1:9" ht="14.25">
      <c r="A294" s="484"/>
      <c r="B294" s="484"/>
      <c r="D294" s="1307"/>
      <c r="E294" s="1307"/>
      <c r="F294" s="1307"/>
      <c r="I294" s="490"/>
    </row>
    <row r="295" spans="1:9" ht="14.25">
      <c r="A295" s="484"/>
      <c r="B295" s="484"/>
      <c r="D295" s="1307"/>
      <c r="E295" s="1307"/>
      <c r="F295" s="1307"/>
      <c r="I295" s="490"/>
    </row>
    <row r="296" spans="1:9">
      <c r="D296" s="446"/>
      <c r="E296" s="446"/>
      <c r="F296" s="446"/>
      <c r="I296" s="490"/>
    </row>
    <row r="297" spans="1:9" ht="14.25">
      <c r="A297" s="484"/>
      <c r="B297" s="485" t="s">
        <v>2665</v>
      </c>
      <c r="D297" s="1307" t="s">
        <v>1127</v>
      </c>
      <c r="E297" s="1307"/>
      <c r="F297" s="1307"/>
      <c r="I297" s="490"/>
    </row>
    <row r="298" spans="1:9" ht="14.25">
      <c r="A298" s="484"/>
      <c r="B298" s="484"/>
      <c r="D298" s="1307"/>
      <c r="E298" s="1307"/>
      <c r="F298" s="1307"/>
      <c r="I298" s="490"/>
    </row>
    <row r="299" spans="1:9">
      <c r="A299" s="490"/>
      <c r="B299" s="490"/>
      <c r="E299" s="446"/>
      <c r="F299" s="446"/>
      <c r="I299" s="490"/>
    </row>
    <row r="300" spans="1:9">
      <c r="A300" s="1308" t="s">
        <v>1049</v>
      </c>
      <c r="B300" s="1308"/>
      <c r="C300" s="1308"/>
      <c r="D300" s="1308"/>
      <c r="E300" s="1308"/>
      <c r="F300" s="1308"/>
      <c r="G300" s="1308"/>
      <c r="H300" s="1023"/>
      <c r="I300" s="1147"/>
    </row>
    <row r="301" spans="1:9">
      <c r="A301" s="490"/>
      <c r="B301" s="490"/>
      <c r="D301" s="446"/>
      <c r="E301" s="446"/>
      <c r="F301" s="446"/>
      <c r="I301" s="490"/>
    </row>
    <row r="302" spans="1:9">
      <c r="C302" s="490"/>
      <c r="D302" s="1310" t="s">
        <v>682</v>
      </c>
      <c r="E302" s="1310"/>
      <c r="F302" s="1310"/>
      <c r="I302" s="490"/>
    </row>
    <row r="303" spans="1:9">
      <c r="C303" s="490"/>
      <c r="D303" s="1309" t="s">
        <v>1128</v>
      </c>
      <c r="E303" s="1309"/>
      <c r="F303" s="1309"/>
      <c r="I303" s="490"/>
    </row>
    <row r="304" spans="1:9">
      <c r="C304" s="490"/>
      <c r="D304" s="493"/>
      <c r="I304" s="490"/>
    </row>
    <row r="305" spans="1:9">
      <c r="B305" s="485" t="s">
        <v>2665</v>
      </c>
      <c r="D305" s="1309" t="s">
        <v>1129</v>
      </c>
      <c r="E305" s="1309"/>
      <c r="F305" s="1309"/>
      <c r="I305" s="490"/>
    </row>
    <row r="306" spans="1:9" ht="14.25">
      <c r="A306" s="484"/>
      <c r="B306" s="484"/>
      <c r="D306" s="494"/>
      <c r="E306" s="495"/>
      <c r="F306" s="495"/>
      <c r="I306" s="490"/>
    </row>
    <row r="307" spans="1:9" ht="13.7" customHeight="1">
      <c r="B307" s="485" t="s">
        <v>2665</v>
      </c>
      <c r="D307" s="1320" t="s">
        <v>1219</v>
      </c>
      <c r="E307" s="1320"/>
      <c r="F307" s="1320"/>
      <c r="I307" s="490"/>
    </row>
    <row r="308" spans="1:9" ht="14.25">
      <c r="A308" s="484"/>
      <c r="B308" s="484"/>
      <c r="D308" s="1320"/>
      <c r="E308" s="1320"/>
      <c r="F308" s="1320"/>
      <c r="I308" s="490"/>
    </row>
    <row r="309" spans="1:9" ht="14.25">
      <c r="A309" s="484"/>
      <c r="B309" s="484"/>
      <c r="D309" s="1320"/>
      <c r="E309" s="1320"/>
      <c r="F309" s="1320"/>
      <c r="I309" s="490"/>
    </row>
    <row r="310" spans="1:9" ht="14.25">
      <c r="A310" s="484"/>
      <c r="B310" s="484"/>
      <c r="D310" s="1320"/>
      <c r="E310" s="1320"/>
      <c r="F310" s="1320"/>
      <c r="I310" s="490"/>
    </row>
    <row r="311" spans="1:9" ht="14.25">
      <c r="A311" s="484"/>
      <c r="B311" s="484"/>
      <c r="D311" s="1320"/>
      <c r="E311" s="1320"/>
      <c r="F311" s="1320"/>
      <c r="I311" s="490"/>
    </row>
    <row r="312" spans="1:9" ht="14.25">
      <c r="A312" s="484"/>
      <c r="B312" s="484"/>
      <c r="D312" s="494"/>
      <c r="E312" s="495"/>
      <c r="F312" s="495"/>
      <c r="I312" s="490"/>
    </row>
    <row r="313" spans="1:9" ht="13.7" customHeight="1">
      <c r="B313" s="485" t="s">
        <v>2665</v>
      </c>
      <c r="D313" s="1320" t="s">
        <v>1130</v>
      </c>
      <c r="E313" s="1320"/>
      <c r="F313" s="1320"/>
      <c r="I313" s="490"/>
    </row>
    <row r="314" spans="1:9">
      <c r="D314" s="1320"/>
      <c r="E314" s="1320"/>
      <c r="F314" s="1320"/>
      <c r="I314" s="490"/>
    </row>
    <row r="315" spans="1:9" ht="14.25">
      <c r="A315" s="484"/>
      <c r="B315" s="484"/>
      <c r="D315" s="494"/>
      <c r="E315" s="495"/>
      <c r="F315" s="495"/>
      <c r="I315" s="490"/>
    </row>
    <row r="316" spans="1:9">
      <c r="B316" s="485" t="s">
        <v>2665</v>
      </c>
      <c r="D316" s="1309" t="s">
        <v>1131</v>
      </c>
      <c r="E316" s="1309"/>
      <c r="F316" s="1309"/>
      <c r="I316" s="490"/>
    </row>
    <row r="317" spans="1:9">
      <c r="E317" s="446"/>
      <c r="F317" s="446"/>
      <c r="I317" s="490"/>
    </row>
    <row r="318" spans="1:9" ht="14.25">
      <c r="A318" s="484"/>
      <c r="B318" s="485" t="s">
        <v>2665</v>
      </c>
      <c r="D318" s="1307" t="s">
        <v>2199</v>
      </c>
      <c r="E318" s="1307"/>
      <c r="F318" s="1307"/>
      <c r="I318" s="490"/>
    </row>
    <row r="319" spans="1:9" ht="14.25">
      <c r="A319" s="484"/>
      <c r="B319" s="484"/>
      <c r="D319" s="1307"/>
      <c r="E319" s="1307"/>
      <c r="F319" s="1307"/>
      <c r="I319" s="490"/>
    </row>
    <row r="320" spans="1:9" ht="14.25">
      <c r="A320" s="484"/>
      <c r="B320" s="484"/>
      <c r="D320" s="1307"/>
      <c r="E320" s="1307"/>
      <c r="F320" s="1307"/>
      <c r="I320" s="490"/>
    </row>
    <row r="321" spans="1:9" ht="14.25">
      <c r="A321" s="484"/>
      <c r="B321" s="484"/>
      <c r="D321" s="1307"/>
      <c r="E321" s="1307"/>
      <c r="F321" s="1307"/>
      <c r="I321" s="490"/>
    </row>
    <row r="322" spans="1:9" ht="14.25">
      <c r="A322" s="484"/>
      <c r="B322" s="484"/>
      <c r="D322" s="1307"/>
      <c r="E322" s="1307"/>
      <c r="F322" s="1307"/>
      <c r="I322" s="490"/>
    </row>
    <row r="323" spans="1:9" ht="14.25">
      <c r="A323" s="484"/>
      <c r="B323" s="484"/>
      <c r="D323" s="1307"/>
      <c r="E323" s="1307"/>
      <c r="F323" s="1307"/>
      <c r="I323" s="490"/>
    </row>
    <row r="324" spans="1:9" ht="14.25">
      <c r="A324" s="484"/>
      <c r="B324" s="484"/>
      <c r="D324" s="1307"/>
      <c r="E324" s="1307"/>
      <c r="F324" s="1307"/>
      <c r="I324" s="490"/>
    </row>
    <row r="325" spans="1:9" ht="14.25">
      <c r="A325" s="484"/>
      <c r="B325" s="484"/>
      <c r="D325" s="1307"/>
      <c r="E325" s="1307"/>
      <c r="F325" s="1307"/>
      <c r="I325" s="490"/>
    </row>
    <row r="326" spans="1:9" ht="14.25">
      <c r="A326" s="484"/>
      <c r="B326" s="484"/>
      <c r="D326" s="1307"/>
      <c r="E326" s="1307"/>
      <c r="F326" s="1307"/>
      <c r="I326" s="490"/>
    </row>
    <row r="327" spans="1:9" ht="14.25">
      <c r="A327" s="484"/>
      <c r="B327" s="484"/>
      <c r="D327" s="1307"/>
      <c r="E327" s="1307"/>
      <c r="F327" s="1307"/>
      <c r="I327" s="490"/>
    </row>
    <row r="328" spans="1:9" ht="14.25">
      <c r="A328" s="484"/>
      <c r="B328" s="484"/>
      <c r="D328" s="1307"/>
      <c r="E328" s="1307"/>
      <c r="F328" s="1307"/>
      <c r="I328" s="490"/>
    </row>
    <row r="329" spans="1:9" ht="14.25">
      <c r="A329" s="484"/>
      <c r="B329" s="484"/>
      <c r="D329" s="1307"/>
      <c r="E329" s="1307"/>
      <c r="F329" s="1307"/>
      <c r="I329" s="490"/>
    </row>
    <row r="330" spans="1:9" ht="14.25">
      <c r="A330" s="484"/>
      <c r="B330" s="484"/>
      <c r="D330" s="1307"/>
      <c r="E330" s="1307"/>
      <c r="F330" s="1307"/>
      <c r="I330" s="490"/>
    </row>
    <row r="331" spans="1:9" ht="14.25">
      <c r="A331" s="484"/>
      <c r="B331" s="484"/>
      <c r="D331" s="1307"/>
      <c r="E331" s="1307"/>
      <c r="F331" s="1307"/>
      <c r="I331" s="490"/>
    </row>
    <row r="332" spans="1:9" ht="14.25">
      <c r="A332" s="484"/>
      <c r="B332" s="484"/>
      <c r="D332" s="1307"/>
      <c r="E332" s="1307"/>
      <c r="F332" s="1307"/>
      <c r="I332" s="490"/>
    </row>
    <row r="333" spans="1:9">
      <c r="D333" s="446"/>
      <c r="E333" s="446"/>
      <c r="F333" s="446"/>
      <c r="I333" s="490"/>
    </row>
    <row r="334" spans="1:9" ht="14.25">
      <c r="A334" s="484"/>
      <c r="B334" s="485" t="s">
        <v>2665</v>
      </c>
      <c r="D334" s="1307" t="s">
        <v>1132</v>
      </c>
      <c r="E334" s="1307"/>
      <c r="F334" s="1307"/>
      <c r="I334" s="490"/>
    </row>
    <row r="335" spans="1:9">
      <c r="D335" s="1307"/>
      <c r="E335" s="1307"/>
      <c r="F335" s="1307"/>
      <c r="I335" s="490"/>
    </row>
    <row r="336" spans="1:9">
      <c r="D336" s="1307"/>
      <c r="E336" s="1307"/>
      <c r="F336" s="1307"/>
      <c r="I336" s="490"/>
    </row>
    <row r="337" spans="1:9">
      <c r="D337" s="1307"/>
      <c r="E337" s="1307"/>
      <c r="F337" s="1307"/>
      <c r="I337" s="490"/>
    </row>
    <row r="338" spans="1:9">
      <c r="D338" s="1307"/>
      <c r="E338" s="1307"/>
      <c r="F338" s="1307"/>
      <c r="I338" s="490"/>
    </row>
    <row r="339" spans="1:9">
      <c r="D339" s="1307"/>
      <c r="E339" s="1307"/>
      <c r="F339" s="1307"/>
      <c r="I339" s="490"/>
    </row>
    <row r="340" spans="1:9">
      <c r="D340" s="1307"/>
      <c r="E340" s="1307"/>
      <c r="F340" s="1307"/>
      <c r="I340" s="490"/>
    </row>
    <row r="341" spans="1:9">
      <c r="D341" s="1307"/>
      <c r="E341" s="1307"/>
      <c r="F341" s="1307"/>
      <c r="I341" s="490"/>
    </row>
    <row r="342" spans="1:9">
      <c r="D342" s="1307"/>
      <c r="E342" s="1307"/>
      <c r="F342" s="1307"/>
      <c r="I342" s="490"/>
    </row>
    <row r="343" spans="1:9">
      <c r="D343" s="446"/>
      <c r="E343" s="446"/>
      <c r="F343" s="446"/>
      <c r="I343" s="490"/>
    </row>
    <row r="344" spans="1:9" ht="14.25" customHeight="1">
      <c r="A344" s="484"/>
      <c r="B344" s="485" t="s">
        <v>2665</v>
      </c>
      <c r="D344" s="1307" t="s">
        <v>1876</v>
      </c>
      <c r="E344" s="1307"/>
      <c r="F344" s="1307"/>
      <c r="I344" s="490"/>
    </row>
    <row r="345" spans="1:9">
      <c r="D345" s="1307"/>
      <c r="E345" s="1307"/>
      <c r="F345" s="1307"/>
      <c r="I345" s="490"/>
    </row>
    <row r="346" spans="1:9">
      <c r="D346" s="1307"/>
      <c r="E346" s="1307"/>
      <c r="F346" s="1307"/>
      <c r="I346" s="490"/>
    </row>
    <row r="347" spans="1:9">
      <c r="D347" s="1307"/>
      <c r="E347" s="1307"/>
      <c r="F347" s="1307"/>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8" t="s">
        <v>979</v>
      </c>
      <c r="E351" s="1318"/>
      <c r="F351" s="1318"/>
      <c r="G351" s="1022"/>
      <c r="H351" s="1022"/>
      <c r="I351" s="1150"/>
    </row>
    <row r="352" spans="1:9" ht="13.5" thickTop="1">
      <c r="D352" s="1328" t="s">
        <v>2200</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2665</v>
      </c>
      <c r="C355" s="487"/>
      <c r="D355" s="1309" t="s">
        <v>1874</v>
      </c>
      <c r="E355" s="1309"/>
      <c r="F355" s="1309"/>
      <c r="I355" s="490"/>
    </row>
    <row r="356" spans="1:9" ht="12.75" customHeight="1">
      <c r="D356" s="1032"/>
      <c r="E356" s="96" t="s">
        <v>1873</v>
      </c>
      <c r="F356" s="1032"/>
      <c r="I356" s="490"/>
    </row>
    <row r="357" spans="1:9">
      <c r="D357" s="1307" t="s">
        <v>1239</v>
      </c>
      <c r="E357" s="1307"/>
      <c r="F357" s="1307"/>
      <c r="I357" s="490"/>
    </row>
    <row r="358" spans="1:9">
      <c r="D358" s="1307"/>
      <c r="E358" s="1307"/>
      <c r="F358" s="1307"/>
      <c r="I358" s="490"/>
    </row>
    <row r="359" spans="1:9">
      <c r="D359" s="1307"/>
      <c r="E359" s="1307"/>
      <c r="F359" s="1307"/>
      <c r="I359" s="490"/>
    </row>
    <row r="360" spans="1:9" ht="14.25">
      <c r="A360" s="484"/>
      <c r="B360" s="485" t="s">
        <v>2665</v>
      </c>
      <c r="C360" s="476"/>
      <c r="D360" s="1317" t="s">
        <v>2017</v>
      </c>
      <c r="E360" s="1317"/>
      <c r="F360" s="1317"/>
      <c r="I360" s="480"/>
    </row>
    <row r="361" spans="1:9">
      <c r="A361" s="476"/>
      <c r="B361" s="476"/>
      <c r="C361" s="476"/>
      <c r="D361" s="447"/>
      <c r="E361" s="447"/>
      <c r="F361" s="446"/>
      <c r="I361" s="490"/>
    </row>
    <row r="362" spans="1:9">
      <c r="A362" s="476"/>
      <c r="B362" s="485" t="s">
        <v>2665</v>
      </c>
      <c r="C362" s="476"/>
      <c r="D362" s="1279" t="s">
        <v>2018</v>
      </c>
      <c r="E362" s="1279"/>
      <c r="F362" s="1279"/>
      <c r="I362" s="490"/>
    </row>
    <row r="363" spans="1:9">
      <c r="A363" s="476"/>
      <c r="B363" s="476"/>
      <c r="C363" s="476"/>
      <c r="D363" s="1279"/>
      <c r="E363" s="1279"/>
      <c r="F363" s="1279"/>
      <c r="I363" s="490"/>
    </row>
    <row r="364" spans="1:9">
      <c r="A364" s="476"/>
      <c r="B364" s="476"/>
      <c r="C364" s="476"/>
      <c r="D364" s="1279"/>
      <c r="E364" s="1279"/>
      <c r="F364" s="1279"/>
      <c r="I364" s="490"/>
    </row>
    <row r="365" spans="1:9">
      <c r="A365" s="476"/>
      <c r="B365" s="476"/>
      <c r="C365" s="476"/>
      <c r="D365" s="1279"/>
      <c r="E365" s="1279"/>
      <c r="F365" s="1279"/>
      <c r="I365" s="490"/>
    </row>
    <row r="366" spans="1:9">
      <c r="A366" s="476"/>
      <c r="B366" s="476"/>
      <c r="C366" s="476"/>
      <c r="D366" s="1279"/>
      <c r="E366" s="1279"/>
      <c r="F366" s="1279"/>
      <c r="I366" s="490"/>
    </row>
    <row r="367" spans="1:9">
      <c r="A367" s="476"/>
      <c r="B367" s="476"/>
      <c r="C367" s="476"/>
      <c r="D367" s="1279"/>
      <c r="E367" s="1279"/>
      <c r="F367" s="1279"/>
      <c r="I367" s="490"/>
    </row>
    <row r="368" spans="1:9">
      <c r="A368" s="476"/>
      <c r="B368" s="476"/>
      <c r="C368" s="476"/>
      <c r="D368" s="1279"/>
      <c r="E368" s="1279"/>
      <c r="F368" s="1279"/>
      <c r="I368" s="490"/>
    </row>
    <row r="369" spans="1:9">
      <c r="A369" s="476"/>
      <c r="B369" s="476"/>
      <c r="C369" s="476"/>
      <c r="D369" s="1279"/>
      <c r="E369" s="1279"/>
      <c r="F369" s="1279"/>
      <c r="I369" s="490"/>
    </row>
    <row r="370" spans="1:9">
      <c r="A370" s="476"/>
      <c r="B370" s="476"/>
      <c r="C370" s="476"/>
      <c r="D370" s="1279"/>
      <c r="E370" s="1279"/>
      <c r="F370" s="1279"/>
      <c r="I370" s="490"/>
    </row>
    <row r="371" spans="1:9">
      <c r="A371" s="476"/>
      <c r="B371" s="476"/>
      <c r="C371" s="476"/>
      <c r="D371" s="1279"/>
      <c r="E371" s="1279"/>
      <c r="F371" s="1279"/>
      <c r="I371" s="490"/>
    </row>
    <row r="372" spans="1:9">
      <c r="A372" s="476"/>
      <c r="B372" s="476"/>
      <c r="C372" s="476"/>
      <c r="D372" s="1279"/>
      <c r="E372" s="1279"/>
      <c r="F372" s="1279"/>
      <c r="I372" s="490"/>
    </row>
    <row r="373" spans="1:9">
      <c r="A373" s="476"/>
      <c r="B373" s="476"/>
      <c r="C373" s="476"/>
      <c r="D373" s="1279"/>
      <c r="E373" s="1279"/>
      <c r="F373" s="1279"/>
      <c r="I373" s="490"/>
    </row>
    <row r="374" spans="1:9">
      <c r="A374" s="476"/>
      <c r="B374" s="476"/>
      <c r="C374" s="476"/>
      <c r="D374" s="451"/>
      <c r="E374" s="451"/>
      <c r="F374" s="451"/>
      <c r="I374" s="490"/>
    </row>
    <row r="375" spans="1:9" ht="12.4" customHeight="1">
      <c r="A375" s="476"/>
      <c r="B375" s="485" t="s">
        <v>2665</v>
      </c>
      <c r="C375" s="476"/>
      <c r="D375" s="1287" t="s">
        <v>1221</v>
      </c>
      <c r="E375" s="1287"/>
      <c r="F375" s="1287"/>
      <c r="I375" s="490"/>
    </row>
    <row r="376" spans="1:9">
      <c r="A376" s="476"/>
      <c r="B376" s="476"/>
      <c r="C376" s="476"/>
      <c r="D376" s="1287"/>
      <c r="E376" s="1287"/>
      <c r="F376" s="1287"/>
      <c r="I376" s="490"/>
    </row>
    <row r="377" spans="1:9">
      <c r="A377" s="476"/>
      <c r="B377" s="476"/>
      <c r="C377" s="476"/>
      <c r="D377" s="1287"/>
      <c r="E377" s="1287"/>
      <c r="F377" s="1287"/>
      <c r="I377" s="490"/>
    </row>
    <row r="378" spans="1:9">
      <c r="A378" s="476"/>
      <c r="B378" s="476"/>
      <c r="C378" s="476"/>
      <c r="D378" s="1287"/>
      <c r="E378" s="1287"/>
      <c r="F378" s="1287"/>
      <c r="I378" s="490"/>
    </row>
    <row r="379" spans="1:9">
      <c r="A379" s="476"/>
      <c r="B379" s="476"/>
      <c r="C379" s="476"/>
      <c r="D379" s="524"/>
      <c r="E379" s="524"/>
      <c r="F379" s="524"/>
      <c r="I379" s="490"/>
    </row>
    <row r="380" spans="1:9">
      <c r="A380" s="476"/>
      <c r="B380" s="485" t="s">
        <v>2665</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2665</v>
      </c>
      <c r="C387" s="476"/>
      <c r="D387" s="1279" t="s">
        <v>1133</v>
      </c>
      <c r="E387" s="1279"/>
      <c r="F387" s="1279"/>
      <c r="I387" s="490"/>
    </row>
    <row r="388" spans="1:9">
      <c r="A388" s="476"/>
      <c r="B388" s="476"/>
      <c r="C388" s="476"/>
      <c r="D388" s="1279"/>
      <c r="E388" s="1279"/>
      <c r="F388" s="1279"/>
      <c r="I388" s="490"/>
    </row>
    <row r="389" spans="1:9">
      <c r="A389" s="476"/>
      <c r="B389" s="476"/>
      <c r="C389" s="476"/>
      <c r="D389" s="1279"/>
      <c r="E389" s="1279"/>
      <c r="F389" s="1279"/>
      <c r="I389" s="490"/>
    </row>
    <row r="390" spans="1:9">
      <c r="A390" s="476"/>
      <c r="B390" s="476"/>
      <c r="C390" s="476"/>
      <c r="D390" s="1279"/>
      <c r="E390" s="1279"/>
      <c r="F390" s="1279"/>
      <c r="I390" s="490"/>
    </row>
    <row r="391" spans="1:9">
      <c r="A391" s="476"/>
      <c r="B391" s="476"/>
      <c r="C391" s="476"/>
      <c r="D391" s="447"/>
      <c r="E391" s="447"/>
      <c r="F391" s="446"/>
      <c r="I391" s="490"/>
    </row>
    <row r="392" spans="1:9">
      <c r="A392" s="476"/>
      <c r="B392" s="476"/>
      <c r="C392" s="476"/>
      <c r="D392" s="1279" t="s">
        <v>1134</v>
      </c>
      <c r="E392" s="1279"/>
      <c r="F392" s="1279"/>
      <c r="I392" s="490"/>
    </row>
    <row r="393" spans="1:9">
      <c r="A393" s="476"/>
      <c r="B393" s="476"/>
      <c r="C393" s="476"/>
      <c r="D393" s="1279"/>
      <c r="E393" s="1279"/>
      <c r="F393" s="1279"/>
      <c r="I393" s="490"/>
    </row>
    <row r="394" spans="1:9">
      <c r="A394" s="476"/>
      <c r="B394" s="476"/>
      <c r="C394" s="476"/>
      <c r="D394" s="1279"/>
      <c r="E394" s="1279"/>
      <c r="F394" s="1279"/>
      <c r="I394" s="490"/>
    </row>
    <row r="395" spans="1:9">
      <c r="A395" s="476"/>
      <c r="B395" s="476"/>
      <c r="C395" s="476"/>
      <c r="D395" s="1279"/>
      <c r="E395" s="1279"/>
      <c r="F395" s="1279"/>
      <c r="I395" s="490"/>
    </row>
    <row r="396" spans="1:9" ht="18" customHeight="1">
      <c r="A396" s="476"/>
      <c r="B396" s="476"/>
      <c r="C396" s="476"/>
      <c r="D396" s="1279"/>
      <c r="E396" s="1279"/>
      <c r="F396" s="1279"/>
      <c r="I396" s="490"/>
    </row>
    <row r="397" spans="1:9">
      <c r="A397" s="476"/>
      <c r="B397" s="476"/>
      <c r="C397" s="476"/>
      <c r="D397" s="1279"/>
      <c r="E397" s="1279"/>
      <c r="F397" s="1279"/>
      <c r="I397" s="490"/>
    </row>
    <row r="398" spans="1:9">
      <c r="A398" s="476"/>
      <c r="B398" s="476"/>
      <c r="C398" s="476"/>
      <c r="D398" s="1279"/>
      <c r="E398" s="1279"/>
      <c r="F398" s="1279"/>
      <c r="I398" s="490"/>
    </row>
    <row r="399" spans="1:9">
      <c r="A399" s="476"/>
      <c r="B399" s="476"/>
      <c r="C399" s="476"/>
      <c r="D399" s="1279"/>
      <c r="E399" s="1279"/>
      <c r="F399" s="1279"/>
      <c r="I399" s="490"/>
    </row>
    <row r="400" spans="1:9" ht="8.25" customHeight="1">
      <c r="A400" s="476"/>
      <c r="B400" s="476"/>
      <c r="C400" s="476"/>
      <c r="D400" s="1279"/>
      <c r="E400" s="1279"/>
      <c r="F400" s="1279"/>
      <c r="I400" s="490"/>
    </row>
    <row r="401" spans="1:9" ht="13.7" customHeight="1">
      <c r="A401" s="476"/>
      <c r="B401" s="476"/>
      <c r="C401" s="476"/>
      <c r="D401" s="1279" t="s">
        <v>1135</v>
      </c>
      <c r="E401" s="1279"/>
      <c r="F401" s="1279"/>
      <c r="I401" s="490"/>
    </row>
    <row r="402" spans="1:9">
      <c r="A402" s="476"/>
      <c r="B402" s="476"/>
      <c r="C402" s="476"/>
      <c r="D402" s="1279"/>
      <c r="E402" s="1279"/>
      <c r="F402" s="1279"/>
      <c r="I402" s="490"/>
    </row>
    <row r="403" spans="1:9">
      <c r="A403" s="476"/>
      <c r="B403" s="476"/>
      <c r="C403" s="476"/>
      <c r="D403" s="1279"/>
      <c r="E403" s="1279"/>
      <c r="F403" s="1279"/>
      <c r="I403" s="490"/>
    </row>
    <row r="404" spans="1:9">
      <c r="A404" s="476"/>
      <c r="B404" s="476"/>
      <c r="C404" s="476"/>
      <c r="D404" s="1279"/>
      <c r="E404" s="1279"/>
      <c r="F404" s="1279"/>
      <c r="I404" s="490"/>
    </row>
    <row r="405" spans="1:9">
      <c r="A405" s="476"/>
      <c r="B405" s="476"/>
      <c r="C405" s="476"/>
      <c r="D405" s="1279"/>
      <c r="E405" s="1279"/>
      <c r="F405" s="1279"/>
      <c r="I405" s="490"/>
    </row>
    <row r="406" spans="1:9">
      <c r="A406" s="476"/>
      <c r="B406" s="476"/>
      <c r="C406" s="476"/>
      <c r="D406" s="1279"/>
      <c r="E406" s="1279"/>
      <c r="F406" s="1279"/>
      <c r="I406" s="490"/>
    </row>
    <row r="407" spans="1:9">
      <c r="A407" s="476"/>
      <c r="B407" s="476"/>
      <c r="C407" s="476"/>
      <c r="D407" s="1279"/>
      <c r="E407" s="1279"/>
      <c r="F407" s="1279"/>
      <c r="I407" s="490"/>
    </row>
    <row r="408" spans="1:9">
      <c r="A408" s="476"/>
      <c r="B408" s="476"/>
      <c r="C408" s="476"/>
      <c r="D408" s="1279"/>
      <c r="E408" s="1279"/>
      <c r="F408" s="1279"/>
      <c r="I408" s="490"/>
    </row>
    <row r="409" spans="1:9">
      <c r="A409" s="476"/>
      <c r="B409" s="476"/>
      <c r="C409" s="476"/>
      <c r="D409" s="1279"/>
      <c r="E409" s="1279"/>
      <c r="F409" s="1279"/>
      <c r="I409" s="490"/>
    </row>
    <row r="410" spans="1:9">
      <c r="A410" s="476"/>
      <c r="B410" s="476"/>
      <c r="C410" s="476"/>
      <c r="D410" s="1279"/>
      <c r="E410" s="1279"/>
      <c r="F410" s="1279"/>
      <c r="I410" s="490"/>
    </row>
    <row r="411" spans="1:9">
      <c r="A411" s="476"/>
      <c r="B411" s="476"/>
      <c r="C411" s="476"/>
      <c r="D411" s="1279"/>
      <c r="E411" s="1279"/>
      <c r="F411" s="1279"/>
      <c r="I411" s="490"/>
    </row>
    <row r="412" spans="1:9">
      <c r="A412" s="476"/>
      <c r="B412" s="476"/>
      <c r="C412" s="476"/>
      <c r="D412" s="1279"/>
      <c r="E412" s="1279"/>
      <c r="F412" s="1279"/>
      <c r="I412" s="490"/>
    </row>
    <row r="413" spans="1:9">
      <c r="A413" s="476"/>
      <c r="B413" s="476"/>
      <c r="C413" s="496"/>
      <c r="D413" s="1279"/>
      <c r="E413" s="1279"/>
      <c r="F413" s="1279"/>
      <c r="I413" s="490"/>
    </row>
    <row r="414" spans="1:9">
      <c r="A414" s="476"/>
      <c r="B414" s="476"/>
      <c r="C414" s="496"/>
      <c r="D414" s="1279"/>
      <c r="E414" s="1279"/>
      <c r="F414" s="1279"/>
      <c r="I414" s="490"/>
    </row>
    <row r="415" spans="1:9">
      <c r="A415" s="476"/>
      <c r="B415" s="476"/>
      <c r="C415" s="476"/>
      <c r="D415" s="1279"/>
      <c r="E415" s="1279"/>
      <c r="F415" s="1279"/>
      <c r="I415" s="490"/>
    </row>
    <row r="416" spans="1:9">
      <c r="A416" s="476"/>
      <c r="B416" s="476"/>
      <c r="C416" s="496"/>
      <c r="D416" s="1279"/>
      <c r="E416" s="1279"/>
      <c r="F416" s="1279"/>
      <c r="I416" s="490"/>
    </row>
    <row r="417" spans="1:9">
      <c r="A417" s="476"/>
      <c r="B417" s="476"/>
      <c r="C417" s="496"/>
      <c r="D417" s="1279"/>
      <c r="E417" s="1279"/>
      <c r="F417" s="1279"/>
      <c r="I417" s="490"/>
    </row>
    <row r="418" spans="1:9">
      <c r="A418" s="476"/>
      <c r="B418" s="476"/>
      <c r="C418" s="496"/>
      <c r="D418" s="1279"/>
      <c r="E418" s="1279"/>
      <c r="F418" s="1279"/>
      <c r="I418" s="490"/>
    </row>
    <row r="419" spans="1:9">
      <c r="A419" s="476"/>
      <c r="B419" s="476"/>
      <c r="C419" s="476"/>
      <c r="D419" s="447"/>
      <c r="E419" s="447"/>
      <c r="F419" s="446"/>
      <c r="I419" s="490"/>
    </row>
    <row r="420" spans="1:9">
      <c r="A420" s="476"/>
      <c r="B420" s="485" t="s">
        <v>2665</v>
      </c>
      <c r="C420" s="476"/>
      <c r="D420" s="1279" t="s">
        <v>1136</v>
      </c>
      <c r="E420" s="1279"/>
      <c r="F420" s="1279"/>
      <c r="I420" s="490"/>
    </row>
    <row r="421" spans="1:9">
      <c r="A421" s="476"/>
      <c r="B421" s="476"/>
      <c r="C421" s="476"/>
      <c r="D421" s="1279"/>
      <c r="E421" s="1279"/>
      <c r="F421" s="1279"/>
      <c r="I421" s="490"/>
    </row>
    <row r="422" spans="1:9">
      <c r="A422" s="476"/>
      <c r="B422" s="476"/>
      <c r="C422" s="476"/>
      <c r="D422" s="451"/>
      <c r="E422" s="451"/>
      <c r="F422" s="451"/>
      <c r="I422" s="490"/>
    </row>
    <row r="423" spans="1:9" ht="14.45" customHeight="1">
      <c r="A423" s="484"/>
      <c r="B423" s="485" t="s">
        <v>2665</v>
      </c>
      <c r="D423" s="1279" t="s">
        <v>1856</v>
      </c>
      <c r="E423" s="1279"/>
      <c r="F423" s="1279"/>
      <c r="I423" s="490"/>
    </row>
    <row r="424" spans="1:9" ht="14.45" customHeight="1">
      <c r="A424" s="484"/>
      <c r="D424" s="1279"/>
      <c r="E424" s="1279"/>
      <c r="F424" s="1279"/>
      <c r="I424" s="490"/>
    </row>
    <row r="425" spans="1:9" ht="14.45" customHeight="1">
      <c r="A425" s="484"/>
      <c r="D425" s="1279"/>
      <c r="E425" s="1279"/>
      <c r="F425" s="1279"/>
      <c r="I425" s="490"/>
    </row>
    <row r="426" spans="1:9" ht="14.45" customHeight="1">
      <c r="A426" s="484"/>
      <c r="D426" s="1279"/>
      <c r="E426" s="1279"/>
      <c r="F426" s="1279"/>
      <c r="I426" s="490"/>
    </row>
    <row r="427" spans="1:9" ht="14.45" customHeight="1">
      <c r="A427" s="484"/>
      <c r="D427" s="1279"/>
      <c r="E427" s="1279"/>
      <c r="F427" s="1279"/>
      <c r="I427" s="490"/>
    </row>
    <row r="428" spans="1:9" ht="14.45" customHeight="1">
      <c r="A428" s="484"/>
      <c r="D428" s="385"/>
      <c r="E428" s="385"/>
      <c r="F428" s="385"/>
      <c r="I428" s="490"/>
    </row>
    <row r="429" spans="1:9" ht="13.7" customHeight="1">
      <c r="A429" s="484"/>
      <c r="B429" s="485" t="s">
        <v>2665</v>
      </c>
      <c r="C429" s="476"/>
      <c r="D429" s="1279" t="s">
        <v>1240</v>
      </c>
      <c r="E429" s="1279"/>
      <c r="F429" s="1279"/>
      <c r="I429" s="490"/>
    </row>
    <row r="430" spans="1:9" ht="14.25">
      <c r="A430" s="497"/>
      <c r="B430" s="497"/>
      <c r="C430" s="476"/>
      <c r="D430" s="1279"/>
      <c r="E430" s="1279"/>
      <c r="F430" s="1279"/>
      <c r="I430" s="490"/>
    </row>
    <row r="431" spans="1:9" ht="14.25">
      <c r="A431" s="497"/>
      <c r="B431" s="497"/>
      <c r="C431" s="476"/>
      <c r="D431" s="1279"/>
      <c r="E431" s="1279"/>
      <c r="F431" s="1279"/>
      <c r="I431" s="490"/>
    </row>
    <row r="432" spans="1:9" ht="14.25">
      <c r="A432" s="497"/>
      <c r="B432" s="497"/>
      <c r="C432" s="476"/>
      <c r="D432" s="1279"/>
      <c r="E432" s="1279"/>
      <c r="F432" s="1279"/>
      <c r="I432" s="490"/>
    </row>
    <row r="433" spans="1:9" ht="15.75" customHeight="1">
      <c r="A433" s="497"/>
      <c r="B433" s="497"/>
      <c r="C433" s="476"/>
      <c r="D433" s="1338" t="s">
        <v>2614</v>
      </c>
      <c r="E433" s="1279"/>
      <c r="F433" s="1279"/>
      <c r="I433" s="490"/>
    </row>
    <row r="434" spans="1:9">
      <c r="D434" s="446"/>
      <c r="E434" s="446"/>
      <c r="F434" s="446"/>
      <c r="I434" s="490"/>
    </row>
    <row r="435" spans="1:9" ht="14.25">
      <c r="A435" s="484"/>
      <c r="B435" s="485" t="s">
        <v>2665</v>
      </c>
      <c r="C435" s="487"/>
      <c r="D435" s="1307" t="s">
        <v>2019</v>
      </c>
      <c r="E435" s="1307"/>
      <c r="F435" s="1307"/>
      <c r="I435" s="490"/>
    </row>
    <row r="436" spans="1:9" ht="14.25">
      <c r="A436" s="484"/>
      <c r="B436" s="484"/>
      <c r="D436" s="1307"/>
      <c r="E436" s="1307"/>
      <c r="F436" s="1307"/>
      <c r="I436" s="490"/>
    </row>
    <row r="437" spans="1:9">
      <c r="D437" s="1307"/>
      <c r="E437" s="1307"/>
      <c r="F437" s="1307"/>
      <c r="I437" s="490"/>
    </row>
    <row r="438" spans="1:9">
      <c r="D438" s="1307"/>
      <c r="E438" s="1307"/>
      <c r="F438" s="1307"/>
      <c r="I438" s="490"/>
    </row>
    <row r="439" spans="1:9">
      <c r="D439" s="1307"/>
      <c r="E439" s="1307"/>
      <c r="F439" s="1307"/>
      <c r="I439" s="490"/>
    </row>
    <row r="440" spans="1:9">
      <c r="D440" s="1307"/>
      <c r="E440" s="1307"/>
      <c r="F440" s="1307"/>
      <c r="I440" s="490"/>
    </row>
    <row r="441" spans="1:9">
      <c r="D441" s="1307"/>
      <c r="E441" s="1307"/>
      <c r="F441" s="1307"/>
      <c r="I441" s="490"/>
    </row>
    <row r="442" spans="1:9">
      <c r="D442" s="1307"/>
      <c r="E442" s="1307"/>
      <c r="F442" s="1307"/>
      <c r="I442" s="490"/>
    </row>
    <row r="443" spans="1:9">
      <c r="D443" s="1307"/>
      <c r="E443" s="1307"/>
      <c r="F443" s="1307"/>
      <c r="I443" s="490"/>
    </row>
    <row r="444" spans="1:9">
      <c r="D444" s="1307"/>
      <c r="E444" s="1307"/>
      <c r="F444" s="1307"/>
      <c r="I444" s="490"/>
    </row>
    <row r="445" spans="1:9">
      <c r="D445" s="1307"/>
      <c r="E445" s="1307"/>
      <c r="F445" s="1307"/>
      <c r="I445" s="490"/>
    </row>
    <row r="446" spans="1:9">
      <c r="D446" s="1307"/>
      <c r="E446" s="1307"/>
      <c r="F446" s="1307"/>
      <c r="I446" s="490"/>
    </row>
    <row r="447" spans="1:9">
      <c r="D447" s="1307"/>
      <c r="E447" s="1307"/>
      <c r="F447" s="1307"/>
      <c r="I447" s="490"/>
    </row>
    <row r="448" spans="1:9">
      <c r="A448" s="402"/>
      <c r="B448" s="402"/>
      <c r="C448" s="402"/>
      <c r="D448" s="1307"/>
      <c r="E448" s="1307"/>
      <c r="F448" s="1307"/>
      <c r="I448" s="490"/>
    </row>
    <row r="449" spans="1:9">
      <c r="A449" s="402"/>
      <c r="B449" s="402"/>
      <c r="C449" s="402"/>
      <c r="D449" s="1307"/>
      <c r="E449" s="1307"/>
      <c r="F449" s="1307"/>
      <c r="I449" s="490"/>
    </row>
    <row r="450" spans="1:9">
      <c r="A450" s="402"/>
      <c r="B450" s="402"/>
      <c r="C450" s="402"/>
      <c r="D450" s="1307"/>
      <c r="E450" s="1307"/>
      <c r="F450" s="1307"/>
      <c r="I450" s="490"/>
    </row>
    <row r="451" spans="1:9">
      <c r="A451" s="402"/>
      <c r="B451" s="402"/>
      <c r="C451" s="402"/>
      <c r="D451" s="1307"/>
      <c r="E451" s="1307"/>
      <c r="F451" s="1307"/>
      <c r="I451" s="490"/>
    </row>
    <row r="452" spans="1:9">
      <c r="A452" s="402"/>
      <c r="B452" s="402"/>
      <c r="C452" s="402"/>
      <c r="D452" s="1307"/>
      <c r="E452" s="1307"/>
      <c r="F452" s="1307"/>
      <c r="I452" s="490"/>
    </row>
    <row r="453" spans="1:9">
      <c r="A453" s="402"/>
      <c r="B453" s="402"/>
      <c r="C453" s="402"/>
      <c r="D453" s="1307"/>
      <c r="E453" s="1307"/>
      <c r="F453" s="1307"/>
      <c r="I453" s="490"/>
    </row>
    <row r="454" spans="1:9">
      <c r="A454" s="402"/>
      <c r="B454" s="402"/>
      <c r="C454" s="402"/>
      <c r="D454" s="1307"/>
      <c r="E454" s="1307"/>
      <c r="F454" s="1307"/>
      <c r="I454" s="490"/>
    </row>
    <row r="455" spans="1:9">
      <c r="A455" s="402"/>
      <c r="B455" s="402"/>
      <c r="C455" s="402"/>
      <c r="D455" s="1307"/>
      <c r="E455" s="1307"/>
      <c r="F455" s="1307"/>
      <c r="I455" s="490"/>
    </row>
    <row r="456" spans="1:9">
      <c r="A456" s="402"/>
      <c r="B456" s="402"/>
      <c r="C456" s="402"/>
      <c r="D456" s="1307"/>
      <c r="E456" s="1307"/>
      <c r="F456" s="1307"/>
      <c r="I456" s="490"/>
    </row>
    <row r="457" spans="1:9">
      <c r="A457" s="402"/>
      <c r="B457" s="402"/>
      <c r="C457" s="402"/>
      <c r="D457" s="1307"/>
      <c r="E457" s="1307"/>
      <c r="F457" s="1307"/>
      <c r="I457" s="490"/>
    </row>
    <row r="458" spans="1:9">
      <c r="A458" s="402"/>
      <c r="B458" s="402"/>
      <c r="C458" s="402"/>
      <c r="D458" s="1307"/>
      <c r="E458" s="1307"/>
      <c r="F458" s="1307"/>
      <c r="I458" s="490"/>
    </row>
    <row r="459" spans="1:9">
      <c r="A459" s="402"/>
      <c r="B459" s="402"/>
      <c r="C459" s="402"/>
      <c r="D459" s="1307"/>
      <c r="E459" s="1307"/>
      <c r="F459" s="1307"/>
      <c r="I459" s="490"/>
    </row>
    <row r="460" spans="1:9">
      <c r="A460" s="402"/>
      <c r="B460" s="402"/>
      <c r="C460" s="402"/>
      <c r="D460" s="1307"/>
      <c r="E460" s="1307"/>
      <c r="F460" s="1307"/>
      <c r="I460" s="490"/>
    </row>
    <row r="461" spans="1:9">
      <c r="A461" s="402"/>
      <c r="B461" s="402"/>
      <c r="C461" s="402"/>
      <c r="D461" s="1307"/>
      <c r="E461" s="1307"/>
      <c r="F461" s="1307"/>
      <c r="I461" s="490"/>
    </row>
    <row r="462" spans="1:9">
      <c r="A462" s="402"/>
      <c r="B462" s="402"/>
      <c r="C462" s="402"/>
      <c r="D462" s="1307"/>
      <c r="E462" s="1307"/>
      <c r="F462" s="1307"/>
      <c r="I462" s="490"/>
    </row>
    <row r="463" spans="1:9">
      <c r="A463" s="402"/>
      <c r="B463" s="402"/>
      <c r="C463" s="402"/>
      <c r="D463" s="1307"/>
      <c r="E463" s="1307"/>
      <c r="F463" s="1307"/>
      <c r="I463" s="490"/>
    </row>
    <row r="464" spans="1:9">
      <c r="D464" s="1307"/>
      <c r="E464" s="1307"/>
      <c r="F464" s="1307"/>
      <c r="I464" s="490"/>
    </row>
    <row r="465" spans="1:9" ht="40.700000000000003" customHeight="1">
      <c r="D465" s="1307"/>
      <c r="E465" s="1307"/>
      <c r="F465" s="1307"/>
      <c r="I465" s="490"/>
    </row>
    <row r="466" spans="1:9">
      <c r="D466" s="446"/>
      <c r="E466" s="446"/>
      <c r="F466" s="446"/>
      <c r="I466" s="490"/>
    </row>
    <row r="467" spans="1:9" ht="14.25">
      <c r="A467" s="484"/>
      <c r="B467" s="485" t="s">
        <v>2665</v>
      </c>
      <c r="C467" s="487"/>
      <c r="D467" s="1307" t="s">
        <v>1137</v>
      </c>
      <c r="E467" s="1307"/>
      <c r="F467" s="1307"/>
      <c r="I467" s="490"/>
    </row>
    <row r="468" spans="1:9">
      <c r="D468" s="1307"/>
      <c r="E468" s="1307"/>
      <c r="F468" s="1307"/>
      <c r="I468" s="490"/>
    </row>
    <row r="469" spans="1:9">
      <c r="D469" s="1307"/>
      <c r="E469" s="1307"/>
      <c r="F469" s="1307"/>
      <c r="I469" s="490"/>
    </row>
    <row r="470" spans="1:9">
      <c r="D470" s="445"/>
      <c r="E470" s="445"/>
      <c r="F470" s="445"/>
      <c r="I470" s="490"/>
    </row>
    <row r="471" spans="1:9" ht="14.25">
      <c r="B471" s="485" t="s">
        <v>2665</v>
      </c>
      <c r="C471" s="484"/>
      <c r="D471" s="1307" t="s">
        <v>1197</v>
      </c>
      <c r="E471" s="1307"/>
      <c r="F471" s="1307"/>
      <c r="I471" s="490"/>
    </row>
    <row r="472" spans="1:9">
      <c r="D472" s="1307"/>
      <c r="E472" s="1307"/>
      <c r="F472" s="1307"/>
      <c r="I472" s="490"/>
    </row>
    <row r="473" spans="1:9">
      <c r="D473" s="446"/>
      <c r="E473" s="446"/>
      <c r="F473" s="446"/>
      <c r="I473" s="490"/>
    </row>
    <row r="474" spans="1:9" ht="14.25">
      <c r="B474" s="485" t="s">
        <v>2665</v>
      </c>
      <c r="C474" s="484"/>
      <c r="D474" s="1307" t="s">
        <v>1138</v>
      </c>
      <c r="E474" s="1307"/>
      <c r="F474" s="1307"/>
      <c r="I474" s="490"/>
    </row>
    <row r="475" spans="1:9">
      <c r="D475" s="1307"/>
      <c r="E475" s="1307"/>
      <c r="F475" s="1307"/>
      <c r="I475" s="490"/>
    </row>
    <row r="476" spans="1:9">
      <c r="D476" s="1307"/>
      <c r="E476" s="1307"/>
      <c r="F476" s="1307"/>
      <c r="I476" s="490"/>
    </row>
    <row r="477" spans="1:9">
      <c r="D477" s="1307"/>
      <c r="E477" s="1307"/>
      <c r="F477" s="1307"/>
      <c r="I477" s="490"/>
    </row>
    <row r="478" spans="1:9">
      <c r="B478" s="485" t="s">
        <v>2665</v>
      </c>
      <c r="D478" s="1307"/>
      <c r="E478" s="1307"/>
      <c r="F478" s="1307"/>
      <c r="I478" s="490"/>
    </row>
    <row r="479" spans="1:9">
      <c r="A479" s="402"/>
      <c r="B479" s="402"/>
      <c r="C479" s="402"/>
      <c r="D479" s="1307"/>
      <c r="E479" s="1307"/>
      <c r="F479" s="1307"/>
      <c r="I479" s="490"/>
    </row>
    <row r="480" spans="1:9">
      <c r="A480" s="402"/>
      <c r="C480" s="402"/>
      <c r="D480" s="1307"/>
      <c r="E480" s="1307"/>
      <c r="F480" s="1307"/>
      <c r="I480" s="490"/>
    </row>
    <row r="481" spans="1:9">
      <c r="A481" s="402"/>
      <c r="B481" s="485" t="s">
        <v>2665</v>
      </c>
      <c r="C481" s="402"/>
      <c r="D481" s="1307"/>
      <c r="E481" s="1307"/>
      <c r="F481" s="1307"/>
      <c r="I481" s="490"/>
    </row>
    <row r="482" spans="1:9">
      <c r="A482" s="402"/>
      <c r="B482" s="402"/>
      <c r="C482" s="402"/>
      <c r="D482" s="1307"/>
      <c r="E482" s="1307"/>
      <c r="F482" s="1307"/>
      <c r="I482" s="490"/>
    </row>
    <row r="483" spans="1:9">
      <c r="A483" s="402"/>
      <c r="C483" s="402"/>
      <c r="D483" s="1307"/>
      <c r="E483" s="1307"/>
      <c r="F483" s="1307"/>
      <c r="I483" s="490"/>
    </row>
    <row r="484" spans="1:9">
      <c r="A484" s="402"/>
      <c r="C484" s="402"/>
      <c r="D484" s="1307"/>
      <c r="E484" s="1307"/>
      <c r="F484" s="1307"/>
      <c r="I484" s="490"/>
    </row>
    <row r="485" spans="1:9">
      <c r="A485" s="402"/>
      <c r="C485" s="402"/>
      <c r="D485" s="1307"/>
      <c r="E485" s="1307"/>
      <c r="F485" s="1307"/>
      <c r="I485" s="490"/>
    </row>
    <row r="486" spans="1:9">
      <c r="A486" s="402"/>
      <c r="B486" s="485" t="s">
        <v>2665</v>
      </c>
      <c r="C486" s="402"/>
      <c r="D486" s="1307"/>
      <c r="E486" s="1307"/>
      <c r="F486" s="1307"/>
      <c r="I486" s="490"/>
    </row>
    <row r="487" spans="1:9">
      <c r="A487" s="402"/>
      <c r="C487" s="402"/>
      <c r="D487" s="1307"/>
      <c r="E487" s="1307"/>
      <c r="F487" s="1307"/>
      <c r="I487" s="490"/>
    </row>
    <row r="488" spans="1:9">
      <c r="A488" s="402"/>
      <c r="B488" s="485" t="s">
        <v>2665</v>
      </c>
      <c r="C488" s="402"/>
      <c r="D488" s="1307" t="s">
        <v>1139</v>
      </c>
      <c r="E488" s="1307"/>
      <c r="F488" s="1307"/>
      <c r="I488" s="490"/>
    </row>
    <row r="489" spans="1:9">
      <c r="A489" s="402"/>
      <c r="B489" s="402"/>
      <c r="C489" s="402"/>
      <c r="D489" s="1307"/>
      <c r="E489" s="1307"/>
      <c r="F489" s="1307"/>
      <c r="I489" s="490"/>
    </row>
    <row r="490" spans="1:9">
      <c r="A490" s="402"/>
      <c r="B490" s="402"/>
      <c r="C490" s="402"/>
      <c r="D490" s="1307"/>
      <c r="E490" s="1307"/>
      <c r="F490" s="1307"/>
      <c r="I490" s="490"/>
    </row>
    <row r="491" spans="1:9">
      <c r="A491" s="402"/>
      <c r="B491" s="402"/>
      <c r="C491" s="402"/>
      <c r="D491" s="1307"/>
      <c r="E491" s="1307"/>
      <c r="F491" s="1307"/>
      <c r="I491" s="490"/>
    </row>
    <row r="492" spans="1:9">
      <c r="D492" s="1307"/>
      <c r="E492" s="1307"/>
      <c r="F492" s="1307"/>
      <c r="I492" s="490"/>
    </row>
    <row r="493" spans="1:9">
      <c r="D493" s="446"/>
      <c r="E493" s="446"/>
      <c r="F493" s="446"/>
      <c r="I493" s="490"/>
    </row>
    <row r="494" spans="1:9">
      <c r="B494" s="485" t="s">
        <v>2665</v>
      </c>
      <c r="D494" s="1309" t="s">
        <v>1140</v>
      </c>
      <c r="E494" s="1309"/>
      <c r="F494" s="1309"/>
      <c r="I494" s="490"/>
    </row>
    <row r="495" spans="1:9">
      <c r="A495" s="446"/>
      <c r="B495" s="446"/>
      <c r="I495" s="490"/>
    </row>
    <row r="496" spans="1:9">
      <c r="A496" s="1308" t="s">
        <v>1050</v>
      </c>
      <c r="B496" s="1308"/>
      <c r="C496" s="1308"/>
      <c r="D496" s="1308"/>
      <c r="E496" s="1308"/>
      <c r="F496" s="1308"/>
      <c r="G496" s="1308"/>
      <c r="H496" s="1023"/>
      <c r="I496" s="1147"/>
    </row>
    <row r="497" spans="1:9">
      <c r="A497" s="446"/>
      <c r="B497" s="446"/>
      <c r="I497" s="490"/>
    </row>
    <row r="498" spans="1:9">
      <c r="D498" s="1337" t="s">
        <v>883</v>
      </c>
      <c r="E498" s="1337"/>
      <c r="F498" s="1337"/>
      <c r="I498" s="490"/>
    </row>
    <row r="499" spans="1:9" ht="14.25">
      <c r="A499" s="484"/>
      <c r="B499" s="484"/>
      <c r="D499" s="1317" t="s">
        <v>1141</v>
      </c>
      <c r="E499" s="1317"/>
      <c r="F499" s="1317"/>
      <c r="I499" s="490"/>
    </row>
    <row r="500" spans="1:9" ht="14.25">
      <c r="A500" s="484"/>
      <c r="B500" s="484"/>
      <c r="D500" s="447"/>
      <c r="I500" s="490"/>
    </row>
    <row r="501" spans="1:9" ht="14.25">
      <c r="A501" s="484"/>
      <c r="B501" s="485" t="s">
        <v>2665</v>
      </c>
      <c r="D501" s="1279" t="s">
        <v>1142</v>
      </c>
      <c r="E501" s="1279"/>
      <c r="F501" s="1279"/>
      <c r="I501" s="490"/>
    </row>
    <row r="502" spans="1:9" ht="14.25">
      <c r="A502" s="484"/>
      <c r="B502" s="484"/>
      <c r="D502" s="1279"/>
      <c r="E502" s="1279"/>
      <c r="F502" s="1279"/>
      <c r="I502" s="490"/>
    </row>
    <row r="503" spans="1:9" ht="14.25">
      <c r="A503" s="484"/>
      <c r="B503" s="484"/>
      <c r="D503" s="446"/>
      <c r="I503" s="490"/>
    </row>
    <row r="504" spans="1:9" ht="12.75" customHeight="1">
      <c r="B504" s="485" t="s">
        <v>2665</v>
      </c>
      <c r="D504" s="1323" t="s">
        <v>1273</v>
      </c>
      <c r="E504" s="1323"/>
      <c r="F504" s="1323"/>
      <c r="I504" s="490"/>
    </row>
    <row r="505" spans="1:9" ht="14.25">
      <c r="A505" s="484"/>
      <c r="D505" s="1323"/>
      <c r="E505" s="1323"/>
      <c r="F505" s="1323"/>
      <c r="I505" s="490"/>
    </row>
    <row r="506" spans="1:9" ht="14.25">
      <c r="A506" s="484"/>
      <c r="B506" s="484"/>
      <c r="D506" s="1323"/>
      <c r="E506" s="1323"/>
      <c r="F506" s="1323"/>
      <c r="I506" s="490"/>
    </row>
    <row r="507" spans="1:9" ht="14.25">
      <c r="A507" s="484"/>
      <c r="B507" s="484"/>
      <c r="D507" s="1323"/>
      <c r="E507" s="1323"/>
      <c r="F507" s="1323"/>
      <c r="I507" s="490"/>
    </row>
    <row r="508" spans="1:9" ht="14.25">
      <c r="A508" s="484"/>
      <c r="D508" s="520"/>
      <c r="E508" s="520"/>
      <c r="F508" s="520"/>
      <c r="I508" s="490"/>
    </row>
    <row r="509" spans="1:9" ht="14.25">
      <c r="A509" s="484"/>
      <c r="B509" s="485" t="s">
        <v>2665</v>
      </c>
      <c r="D509" s="1309" t="s">
        <v>1143</v>
      </c>
      <c r="E509" s="1309"/>
      <c r="F509" s="1309"/>
      <c r="I509" s="490"/>
    </row>
    <row r="510" spans="1:9" ht="14.25">
      <c r="A510" s="484"/>
      <c r="B510" s="484"/>
      <c r="D510" s="446"/>
      <c r="I510" s="490"/>
    </row>
    <row r="511" spans="1:9" ht="14.25">
      <c r="A511" s="484"/>
      <c r="B511" s="485" t="s">
        <v>2665</v>
      </c>
      <c r="D511" s="1307" t="s">
        <v>1144</v>
      </c>
      <c r="E511" s="1307"/>
      <c r="F511" s="1307"/>
      <c r="I511" s="490"/>
    </row>
    <row r="512" spans="1:9" ht="14.25">
      <c r="A512" s="484"/>
      <c r="D512" s="1307"/>
      <c r="E512" s="1307"/>
      <c r="F512" s="1307"/>
      <c r="I512" s="490"/>
    </row>
    <row r="513" spans="1:9">
      <c r="A513" s="490"/>
      <c r="B513" s="490"/>
      <c r="D513" s="447"/>
      <c r="I513" s="490"/>
    </row>
    <row r="514" spans="1:9">
      <c r="A514" s="490"/>
      <c r="B514" s="485" t="s">
        <v>2665</v>
      </c>
      <c r="D514" s="1309" t="s">
        <v>1145</v>
      </c>
      <c r="E514" s="1309"/>
      <c r="F514" s="1309"/>
      <c r="I514" s="490"/>
    </row>
    <row r="515" spans="1:9">
      <c r="D515" s="446"/>
      <c r="E515" s="446"/>
      <c r="F515" s="446"/>
      <c r="I515" s="490"/>
    </row>
    <row r="516" spans="1:9">
      <c r="B516" s="485" t="s">
        <v>2665</v>
      </c>
      <c r="D516" s="1307" t="s">
        <v>2223</v>
      </c>
      <c r="E516" s="1307"/>
      <c r="F516" s="1307"/>
      <c r="I516" s="490"/>
    </row>
    <row r="517" spans="1:9">
      <c r="D517" s="1307"/>
      <c r="E517" s="1307"/>
      <c r="F517" s="1307"/>
      <c r="I517" s="490"/>
    </row>
    <row r="518" spans="1:9">
      <c r="D518" s="1307"/>
      <c r="E518" s="1307"/>
      <c r="F518" s="1307"/>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3"/>
      <c r="I521" s="1147"/>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2760</v>
      </c>
      <c r="C527" s="483"/>
      <c r="D527" s="1279" t="s">
        <v>2020</v>
      </c>
      <c r="E527" s="1279"/>
      <c r="F527" s="1279"/>
      <c r="I527" s="490"/>
    </row>
    <row r="528" spans="1:9">
      <c r="A528" s="483"/>
      <c r="B528" s="483"/>
      <c r="C528" s="483"/>
      <c r="D528" s="1279"/>
      <c r="E528" s="1279"/>
      <c r="F528" s="1279"/>
      <c r="I528" s="490"/>
    </row>
    <row r="529" spans="1:9">
      <c r="A529" s="483"/>
      <c r="B529" s="483"/>
      <c r="C529" s="483"/>
      <c r="D529" s="451"/>
      <c r="E529" s="451"/>
      <c r="F529" s="451"/>
      <c r="I529" s="480"/>
    </row>
    <row r="530" spans="1:9" ht="12.75" customHeight="1">
      <c r="A530" s="483"/>
      <c r="B530" s="485" t="s">
        <v>2760</v>
      </c>
      <c r="D530" s="386" t="s">
        <v>1877</v>
      </c>
      <c r="E530" s="385"/>
      <c r="F530" s="385"/>
      <c r="I530" s="490"/>
    </row>
    <row r="531" spans="1:9">
      <c r="A531" s="483"/>
      <c r="B531" s="483"/>
      <c r="C531" s="483"/>
      <c r="D531" s="385"/>
      <c r="E531" s="96" t="s">
        <v>1878</v>
      </c>
      <c r="I531" s="490"/>
    </row>
    <row r="532" spans="1:9">
      <c r="A532" s="483"/>
      <c r="B532" s="483"/>
      <c r="D532" s="1287" t="s">
        <v>2021</v>
      </c>
      <c r="E532" s="1287"/>
      <c r="F532" s="1287"/>
      <c r="I532" s="490"/>
    </row>
    <row r="533" spans="1:9">
      <c r="A533" s="483"/>
      <c r="B533" s="483"/>
      <c r="D533" s="1287"/>
      <c r="E533" s="1287"/>
      <c r="F533" s="1287"/>
      <c r="I533" s="490"/>
    </row>
    <row r="534" spans="1:9">
      <c r="A534" s="483"/>
      <c r="B534" s="483"/>
      <c r="C534" s="483"/>
      <c r="D534" s="1287"/>
      <c r="E534" s="1287"/>
      <c r="F534" s="1287"/>
      <c r="I534" s="490"/>
    </row>
    <row r="535" spans="1:9">
      <c r="A535" s="483"/>
      <c r="B535" s="483"/>
      <c r="C535" s="483"/>
      <c r="D535" s="498"/>
      <c r="F535" s="446"/>
      <c r="I535" s="490"/>
    </row>
    <row r="536" spans="1:9" ht="13.15" customHeight="1">
      <c r="A536" s="483"/>
      <c r="B536" s="485" t="s">
        <v>2760</v>
      </c>
      <c r="C536" s="483"/>
      <c r="D536" s="1307" t="s">
        <v>2638</v>
      </c>
      <c r="E536" s="1307"/>
      <c r="F536" s="1307"/>
      <c r="I536" s="490"/>
    </row>
    <row r="537" spans="1:9" ht="13.15" customHeight="1">
      <c r="A537" s="483"/>
      <c r="B537" s="483"/>
      <c r="C537" s="483"/>
      <c r="D537" s="1307"/>
      <c r="E537" s="1307"/>
      <c r="F537" s="1307"/>
      <c r="I537" s="490"/>
    </row>
    <row r="538" spans="1:9">
      <c r="A538" s="483"/>
      <c r="B538" s="483"/>
      <c r="C538" s="483"/>
      <c r="D538" s="1307"/>
      <c r="E538" s="1307"/>
      <c r="F538" s="1307"/>
      <c r="I538" s="490"/>
    </row>
    <row r="539" spans="1:9" ht="12" customHeight="1">
      <c r="A539" s="446"/>
      <c r="B539" s="446"/>
      <c r="C539" s="487"/>
      <c r="D539" s="446"/>
      <c r="F539" s="448"/>
      <c r="I539" s="490"/>
    </row>
    <row r="540" spans="1:9">
      <c r="A540" s="1308" t="s">
        <v>1052</v>
      </c>
      <c r="B540" s="1308"/>
      <c r="C540" s="1308"/>
      <c r="D540" s="1308"/>
      <c r="E540" s="1308"/>
      <c r="F540" s="1308"/>
      <c r="G540" s="1308"/>
      <c r="H540" s="1023"/>
      <c r="I540" s="1147"/>
    </row>
    <row r="541" spans="1:9">
      <c r="A541" s="446"/>
      <c r="B541" s="446"/>
      <c r="C541" s="487"/>
      <c r="F541" s="448"/>
      <c r="I541" s="490"/>
    </row>
    <row r="542" spans="1:9">
      <c r="B542" s="1313" t="s">
        <v>446</v>
      </c>
      <c r="C542" s="1313"/>
      <c r="D542" s="1313"/>
      <c r="E542" s="1313"/>
      <c r="F542" s="1313"/>
      <c r="I542" s="490"/>
    </row>
    <row r="543" spans="1:9">
      <c r="A543" s="446"/>
      <c r="B543" s="446"/>
      <c r="C543" s="487"/>
      <c r="D543" s="446"/>
      <c r="F543" s="446"/>
      <c r="I543" s="490"/>
    </row>
    <row r="544" spans="1:9">
      <c r="A544" s="1311" t="s">
        <v>1053</v>
      </c>
      <c r="B544" s="1311"/>
      <c r="C544" s="1311"/>
      <c r="D544" s="1311"/>
      <c r="E544" s="1311"/>
      <c r="F544" s="1311"/>
      <c r="G544" s="1311"/>
      <c r="H544" s="1023"/>
      <c r="I544" s="1147"/>
    </row>
    <row r="545" spans="1:9">
      <c r="A545" s="446"/>
      <c r="B545" s="446"/>
      <c r="C545" s="487"/>
      <c r="D545" s="446"/>
      <c r="F545" s="446"/>
      <c r="I545" s="490"/>
    </row>
    <row r="546" spans="1:9">
      <c r="C546" s="487"/>
      <c r="D546" s="1310" t="s">
        <v>683</v>
      </c>
      <c r="E546" s="1310"/>
      <c r="F546" s="1310"/>
      <c r="I546" s="490"/>
    </row>
    <row r="547" spans="1:9">
      <c r="C547" s="487"/>
      <c r="D547" s="1309" t="s">
        <v>1081</v>
      </c>
      <c r="E547" s="1309"/>
      <c r="F547" s="1309"/>
      <c r="I547" s="490"/>
    </row>
    <row r="548" spans="1:9">
      <c r="C548" s="487"/>
      <c r="D548" s="446"/>
      <c r="E548" s="446"/>
      <c r="F548" s="446"/>
      <c r="I548" s="490"/>
    </row>
    <row r="549" spans="1:9" ht="13.7" customHeight="1">
      <c r="A549" s="484"/>
      <c r="B549" s="485" t="s">
        <v>2760</v>
      </c>
      <c r="C549" s="487"/>
      <c r="D549" s="1309" t="s">
        <v>884</v>
      </c>
      <c r="E549" s="1309"/>
      <c r="F549" s="1309"/>
      <c r="I549" s="490"/>
    </row>
    <row r="550" spans="1:9" ht="13.7" customHeight="1">
      <c r="A550" s="487"/>
      <c r="B550" s="487"/>
      <c r="C550" s="487"/>
      <c r="D550" s="446"/>
      <c r="I550" s="490"/>
    </row>
    <row r="551" spans="1:9" ht="14.25">
      <c r="A551" s="484"/>
      <c r="B551" s="485" t="s">
        <v>2760</v>
      </c>
      <c r="C551" s="487"/>
      <c r="D551" s="1307" t="s">
        <v>1082</v>
      </c>
      <c r="E551" s="1307"/>
      <c r="F551" s="1307"/>
      <c r="I551" s="490"/>
    </row>
    <row r="552" spans="1:9">
      <c r="A552" s="487"/>
      <c r="B552" s="487"/>
      <c r="C552" s="487"/>
      <c r="D552" s="1307"/>
      <c r="E552" s="1307"/>
      <c r="F552" s="1307"/>
      <c r="I552" s="490"/>
    </row>
    <row r="553" spans="1:9">
      <c r="A553" s="487"/>
      <c r="B553" s="487"/>
      <c r="C553" s="487"/>
      <c r="D553" s="446"/>
      <c r="E553" s="446"/>
      <c r="F553" s="446"/>
      <c r="I553" s="490"/>
    </row>
    <row r="554" spans="1:9" ht="14.25">
      <c r="A554" s="484"/>
      <c r="B554" s="485" t="s">
        <v>2760</v>
      </c>
      <c r="C554" s="487"/>
      <c r="D554" s="1307" t="s">
        <v>1083</v>
      </c>
      <c r="E554" s="1307"/>
      <c r="F554" s="1307"/>
      <c r="I554" s="490"/>
    </row>
    <row r="555" spans="1:9">
      <c r="A555" s="487"/>
      <c r="B555" s="487"/>
      <c r="C555" s="487"/>
      <c r="D555" s="1307"/>
      <c r="E555" s="1307"/>
      <c r="F555" s="1307"/>
      <c r="I555" s="490"/>
    </row>
    <row r="556" spans="1:9">
      <c r="A556" s="487"/>
      <c r="B556" s="487"/>
      <c r="C556" s="487"/>
      <c r="D556" s="446"/>
      <c r="E556" s="446"/>
      <c r="F556" s="446"/>
      <c r="I556" s="490"/>
    </row>
    <row r="557" spans="1:9" ht="14.25">
      <c r="A557" s="484"/>
      <c r="B557" s="485" t="s">
        <v>2760</v>
      </c>
      <c r="C557" s="487"/>
      <c r="D557" s="1307" t="s">
        <v>1084</v>
      </c>
      <c r="E557" s="1307"/>
      <c r="F557" s="1307"/>
      <c r="I557" s="490"/>
    </row>
    <row r="558" spans="1:9">
      <c r="A558" s="487"/>
      <c r="B558" s="487"/>
      <c r="C558" s="487"/>
      <c r="D558" s="1307"/>
      <c r="E558" s="1307"/>
      <c r="F558" s="1307"/>
      <c r="I558" s="490"/>
    </row>
    <row r="559" spans="1:9">
      <c r="A559" s="487"/>
      <c r="B559" s="487"/>
      <c r="C559" s="487"/>
      <c r="D559" s="446"/>
      <c r="E559" s="446"/>
      <c r="F559" s="446"/>
      <c r="I559" s="490"/>
    </row>
    <row r="560" spans="1:9" ht="14.25">
      <c r="A560" s="484"/>
      <c r="B560" s="485" t="s">
        <v>2760</v>
      </c>
      <c r="C560" s="487"/>
      <c r="D560" s="1307" t="s">
        <v>1085</v>
      </c>
      <c r="E560" s="1307"/>
      <c r="F560" s="1307"/>
      <c r="I560" s="490"/>
    </row>
    <row r="561" spans="1:9">
      <c r="A561" s="487"/>
      <c r="B561" s="487"/>
      <c r="C561" s="487"/>
      <c r="D561" s="1307"/>
      <c r="E561" s="1307"/>
      <c r="F561" s="1307"/>
      <c r="I561" s="490"/>
    </row>
    <row r="562" spans="1:9">
      <c r="A562" s="487"/>
      <c r="B562" s="487"/>
      <c r="C562" s="487"/>
      <c r="D562" s="1307"/>
      <c r="E562" s="1307"/>
      <c r="F562" s="1307"/>
      <c r="I562" s="490"/>
    </row>
    <row r="563" spans="1:9">
      <c r="A563" s="487"/>
      <c r="B563" s="487"/>
      <c r="C563" s="487"/>
      <c r="D563" s="446"/>
      <c r="E563" s="446"/>
      <c r="F563" s="446"/>
      <c r="I563" s="490"/>
    </row>
    <row r="564" spans="1:9" ht="14.25">
      <c r="A564" s="484"/>
      <c r="B564" s="485" t="s">
        <v>2665</v>
      </c>
      <c r="C564" s="487"/>
      <c r="D564" s="1307" t="s">
        <v>2201</v>
      </c>
      <c r="E564" s="1307"/>
      <c r="F564" s="1307"/>
      <c r="I564" s="490"/>
    </row>
    <row r="565" spans="1:9">
      <c r="A565" s="487"/>
      <c r="B565" s="487"/>
      <c r="C565" s="487"/>
      <c r="D565" s="1307"/>
      <c r="E565" s="1307"/>
      <c r="F565" s="1307"/>
      <c r="I565" s="490"/>
    </row>
    <row r="566" spans="1:9">
      <c r="A566" s="487"/>
      <c r="B566" s="487"/>
      <c r="C566" s="487"/>
      <c r="D566" s="446"/>
      <c r="E566" s="446"/>
      <c r="F566" s="446"/>
      <c r="I566" s="490"/>
    </row>
    <row r="567" spans="1:9" ht="14.25">
      <c r="A567" s="484"/>
      <c r="B567" s="485" t="s">
        <v>2760</v>
      </c>
      <c r="C567" s="487"/>
      <c r="D567" s="1307" t="s">
        <v>1086</v>
      </c>
      <c r="E567" s="1307"/>
      <c r="F567" s="1307"/>
      <c r="I567" s="490"/>
    </row>
    <row r="568" spans="1:9">
      <c r="A568" s="487"/>
      <c r="B568" s="487"/>
      <c r="C568" s="487"/>
      <c r="D568" s="1307"/>
      <c r="E568" s="1307"/>
      <c r="F568" s="1307"/>
      <c r="I568" s="490"/>
    </row>
    <row r="569" spans="1:9">
      <c r="A569" s="487"/>
      <c r="B569" s="487"/>
      <c r="C569" s="487"/>
      <c r="D569" s="446"/>
      <c r="E569" s="446"/>
      <c r="F569" s="446"/>
      <c r="I569" s="490"/>
    </row>
    <row r="570" spans="1:9" ht="14.25">
      <c r="A570" s="484"/>
      <c r="B570" s="485" t="s">
        <v>2760</v>
      </c>
      <c r="C570" s="487"/>
      <c r="D570" s="1309" t="s">
        <v>1087</v>
      </c>
      <c r="E570" s="1309"/>
      <c r="F570" s="1309"/>
      <c r="I570" s="490"/>
    </row>
    <row r="571" spans="1:9">
      <c r="A571" s="490"/>
      <c r="B571" s="490"/>
      <c r="C571" s="487"/>
      <c r="D571" s="1309" t="s">
        <v>1880</v>
      </c>
      <c r="E571" s="1309"/>
      <c r="F571" s="1309"/>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2760</v>
      </c>
      <c r="C574" s="487"/>
      <c r="D574" s="1309" t="s">
        <v>1088</v>
      </c>
      <c r="E574" s="1309"/>
      <c r="F574" s="1309"/>
      <c r="I574" s="490"/>
    </row>
    <row r="575" spans="1:9">
      <c r="C575" s="487"/>
      <c r="D575" s="1307" t="s">
        <v>1089</v>
      </c>
      <c r="E575" s="1307"/>
      <c r="F575" s="1307"/>
      <c r="I575" s="490"/>
    </row>
    <row r="576" spans="1:9">
      <c r="A576" s="487"/>
      <c r="B576" s="487"/>
      <c r="C576" s="487"/>
      <c r="D576" s="1307"/>
      <c r="E576" s="1307"/>
      <c r="F576" s="1307"/>
      <c r="I576" s="490"/>
    </row>
    <row r="577" spans="1:9">
      <c r="A577" s="487"/>
      <c r="B577" s="487"/>
      <c r="C577" s="487"/>
      <c r="D577" s="1307"/>
      <c r="E577" s="1307"/>
      <c r="F577" s="1307"/>
      <c r="I577" s="490"/>
    </row>
    <row r="578" spans="1:9">
      <c r="A578" s="487"/>
      <c r="B578" s="487"/>
      <c r="C578" s="487"/>
      <c r="D578" s="446"/>
      <c r="E578" s="446"/>
      <c r="F578" s="446"/>
      <c r="I578" s="490"/>
    </row>
    <row r="579" spans="1:9" ht="14.25">
      <c r="A579" s="484"/>
      <c r="B579" s="485" t="s">
        <v>2760</v>
      </c>
      <c r="C579" s="487"/>
      <c r="D579" s="1307" t="s">
        <v>2022</v>
      </c>
      <c r="E579" s="1307"/>
      <c r="F579" s="1307"/>
      <c r="I579" s="490"/>
    </row>
    <row r="580" spans="1:9" ht="14.25">
      <c r="A580" s="484"/>
      <c r="B580" s="484"/>
      <c r="C580" s="487"/>
      <c r="D580" s="1307"/>
      <c r="E580" s="1307"/>
      <c r="F580" s="1307"/>
      <c r="I580" s="490"/>
    </row>
    <row r="581" spans="1:9" ht="14.25">
      <c r="A581" s="484"/>
      <c r="B581" s="484"/>
      <c r="C581" s="487"/>
      <c r="D581" s="1307"/>
      <c r="E581" s="1307"/>
      <c r="F581" s="1307"/>
      <c r="I581" s="490"/>
    </row>
    <row r="582" spans="1:9" ht="14.25">
      <c r="A582" s="484"/>
      <c r="B582" s="484"/>
      <c r="C582" s="487"/>
      <c r="D582" s="1307"/>
      <c r="E582" s="1307"/>
      <c r="F582" s="1307"/>
      <c r="I582" s="490"/>
    </row>
    <row r="583" spans="1:9" ht="14.25">
      <c r="A583" s="484"/>
      <c r="B583" s="484"/>
      <c r="C583" s="487"/>
      <c r="D583" s="446"/>
      <c r="E583" s="446"/>
      <c r="F583" s="446"/>
      <c r="I583" s="490"/>
    </row>
    <row r="584" spans="1:9">
      <c r="A584" s="1308" t="s">
        <v>1054</v>
      </c>
      <c r="B584" s="1308"/>
      <c r="C584" s="1308"/>
      <c r="D584" s="1308"/>
      <c r="E584" s="1308"/>
      <c r="F584" s="1308"/>
      <c r="G584" s="1308"/>
      <c r="H584" s="1023"/>
      <c r="I584" s="1147"/>
    </row>
    <row r="585" spans="1:9">
      <c r="A585" s="487"/>
      <c r="B585" s="487"/>
      <c r="C585" s="487"/>
      <c r="E585" s="446"/>
      <c r="F585" s="446"/>
      <c r="I585" s="490"/>
    </row>
    <row r="586" spans="1:9" ht="12.75" customHeight="1">
      <c r="C586" s="482"/>
      <c r="D586" s="1327" t="s">
        <v>210</v>
      </c>
      <c r="E586" s="1327"/>
      <c r="F586" s="1327"/>
      <c r="I586" s="490"/>
    </row>
    <row r="587" spans="1:9">
      <c r="A587" s="483"/>
      <c r="B587" s="483"/>
      <c r="C587" s="483"/>
      <c r="D587" s="1323" t="s">
        <v>1067</v>
      </c>
      <c r="E587" s="1323"/>
      <c r="F587" s="1323"/>
      <c r="I587" s="490"/>
    </row>
    <row r="588" spans="1:9">
      <c r="A588" s="402"/>
      <c r="B588" s="402"/>
      <c r="C588" s="483"/>
      <c r="D588" s="499"/>
      <c r="I588" s="490"/>
    </row>
    <row r="589" spans="1:9" hidden="1">
      <c r="A589" s="483"/>
      <c r="B589" s="485" t="s">
        <v>307</v>
      </c>
      <c r="D589" s="1323" t="s">
        <v>888</v>
      </c>
      <c r="E589" s="1323"/>
      <c r="F589" s="1323"/>
      <c r="I589" s="490"/>
    </row>
    <row r="590" spans="1:9" hidden="1">
      <c r="A590" s="490"/>
      <c r="B590" s="490"/>
      <c r="D590" s="476"/>
      <c r="I590" s="490"/>
    </row>
    <row r="591" spans="1:9">
      <c r="A591" s="490"/>
      <c r="B591" s="485" t="s">
        <v>2760</v>
      </c>
      <c r="D591" s="1323" t="s">
        <v>2023</v>
      </c>
      <c r="E591" s="1323"/>
      <c r="F591" s="1323"/>
      <c r="I591" s="490"/>
    </row>
    <row r="592" spans="1:9">
      <c r="A592" s="490"/>
      <c r="B592" s="490"/>
      <c r="D592" s="1323"/>
      <c r="E592" s="1323"/>
      <c r="F592" s="1323"/>
      <c r="I592" s="490"/>
    </row>
    <row r="593" spans="1:9">
      <c r="A593" s="490"/>
      <c r="B593" s="490"/>
      <c r="D593" s="1323"/>
      <c r="E593" s="1323"/>
      <c r="F593" s="1323"/>
      <c r="I593" s="490"/>
    </row>
    <row r="594" spans="1:9">
      <c r="A594" s="490"/>
      <c r="B594" s="490"/>
      <c r="D594" s="1323"/>
      <c r="E594" s="1323"/>
      <c r="F594" s="1323"/>
      <c r="I594" s="490"/>
    </row>
    <row r="595" spans="1:9">
      <c r="A595" s="490"/>
      <c r="B595" s="485" t="s">
        <v>2665</v>
      </c>
      <c r="D595" s="1323" t="s">
        <v>1068</v>
      </c>
      <c r="E595" s="1323"/>
      <c r="F595" s="1323"/>
      <c r="I595" s="490"/>
    </row>
    <row r="596" spans="1:9">
      <c r="A596" s="490"/>
      <c r="B596" s="490"/>
      <c r="D596" s="1323"/>
      <c r="E596" s="1323"/>
      <c r="F596" s="1323"/>
      <c r="I596" s="490"/>
    </row>
    <row r="597" spans="1:9">
      <c r="A597" s="490"/>
      <c r="B597" s="490"/>
      <c r="D597" s="1323"/>
      <c r="E597" s="1323"/>
      <c r="F597" s="1323"/>
      <c r="I597" s="490"/>
    </row>
    <row r="598" spans="1:9">
      <c r="A598" s="490"/>
      <c r="B598" s="490"/>
      <c r="D598" s="1323"/>
      <c r="E598" s="1323"/>
      <c r="F598" s="1323"/>
      <c r="I598" s="490"/>
    </row>
    <row r="599" spans="1:9">
      <c r="A599" s="490"/>
      <c r="B599" s="490"/>
      <c r="D599" s="440"/>
      <c r="E599" s="440"/>
      <c r="F599" s="440"/>
      <c r="I599" s="490"/>
    </row>
    <row r="600" spans="1:9">
      <c r="A600" s="490"/>
      <c r="B600" s="485" t="s">
        <v>2760</v>
      </c>
      <c r="D600" s="1323" t="s">
        <v>2024</v>
      </c>
      <c r="E600" s="1323"/>
      <c r="F600" s="1323"/>
      <c r="I600" s="490"/>
    </row>
    <row r="601" spans="1:9">
      <c r="A601" s="490"/>
      <c r="B601" s="490"/>
      <c r="D601" s="1323"/>
      <c r="E601" s="1323"/>
      <c r="F601" s="1323"/>
      <c r="I601" s="490"/>
    </row>
    <row r="602" spans="1:9">
      <c r="A602" s="490"/>
      <c r="B602" s="490"/>
      <c r="D602" s="499"/>
      <c r="I602" s="490"/>
    </row>
    <row r="603" spans="1:9">
      <c r="A603" s="490"/>
      <c r="B603" s="485" t="s">
        <v>2665</v>
      </c>
      <c r="D603" s="1323" t="s">
        <v>1069</v>
      </c>
      <c r="E603" s="1323"/>
      <c r="F603" s="1323"/>
      <c r="I603" s="490"/>
    </row>
    <row r="604" spans="1:9">
      <c r="A604" s="490"/>
      <c r="B604" s="490"/>
      <c r="D604" s="1323"/>
      <c r="E604" s="1323"/>
      <c r="F604" s="1323"/>
      <c r="I604" s="490"/>
    </row>
    <row r="605" spans="1:9" ht="14.25">
      <c r="A605" s="484"/>
      <c r="B605" s="484"/>
      <c r="D605" s="499"/>
      <c r="I605" s="490"/>
    </row>
    <row r="606" spans="1:9">
      <c r="A606" s="1308" t="s">
        <v>1055</v>
      </c>
      <c r="B606" s="1308"/>
      <c r="C606" s="1308"/>
      <c r="D606" s="1308"/>
      <c r="E606" s="1308"/>
      <c r="F606" s="1308"/>
      <c r="G606" s="1308"/>
      <c r="H606" s="1023"/>
      <c r="I606" s="1147"/>
    </row>
    <row r="607" spans="1:9">
      <c r="I607" s="490"/>
    </row>
    <row r="608" spans="1:9">
      <c r="D608" s="1310" t="s">
        <v>1107</v>
      </c>
      <c r="E608" s="1310"/>
      <c r="F608" s="1310"/>
      <c r="I608" s="490"/>
    </row>
    <row r="609" spans="1:9">
      <c r="D609" s="1289" t="s">
        <v>1108</v>
      </c>
      <c r="E609" s="1289"/>
      <c r="F609" s="1289"/>
      <c r="I609" s="490"/>
    </row>
    <row r="610" spans="1:9">
      <c r="D610" s="444"/>
      <c r="I610" s="490"/>
    </row>
    <row r="611" spans="1:9" ht="14.25" customHeight="1">
      <c r="A611" s="484"/>
      <c r="B611" s="485" t="s">
        <v>2760</v>
      </c>
      <c r="D611" s="1324" t="s">
        <v>1881</v>
      </c>
      <c r="E611" s="1324"/>
      <c r="F611" s="1324"/>
      <c r="I611" s="490"/>
    </row>
    <row r="612" spans="1:9">
      <c r="D612" s="1324"/>
      <c r="E612" s="1324"/>
      <c r="F612" s="1324"/>
      <c r="I612" s="490"/>
    </row>
    <row r="613" spans="1:9">
      <c r="D613" s="385"/>
      <c r="E613" s="1031" t="s">
        <v>1882</v>
      </c>
      <c r="F613" s="385"/>
      <c r="I613" s="490"/>
    </row>
    <row r="614" spans="1:9">
      <c r="I614" s="490"/>
    </row>
    <row r="615" spans="1:9">
      <c r="A615" s="1308" t="s">
        <v>1056</v>
      </c>
      <c r="B615" s="1308"/>
      <c r="C615" s="1308"/>
      <c r="D615" s="1308"/>
      <c r="E615" s="1308"/>
      <c r="F615" s="1308"/>
      <c r="G615" s="1308"/>
      <c r="H615" s="1023"/>
      <c r="I615" s="1147"/>
    </row>
    <row r="616" spans="1:9">
      <c r="A616" s="446"/>
      <c r="B616" s="446"/>
      <c r="I616" s="490"/>
    </row>
    <row r="617" spans="1:9">
      <c r="A617" s="482"/>
      <c r="B617" s="482"/>
      <c r="C617" s="482"/>
      <c r="D617" s="1319" t="s">
        <v>1109</v>
      </c>
      <c r="E617" s="1319"/>
      <c r="F617" s="1319"/>
      <c r="I617" s="490"/>
    </row>
    <row r="618" spans="1:9">
      <c r="A618" s="482"/>
      <c r="B618" s="482"/>
      <c r="C618" s="482"/>
      <c r="D618" s="1319"/>
      <c r="E618" s="1319"/>
      <c r="F618" s="1319"/>
      <c r="I618" s="490"/>
    </row>
    <row r="619" spans="1:9">
      <c r="C619" s="483"/>
      <c r="D619" s="1289" t="s">
        <v>1110</v>
      </c>
      <c r="E619" s="1289"/>
      <c r="F619" s="1289"/>
      <c r="I619" s="490"/>
    </row>
    <row r="620" spans="1:9">
      <c r="C620" s="483"/>
      <c r="D620" s="444"/>
      <c r="E620" s="444"/>
      <c r="F620" s="444"/>
      <c r="I620" s="490"/>
    </row>
    <row r="621" spans="1:9">
      <c r="B621" s="485" t="s">
        <v>2760</v>
      </c>
      <c r="C621" s="483"/>
      <c r="D621" s="1288" t="s">
        <v>2605</v>
      </c>
      <c r="E621" s="1288"/>
      <c r="F621" s="1288"/>
      <c r="I621" s="490"/>
    </row>
    <row r="622" spans="1:9">
      <c r="C622" s="483"/>
      <c r="D622" s="444"/>
      <c r="E622" s="444"/>
      <c r="F622" s="444"/>
      <c r="I622" s="490"/>
    </row>
    <row r="623" spans="1:9" ht="12.75" customHeight="1">
      <c r="A623" s="490"/>
      <c r="B623" s="485" t="s">
        <v>2760</v>
      </c>
      <c r="D623" s="1306" t="s">
        <v>1111</v>
      </c>
      <c r="E623" s="1306"/>
      <c r="F623" s="1306"/>
      <c r="I623" s="490"/>
    </row>
    <row r="624" spans="1:9">
      <c r="D624" s="1306"/>
      <c r="E624" s="1306"/>
      <c r="F624" s="1306"/>
      <c r="I624" s="490"/>
    </row>
    <row r="625" spans="1:9">
      <c r="I625" s="490"/>
    </row>
    <row r="626" spans="1:9">
      <c r="B626" s="485" t="s">
        <v>2760</v>
      </c>
      <c r="D626" s="1306" t="s">
        <v>1112</v>
      </c>
      <c r="E626" s="1306"/>
      <c r="F626" s="1306"/>
      <c r="I626" s="490"/>
    </row>
    <row r="627" spans="1:9">
      <c r="C627" s="500"/>
      <c r="D627" s="1306"/>
      <c r="E627" s="1306"/>
      <c r="F627" s="1306"/>
      <c r="I627" s="490"/>
    </row>
    <row r="628" spans="1:9">
      <c r="C628" s="500"/>
      <c r="I628" s="490"/>
    </row>
    <row r="629" spans="1:9">
      <c r="B629" s="485" t="s">
        <v>2665</v>
      </c>
      <c r="C629" s="500"/>
      <c r="D629" s="1306" t="s">
        <v>1113</v>
      </c>
      <c r="E629" s="1306"/>
      <c r="F629" s="1306"/>
      <c r="I629" s="490"/>
    </row>
    <row r="630" spans="1:9">
      <c r="C630" s="500"/>
      <c r="D630" s="1306"/>
      <c r="E630" s="1306"/>
      <c r="F630" s="1306"/>
      <c r="I630" s="500"/>
    </row>
    <row r="631" spans="1:9">
      <c r="C631" s="500"/>
      <c r="I631" s="490"/>
    </row>
    <row r="632" spans="1:9">
      <c r="B632" s="485" t="s">
        <v>2665</v>
      </c>
      <c r="C632" s="500"/>
      <c r="D632" s="1288" t="s">
        <v>2550</v>
      </c>
      <c r="E632" s="1288"/>
      <c r="F632" s="1288"/>
      <c r="I632" s="490"/>
    </row>
    <row r="633" spans="1:9">
      <c r="C633" s="500"/>
      <c r="I633" s="490"/>
    </row>
    <row r="634" spans="1:9">
      <c r="A634" s="1308" t="s">
        <v>1057</v>
      </c>
      <c r="B634" s="1308"/>
      <c r="C634" s="1308"/>
      <c r="D634" s="1308"/>
      <c r="E634" s="1308"/>
      <c r="F634" s="1308"/>
      <c r="G634" s="1308"/>
      <c r="H634" s="1023"/>
      <c r="I634" s="1147"/>
    </row>
    <row r="635" spans="1:9">
      <c r="A635" s="482"/>
      <c r="B635" s="482"/>
      <c r="C635" s="482"/>
      <c r="I635" s="490"/>
    </row>
    <row r="636" spans="1:9">
      <c r="C636" s="490"/>
      <c r="D636" s="1310" t="s">
        <v>1114</v>
      </c>
      <c r="E636" s="1310"/>
      <c r="F636" s="1310"/>
      <c r="I636" s="490"/>
    </row>
    <row r="637" spans="1:9">
      <c r="A637" s="490"/>
      <c r="B637" s="490"/>
      <c r="D637" s="404"/>
      <c r="I637" s="490"/>
    </row>
    <row r="638" spans="1:9" ht="14.25" customHeight="1">
      <c r="A638" s="484"/>
      <c r="B638" s="485" t="s">
        <v>2760</v>
      </c>
      <c r="D638" s="1324" t="s">
        <v>2025</v>
      </c>
      <c r="E638" s="1324"/>
      <c r="F638" s="1324"/>
      <c r="I638" s="490"/>
    </row>
    <row r="639" spans="1:9">
      <c r="D639" s="1324"/>
      <c r="E639" s="1324"/>
      <c r="F639" s="1324"/>
      <c r="I639" s="490"/>
    </row>
    <row r="640" spans="1:9">
      <c r="D640" s="385"/>
      <c r="E640" s="1031" t="s">
        <v>1884</v>
      </c>
      <c r="F640" s="385"/>
      <c r="I640" s="490"/>
    </row>
    <row r="641" spans="1:9">
      <c r="D641" s="1307" t="s">
        <v>1883</v>
      </c>
      <c r="E641" s="1307"/>
      <c r="F641" s="1307"/>
      <c r="I641" s="490"/>
    </row>
    <row r="642" spans="1:9">
      <c r="D642" s="1307"/>
      <c r="E642" s="1307"/>
      <c r="F642" s="1307"/>
      <c r="I642" s="490"/>
    </row>
    <row r="643" spans="1:9">
      <c r="D643" s="1307"/>
      <c r="E643" s="1307"/>
      <c r="F643" s="1307"/>
      <c r="I643" s="490"/>
    </row>
    <row r="644" spans="1:9">
      <c r="D644" s="445"/>
      <c r="E644" s="445"/>
      <c r="F644" s="445"/>
      <c r="I644" s="490"/>
    </row>
    <row r="645" spans="1:9" ht="14.25">
      <c r="A645" s="484"/>
      <c r="B645" s="485" t="s">
        <v>2665</v>
      </c>
      <c r="D645" s="1307" t="s">
        <v>1115</v>
      </c>
      <c r="E645" s="1307"/>
      <c r="F645" s="1307"/>
      <c r="I645" s="490"/>
    </row>
    <row r="646" spans="1:9">
      <c r="A646" s="487"/>
      <c r="B646" s="487"/>
      <c r="C646" s="487"/>
      <c r="D646" s="1307"/>
      <c r="E646" s="1307"/>
      <c r="F646" s="1307"/>
      <c r="I646" s="490"/>
    </row>
    <row r="647" spans="1:9">
      <c r="A647" s="487"/>
      <c r="B647" s="487"/>
      <c r="C647" s="487"/>
      <c r="D647" s="446"/>
      <c r="E647" s="446"/>
      <c r="F647" s="446"/>
      <c r="I647" s="490"/>
    </row>
    <row r="648" spans="1:9" ht="14.25">
      <c r="A648" s="484"/>
      <c r="B648" s="485" t="s">
        <v>2665</v>
      </c>
      <c r="C648" s="487"/>
      <c r="D648" s="1307" t="s">
        <v>1225</v>
      </c>
      <c r="E648" s="1307"/>
      <c r="F648" s="1307"/>
      <c r="I648" s="490"/>
    </row>
    <row r="649" spans="1:9" ht="14.25">
      <c r="A649" s="484"/>
      <c r="B649" s="484"/>
      <c r="C649" s="487"/>
      <c r="D649" s="1307"/>
      <c r="E649" s="1307"/>
      <c r="F649" s="1307"/>
      <c r="I649" s="490"/>
    </row>
    <row r="650" spans="1:9" ht="14.25">
      <c r="A650" s="484"/>
      <c r="B650" s="484"/>
      <c r="C650" s="487"/>
      <c r="D650" s="1307"/>
      <c r="E650" s="1307"/>
      <c r="F650" s="1307"/>
      <c r="I650" s="490"/>
    </row>
    <row r="651" spans="1:9">
      <c r="A651" s="487"/>
      <c r="B651" s="485" t="s">
        <v>2665</v>
      </c>
      <c r="C651" s="487"/>
      <c r="D651" s="1309" t="s">
        <v>1116</v>
      </c>
      <c r="E651" s="1309"/>
      <c r="F651" s="1309"/>
      <c r="I651" s="490"/>
    </row>
    <row r="652" spans="1:9">
      <c r="A652" s="487"/>
      <c r="B652" s="487"/>
      <c r="C652" s="487"/>
      <c r="D652" s="446"/>
      <c r="E652" s="446"/>
      <c r="F652" s="446"/>
      <c r="I652" s="490"/>
    </row>
    <row r="653" spans="1:9">
      <c r="A653" s="1308" t="s">
        <v>1058</v>
      </c>
      <c r="B653" s="1308"/>
      <c r="C653" s="1308"/>
      <c r="D653" s="1308"/>
      <c r="E653" s="1308"/>
      <c r="F653" s="1308"/>
      <c r="G653" s="1308"/>
      <c r="H653" s="1023"/>
      <c r="I653" s="1147"/>
    </row>
    <row r="654" spans="1:9">
      <c r="A654" s="446"/>
      <c r="B654" s="446"/>
      <c r="C654" s="487"/>
      <c r="D654" s="446"/>
      <c r="E654" s="446"/>
      <c r="F654" s="446"/>
      <c r="I654" s="490"/>
    </row>
    <row r="655" spans="1:9">
      <c r="C655" s="482"/>
      <c r="D655" s="1310" t="s">
        <v>1146</v>
      </c>
      <c r="E655" s="1310"/>
      <c r="F655" s="1310"/>
      <c r="I655" s="490"/>
    </row>
    <row r="656" spans="1:9">
      <c r="A656" s="483"/>
      <c r="B656" s="483"/>
      <c r="C656" s="483"/>
      <c r="D656" s="1309" t="s">
        <v>1147</v>
      </c>
      <c r="E656" s="1309"/>
      <c r="F656" s="1309"/>
      <c r="I656" s="490"/>
    </row>
    <row r="657" spans="1:9">
      <c r="A657" s="483"/>
      <c r="B657" s="483"/>
      <c r="C657" s="483"/>
      <c r="D657" s="446"/>
      <c r="E657" s="446"/>
      <c r="F657" s="446"/>
      <c r="I657" s="490"/>
    </row>
    <row r="658" spans="1:9" ht="12.75" customHeight="1">
      <c r="B658" s="485" t="s">
        <v>2760</v>
      </c>
      <c r="C658" s="487"/>
      <c r="D658" s="1307" t="s">
        <v>1281</v>
      </c>
      <c r="E658" s="1307"/>
      <c r="F658" s="1307"/>
      <c r="I658" s="490"/>
    </row>
    <row r="659" spans="1:9">
      <c r="D659" s="1307"/>
      <c r="E659" s="1307"/>
      <c r="F659" s="1307"/>
      <c r="I659" s="490"/>
    </row>
    <row r="660" spans="1:9">
      <c r="D660" s="1307"/>
      <c r="E660" s="1307"/>
      <c r="F660" s="1307"/>
      <c r="I660" s="490"/>
    </row>
    <row r="661" spans="1:9">
      <c r="D661" s="1307"/>
      <c r="E661" s="1307"/>
      <c r="F661" s="1307"/>
      <c r="I661" s="490"/>
    </row>
    <row r="662" spans="1:9" ht="14.45" customHeight="1">
      <c r="A662" s="484"/>
      <c r="B662" s="484"/>
      <c r="C662" s="487"/>
      <c r="D662" s="385"/>
      <c r="E662" s="385"/>
      <c r="F662" s="385"/>
      <c r="I662" s="490"/>
    </row>
    <row r="663" spans="1:9" ht="12.75" customHeight="1">
      <c r="A663" s="483"/>
      <c r="B663" s="485" t="s">
        <v>2760</v>
      </c>
      <c r="C663" s="487"/>
      <c r="D663" s="1307" t="s">
        <v>1283</v>
      </c>
      <c r="E663" s="1307"/>
      <c r="F663" s="1307"/>
      <c r="I663" s="490"/>
    </row>
    <row r="664" spans="1:9" ht="14.25">
      <c r="A664" s="483"/>
      <c r="B664" s="484"/>
      <c r="C664" s="487"/>
      <c r="D664" s="1307"/>
      <c r="E664" s="1307"/>
      <c r="F664" s="1307"/>
      <c r="I664" s="490"/>
    </row>
    <row r="665" spans="1:9" ht="14.25">
      <c r="A665" s="483"/>
      <c r="B665" s="484"/>
      <c r="C665" s="487"/>
      <c r="D665" s="1307"/>
      <c r="E665" s="1307"/>
      <c r="F665" s="1307"/>
      <c r="I665" s="490"/>
    </row>
    <row r="666" spans="1:9" ht="14.25">
      <c r="A666" s="483"/>
      <c r="B666" s="484"/>
      <c r="C666" s="487"/>
      <c r="D666" s="1307"/>
      <c r="E666" s="1307"/>
      <c r="F666" s="1307"/>
      <c r="I666" s="490"/>
    </row>
    <row r="667" spans="1:9" ht="14.25">
      <c r="A667" s="483"/>
      <c r="B667" s="484"/>
      <c r="C667" s="487"/>
      <c r="D667" s="1307"/>
      <c r="E667" s="1307"/>
      <c r="F667" s="1307"/>
      <c r="I667" s="490"/>
    </row>
    <row r="668" spans="1:9" ht="14.25" customHeight="1">
      <c r="A668" s="483"/>
      <c r="B668" s="484"/>
      <c r="C668" s="487"/>
      <c r="F668" s="386"/>
      <c r="I668" s="490"/>
    </row>
    <row r="669" spans="1:9" ht="12.75" customHeight="1">
      <c r="A669" s="483"/>
      <c r="B669" s="485" t="s">
        <v>2760</v>
      </c>
      <c r="C669" s="487"/>
      <c r="D669" s="1307" t="s">
        <v>1282</v>
      </c>
      <c r="E669" s="1307"/>
      <c r="F669" s="1307"/>
      <c r="I669" s="490"/>
    </row>
    <row r="670" spans="1:9" ht="14.25">
      <c r="A670" s="483"/>
      <c r="B670" s="484"/>
      <c r="C670" s="487"/>
      <c r="D670" s="1307"/>
      <c r="E670" s="1307"/>
      <c r="F670" s="1307"/>
      <c r="I670" s="490"/>
    </row>
    <row r="671" spans="1:9" ht="14.25">
      <c r="A671" s="484"/>
      <c r="B671" s="484"/>
      <c r="C671" s="487"/>
      <c r="D671" s="1307"/>
      <c r="E671" s="1307"/>
      <c r="F671" s="1307"/>
      <c r="I671" s="490"/>
    </row>
    <row r="672" spans="1:9" ht="14.25">
      <c r="A672" s="484"/>
      <c r="B672" s="484"/>
      <c r="C672" s="487"/>
      <c r="D672" s="1307"/>
      <c r="E672" s="1307"/>
      <c r="F672" s="1307"/>
      <c r="I672" s="490"/>
    </row>
    <row r="673" spans="1:11" ht="14.25">
      <c r="A673" s="484"/>
      <c r="B673" s="484"/>
      <c r="C673" s="487"/>
      <c r="D673" s="445"/>
      <c r="E673" s="445"/>
      <c r="F673" s="445"/>
      <c r="I673" s="490"/>
    </row>
    <row r="674" spans="1:11" ht="12.75" customHeight="1">
      <c r="A674" s="483"/>
      <c r="B674" s="485" t="s">
        <v>2665</v>
      </c>
      <c r="C674" s="487"/>
      <c r="D674" s="1307" t="s">
        <v>2026</v>
      </c>
      <c r="E674" s="1307"/>
      <c r="F674" s="1307"/>
      <c r="I674" s="490"/>
    </row>
    <row r="675" spans="1:11" ht="12.75" customHeight="1">
      <c r="A675" s="483"/>
      <c r="B675" s="484"/>
      <c r="C675" s="487"/>
      <c r="D675" s="1307"/>
      <c r="E675" s="1307"/>
      <c r="F675" s="1307"/>
      <c r="I675" s="490"/>
    </row>
    <row r="676" spans="1:11" ht="12.75" customHeight="1">
      <c r="A676" s="483"/>
      <c r="B676" s="484"/>
      <c r="C676" s="487"/>
      <c r="D676" s="1307"/>
      <c r="E676" s="1307"/>
      <c r="F676" s="1307"/>
      <c r="I676" s="490"/>
    </row>
    <row r="677" spans="1:11" ht="12.75" customHeight="1">
      <c r="A677" s="483"/>
      <c r="B677" s="484"/>
      <c r="C677" s="487"/>
      <c r="D677" s="1307"/>
      <c r="E677" s="1307"/>
      <c r="F677" s="1307"/>
      <c r="I677" s="490"/>
    </row>
    <row r="678" spans="1:11" ht="12.75" customHeight="1">
      <c r="A678" s="483"/>
      <c r="B678" s="484"/>
      <c r="C678" s="487"/>
      <c r="D678" s="1307"/>
      <c r="E678" s="1307"/>
      <c r="F678" s="1307"/>
      <c r="I678" s="490"/>
    </row>
    <row r="679" spans="1:11" ht="12.75" customHeight="1">
      <c r="A679" s="483"/>
      <c r="B679" s="484"/>
      <c r="C679" s="487"/>
      <c r="D679" s="1307"/>
      <c r="E679" s="1307"/>
      <c r="F679" s="1307"/>
      <c r="I679" s="490"/>
    </row>
    <row r="680" spans="1:11" ht="12.75" customHeight="1">
      <c r="A680" s="483"/>
      <c r="B680" s="484"/>
      <c r="C680" s="487"/>
      <c r="D680" s="1307"/>
      <c r="E680" s="1307"/>
      <c r="F680" s="1307"/>
      <c r="I680" s="490"/>
    </row>
    <row r="681" spans="1:11" ht="12.75" customHeight="1">
      <c r="A681" s="483"/>
      <c r="B681" s="484"/>
      <c r="C681" s="487"/>
      <c r="D681" s="1307"/>
      <c r="E681" s="1307"/>
      <c r="F681" s="1307"/>
      <c r="I681" s="490"/>
    </row>
    <row r="682" spans="1:11" ht="12.75" customHeight="1">
      <c r="A682" s="483"/>
      <c r="B682" s="484"/>
      <c r="C682" s="487"/>
      <c r="D682" s="1307"/>
      <c r="E682" s="1307"/>
      <c r="F682" s="1307"/>
      <c r="I682" s="490"/>
    </row>
    <row r="683" spans="1:11">
      <c r="A683" s="487"/>
      <c r="B683" s="487"/>
      <c r="C683" s="487"/>
      <c r="D683" s="446"/>
      <c r="E683" s="446"/>
      <c r="F683" s="446"/>
      <c r="I683" s="490"/>
    </row>
    <row r="684" spans="1:11">
      <c r="A684" s="1308" t="s">
        <v>1059</v>
      </c>
      <c r="B684" s="1308"/>
      <c r="C684" s="1308"/>
      <c r="D684" s="1308"/>
      <c r="E684" s="1308"/>
      <c r="F684" s="1308"/>
      <c r="G684" s="1308"/>
      <c r="H684" s="1025"/>
      <c r="I684" s="1151"/>
      <c r="J684" s="501"/>
      <c r="K684" s="501"/>
    </row>
    <row r="685" spans="1:11">
      <c r="A685" s="448"/>
      <c r="B685" s="448"/>
      <c r="C685" s="448"/>
      <c r="D685" s="448"/>
      <c r="E685" s="448"/>
      <c r="F685" s="448"/>
      <c r="G685" s="448"/>
      <c r="H685" s="501"/>
      <c r="I685" s="483"/>
      <c r="J685" s="501"/>
      <c r="K685" s="501"/>
    </row>
    <row r="686" spans="1:11">
      <c r="C686" s="482"/>
      <c r="D686" s="1310" t="s">
        <v>99</v>
      </c>
      <c r="E686" s="1310"/>
      <c r="F686" s="1310"/>
      <c r="H686" s="501"/>
      <c r="I686" s="483"/>
      <c r="J686" s="501"/>
      <c r="K686" s="501"/>
    </row>
    <row r="687" spans="1:11">
      <c r="A687" s="482"/>
      <c r="B687" s="482"/>
      <c r="C687" s="482"/>
      <c r="D687" s="1310" t="s">
        <v>123</v>
      </c>
      <c r="E687" s="1310"/>
      <c r="F687" s="1310"/>
      <c r="H687" s="501"/>
      <c r="I687" s="483"/>
      <c r="J687" s="501"/>
      <c r="K687" s="501"/>
    </row>
    <row r="688" spans="1:11">
      <c r="A688" s="483"/>
      <c r="B688" s="483"/>
      <c r="C688" s="483"/>
      <c r="D688" s="1309" t="s">
        <v>1076</v>
      </c>
      <c r="E688" s="1309"/>
      <c r="F688" s="1309"/>
      <c r="H688" s="501"/>
      <c r="I688" s="483"/>
      <c r="J688" s="501"/>
      <c r="K688" s="501"/>
    </row>
    <row r="689" spans="1:11">
      <c r="A689" s="483"/>
      <c r="B689" s="483"/>
      <c r="C689" s="483"/>
      <c r="H689" s="501"/>
      <c r="I689" s="483"/>
      <c r="J689" s="501"/>
      <c r="K689" s="501"/>
    </row>
    <row r="690" spans="1:11" ht="14.25">
      <c r="A690" s="484"/>
      <c r="B690" s="485" t="s">
        <v>2760</v>
      </c>
      <c r="C690" s="483"/>
      <c r="D690" s="1309" t="s">
        <v>885</v>
      </c>
      <c r="E690" s="1309"/>
      <c r="F690" s="1309"/>
      <c r="H690" s="501"/>
      <c r="I690" s="483"/>
      <c r="J690" s="501"/>
      <c r="K690" s="501"/>
    </row>
    <row r="691" spans="1:11">
      <c r="A691" s="483"/>
      <c r="B691" s="483"/>
      <c r="C691" s="483"/>
      <c r="D691" s="1309" t="s">
        <v>894</v>
      </c>
      <c r="E691" s="1309"/>
      <c r="F691" s="1309"/>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2665</v>
      </c>
      <c r="C695" s="483"/>
      <c r="D695" s="1307" t="s">
        <v>2027</v>
      </c>
      <c r="E695" s="1307"/>
      <c r="F695" s="1307"/>
      <c r="H695" s="501"/>
      <c r="I695" s="483"/>
      <c r="J695" s="501"/>
      <c r="K695" s="501"/>
    </row>
    <row r="696" spans="1:11">
      <c r="A696" s="490"/>
      <c r="B696" s="490"/>
      <c r="C696" s="483"/>
      <c r="D696" s="1307"/>
      <c r="E696" s="1307"/>
      <c r="F696" s="1307"/>
      <c r="H696" s="501"/>
      <c r="I696" s="483"/>
      <c r="J696" s="501"/>
      <c r="K696" s="501"/>
    </row>
    <row r="697" spans="1:11">
      <c r="A697" s="483"/>
      <c r="B697" s="483"/>
      <c r="C697" s="483"/>
      <c r="D697" s="1307"/>
      <c r="E697" s="1307"/>
      <c r="F697" s="1307"/>
      <c r="H697" s="501"/>
      <c r="I697" s="483"/>
      <c r="J697" s="501"/>
      <c r="K697" s="501"/>
    </row>
    <row r="698" spans="1:11">
      <c r="A698" s="483"/>
      <c r="B698" s="483"/>
      <c r="C698" s="483"/>
      <c r="H698" s="501"/>
      <c r="J698" s="501"/>
      <c r="K698" s="501"/>
    </row>
    <row r="699" spans="1:11" ht="14.25">
      <c r="A699" s="484"/>
      <c r="B699" s="485" t="s">
        <v>2760</v>
      </c>
      <c r="C699" s="483"/>
      <c r="D699" s="1309" t="s">
        <v>917</v>
      </c>
      <c r="E699" s="1309"/>
      <c r="F699" s="1309"/>
      <c r="H699" s="501"/>
      <c r="I699" s="483"/>
      <c r="J699" s="501"/>
      <c r="K699" s="501"/>
    </row>
    <row r="700" spans="1:11" ht="14.25">
      <c r="A700" s="484"/>
      <c r="B700" s="484"/>
      <c r="C700" s="483"/>
      <c r="D700" s="1309" t="s">
        <v>894</v>
      </c>
      <c r="E700" s="1309"/>
      <c r="F700" s="1309"/>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2665</v>
      </c>
      <c r="C703" s="483"/>
      <c r="D703" s="1309" t="s">
        <v>2401</v>
      </c>
      <c r="E703" s="1309"/>
      <c r="F703" s="1309"/>
      <c r="H703" s="501"/>
      <c r="I703" s="483"/>
      <c r="J703" s="501"/>
      <c r="K703" s="501"/>
    </row>
    <row r="704" spans="1:11" ht="14.25">
      <c r="A704" s="484"/>
      <c r="B704" s="484"/>
      <c r="C704" s="483"/>
      <c r="D704" s="1309" t="s">
        <v>894</v>
      </c>
      <c r="E704" s="1309"/>
      <c r="F704" s="1309"/>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2760</v>
      </c>
      <c r="C707" s="483"/>
      <c r="D707" s="1307" t="s">
        <v>2198</v>
      </c>
      <c r="E707" s="1307"/>
      <c r="F707" s="1307"/>
      <c r="H707" s="501"/>
      <c r="I707" s="483"/>
      <c r="J707" s="501"/>
      <c r="K707" s="501"/>
    </row>
    <row r="708" spans="1:11">
      <c r="A708" s="483"/>
      <c r="B708" s="483"/>
      <c r="C708" s="483"/>
      <c r="D708" s="1307"/>
      <c r="E708" s="1307"/>
      <c r="F708" s="1307"/>
      <c r="H708" s="501"/>
      <c r="I708" s="483"/>
      <c r="J708" s="501"/>
      <c r="K708" s="501"/>
    </row>
    <row r="709" spans="1:11">
      <c r="A709" s="483"/>
      <c r="B709" s="483"/>
      <c r="C709" s="483"/>
      <c r="D709" s="1307"/>
      <c r="E709" s="1307"/>
      <c r="F709" s="1307"/>
      <c r="H709" s="501"/>
      <c r="I709" s="483"/>
      <c r="J709" s="501"/>
      <c r="K709" s="501"/>
    </row>
    <row r="710" spans="1:11">
      <c r="A710" s="483"/>
      <c r="B710" s="483"/>
      <c r="C710" s="483"/>
      <c r="D710" s="1307"/>
      <c r="E710" s="1307"/>
      <c r="F710" s="1307"/>
      <c r="H710" s="501"/>
      <c r="I710" s="483"/>
      <c r="J710" s="501"/>
      <c r="K710" s="501"/>
    </row>
    <row r="711" spans="1:11">
      <c r="A711" s="483"/>
      <c r="B711" s="483"/>
      <c r="C711" s="483"/>
      <c r="D711" s="1307"/>
      <c r="E711" s="1307"/>
      <c r="F711" s="1307"/>
      <c r="H711" s="501"/>
      <c r="I711" s="483"/>
      <c r="J711" s="501"/>
      <c r="K711" s="501"/>
    </row>
    <row r="712" spans="1:11">
      <c r="A712" s="483"/>
      <c r="B712" s="483"/>
      <c r="C712" s="483"/>
      <c r="D712" s="1307"/>
      <c r="E712" s="1307"/>
      <c r="F712" s="1307"/>
      <c r="H712" s="501"/>
      <c r="I712" s="483"/>
      <c r="J712" s="501"/>
      <c r="K712" s="501"/>
    </row>
    <row r="713" spans="1:11">
      <c r="A713" s="483"/>
      <c r="B713" s="483"/>
      <c r="C713" s="483"/>
      <c r="D713" s="445"/>
      <c r="E713" s="445"/>
      <c r="F713" s="445"/>
      <c r="H713" s="501"/>
      <c r="I713" s="483"/>
      <c r="J713" s="501"/>
      <c r="K713" s="501"/>
    </row>
    <row r="714" spans="1:11">
      <c r="A714" s="483"/>
      <c r="B714" s="485" t="s">
        <v>2760</v>
      </c>
      <c r="C714" s="483"/>
      <c r="D714" s="1307" t="s">
        <v>1201</v>
      </c>
      <c r="E714" s="1307"/>
      <c r="F714" s="1307"/>
      <c r="H714" s="501"/>
      <c r="I714" s="483"/>
      <c r="J714" s="501"/>
      <c r="K714" s="501"/>
    </row>
    <row r="715" spans="1:11">
      <c r="A715" s="483"/>
      <c r="B715" s="483"/>
      <c r="C715" s="483"/>
      <c r="D715" s="1307"/>
      <c r="E715" s="1307"/>
      <c r="F715" s="1307"/>
      <c r="H715" s="501"/>
      <c r="I715" s="483"/>
      <c r="J715" s="501"/>
      <c r="K715" s="501"/>
    </row>
    <row r="716" spans="1:11">
      <c r="A716" s="483"/>
      <c r="B716" s="483"/>
      <c r="C716" s="483"/>
      <c r="D716" s="445"/>
      <c r="E716" s="445"/>
      <c r="F716" s="445"/>
      <c r="H716" s="501"/>
      <c r="I716" s="483"/>
      <c r="J716" s="501"/>
      <c r="K716" s="501"/>
    </row>
    <row r="717" spans="1:11" ht="14.25">
      <c r="A717" s="484"/>
      <c r="B717" s="485" t="s">
        <v>2665</v>
      </c>
      <c r="C717" s="483"/>
      <c r="D717" s="1307" t="s">
        <v>1077</v>
      </c>
      <c r="E717" s="1307"/>
      <c r="F717" s="1307"/>
      <c r="H717" s="501"/>
      <c r="I717" s="483"/>
      <c r="J717" s="501"/>
      <c r="K717" s="501"/>
    </row>
    <row r="718" spans="1:11">
      <c r="A718" s="483"/>
      <c r="B718" s="483"/>
      <c r="C718" s="483"/>
      <c r="D718" s="1307"/>
      <c r="E718" s="1307"/>
      <c r="F718" s="1307"/>
      <c r="H718" s="501"/>
      <c r="I718" s="483"/>
      <c r="J718" s="501"/>
      <c r="K718" s="501"/>
    </row>
    <row r="719" spans="1:11">
      <c r="A719" s="483"/>
      <c r="B719" s="483"/>
      <c r="C719" s="483"/>
      <c r="D719" s="1307"/>
      <c r="E719" s="1307"/>
      <c r="F719" s="1307"/>
      <c r="H719" s="501"/>
      <c r="I719" s="483"/>
      <c r="J719" s="501"/>
      <c r="K719" s="501"/>
    </row>
    <row r="720" spans="1:11" ht="15" customHeight="1">
      <c r="A720" s="483"/>
      <c r="B720" s="483"/>
      <c r="C720" s="483"/>
      <c r="D720" s="1307"/>
      <c r="E720" s="1307"/>
      <c r="F720" s="1307"/>
      <c r="H720" s="501"/>
      <c r="I720" s="483"/>
      <c r="J720" s="501"/>
      <c r="K720" s="501"/>
    </row>
    <row r="721" spans="1:11" ht="15" customHeight="1">
      <c r="A721" s="483"/>
      <c r="B721" s="483"/>
      <c r="C721" s="483"/>
      <c r="D721" s="1307"/>
      <c r="E721" s="1307"/>
      <c r="F721" s="1307"/>
      <c r="H721" s="501"/>
      <c r="I721" s="483"/>
      <c r="J721" s="501"/>
      <c r="K721" s="501"/>
    </row>
    <row r="722" spans="1:11">
      <c r="A722" s="483"/>
      <c r="B722" s="483"/>
      <c r="C722" s="483"/>
      <c r="D722" s="1307"/>
      <c r="E722" s="1307"/>
      <c r="F722" s="1307"/>
      <c r="H722" s="501"/>
      <c r="I722" s="483"/>
      <c r="J722" s="501"/>
      <c r="K722" s="501"/>
    </row>
    <row r="723" spans="1:11">
      <c r="A723" s="483"/>
      <c r="B723" s="483"/>
      <c r="C723" s="483"/>
      <c r="D723" s="1307"/>
      <c r="E723" s="1307"/>
      <c r="F723" s="1307"/>
      <c r="H723" s="501"/>
      <c r="I723" s="483"/>
      <c r="J723" s="501"/>
      <c r="K723" s="501"/>
    </row>
    <row r="724" spans="1:11">
      <c r="A724" s="483"/>
      <c r="B724" s="483"/>
      <c r="C724" s="483"/>
      <c r="D724" s="1307"/>
      <c r="E724" s="1307"/>
      <c r="F724" s="1307"/>
      <c r="H724" s="501"/>
      <c r="I724" s="483"/>
      <c r="J724" s="501"/>
      <c r="K724" s="501"/>
    </row>
    <row r="725" spans="1:11" ht="15" customHeight="1">
      <c r="A725" s="483"/>
      <c r="B725" s="483"/>
      <c r="C725" s="483"/>
      <c r="D725" s="1307"/>
      <c r="E725" s="1307"/>
      <c r="F725" s="1307"/>
      <c r="H725" s="501"/>
      <c r="I725" s="483"/>
      <c r="J725" s="501"/>
      <c r="K725" s="501"/>
    </row>
    <row r="726" spans="1:11">
      <c r="A726" s="483"/>
      <c r="B726" s="483"/>
      <c r="C726" s="483"/>
      <c r="D726" s="1307"/>
      <c r="E726" s="1307"/>
      <c r="F726" s="1307"/>
      <c r="H726" s="501"/>
      <c r="I726" s="483"/>
      <c r="J726" s="501"/>
      <c r="K726" s="501"/>
    </row>
    <row r="727" spans="1:11">
      <c r="A727" s="483"/>
      <c r="B727" s="483"/>
      <c r="C727" s="483"/>
      <c r="D727" s="1307"/>
      <c r="E727" s="1307"/>
      <c r="F727" s="1307"/>
      <c r="H727" s="501"/>
      <c r="I727" s="483"/>
      <c r="J727" s="501"/>
      <c r="K727" s="501"/>
    </row>
    <row r="728" spans="1:11">
      <c r="A728" s="483"/>
      <c r="B728" s="483"/>
      <c r="C728" s="483"/>
      <c r="D728" s="1307"/>
      <c r="E728" s="1307"/>
      <c r="F728" s="1307"/>
      <c r="H728" s="501"/>
      <c r="I728" s="483"/>
      <c r="J728" s="501"/>
      <c r="K728" s="501"/>
    </row>
    <row r="729" spans="1:11">
      <c r="A729" s="483"/>
      <c r="B729" s="483"/>
      <c r="C729" s="483"/>
      <c r="D729" s="1307"/>
      <c r="E729" s="1307"/>
      <c r="F729" s="1307"/>
      <c r="H729" s="501"/>
      <c r="I729" s="483"/>
      <c r="J729" s="501"/>
      <c r="K729" s="501"/>
    </row>
    <row r="730" spans="1:11">
      <c r="A730" s="483"/>
      <c r="B730" s="485" t="s">
        <v>2665</v>
      </c>
      <c r="C730" s="483"/>
      <c r="D730" s="1307" t="s">
        <v>2394</v>
      </c>
      <c r="E730" s="1307"/>
      <c r="F730" s="1307"/>
      <c r="H730" s="501"/>
      <c r="I730" s="483"/>
      <c r="J730" s="501"/>
      <c r="K730" s="501"/>
    </row>
    <row r="731" spans="1:11">
      <c r="A731" s="483"/>
      <c r="B731" s="483"/>
      <c r="C731" s="483"/>
      <c r="D731" s="1307"/>
      <c r="E731" s="1307"/>
      <c r="F731" s="1307"/>
      <c r="H731" s="501"/>
      <c r="I731" s="483"/>
      <c r="J731" s="501"/>
      <c r="K731" s="501"/>
    </row>
    <row r="732" spans="1:11">
      <c r="A732" s="483"/>
      <c r="B732" s="483"/>
      <c r="C732" s="483"/>
      <c r="D732" s="1307"/>
      <c r="E732" s="1307"/>
      <c r="F732" s="1307"/>
      <c r="H732" s="501"/>
      <c r="I732" s="483"/>
      <c r="J732" s="501"/>
      <c r="K732" s="501"/>
    </row>
    <row r="733" spans="1:11">
      <c r="A733" s="483"/>
      <c r="B733" s="483"/>
      <c r="C733" s="483"/>
      <c r="D733" s="445"/>
      <c r="E733" s="445"/>
      <c r="F733" s="445"/>
      <c r="H733" s="501"/>
      <c r="I733" s="483"/>
      <c r="J733" s="501"/>
      <c r="K733" s="501"/>
    </row>
    <row r="734" spans="1:11">
      <c r="A734" s="483"/>
      <c r="B734" s="485" t="s">
        <v>2665</v>
      </c>
      <c r="C734" s="483"/>
      <c r="D734" s="1307" t="s">
        <v>2393</v>
      </c>
      <c r="E734" s="1307"/>
      <c r="F734" s="1307"/>
      <c r="H734" s="501"/>
      <c r="I734" s="483"/>
      <c r="J734" s="501"/>
      <c r="K734" s="501"/>
    </row>
    <row r="735" spans="1:11">
      <c r="A735" s="483"/>
      <c r="B735" s="483"/>
      <c r="C735" s="483"/>
      <c r="D735" s="1307"/>
      <c r="E735" s="1307"/>
      <c r="F735" s="1307"/>
      <c r="H735" s="501"/>
      <c r="I735" s="483"/>
      <c r="J735" s="501"/>
      <c r="K735" s="501"/>
    </row>
    <row r="736" spans="1:11">
      <c r="A736" s="483"/>
      <c r="B736" s="483"/>
      <c r="C736" s="483"/>
      <c r="D736" s="1307"/>
      <c r="E736" s="1307"/>
      <c r="F736" s="1307"/>
      <c r="H736" s="501"/>
      <c r="I736" s="483"/>
      <c r="J736" s="501"/>
      <c r="K736" s="501"/>
    </row>
    <row r="737" spans="1:11">
      <c r="A737" s="483"/>
      <c r="B737" s="483"/>
      <c r="C737" s="483"/>
      <c r="H737" s="501"/>
      <c r="I737" s="483"/>
      <c r="J737" s="501"/>
      <c r="K737" s="501"/>
    </row>
    <row r="738" spans="1:11">
      <c r="A738" s="483"/>
      <c r="B738" s="485" t="s">
        <v>2665</v>
      </c>
      <c r="C738" s="483"/>
      <c r="D738" s="1307" t="s">
        <v>2392</v>
      </c>
      <c r="E738" s="1307"/>
      <c r="F738" s="1307"/>
      <c r="H738" s="501"/>
      <c r="I738" s="483"/>
      <c r="J738" s="501"/>
      <c r="K738" s="501"/>
    </row>
    <row r="739" spans="1:11">
      <c r="A739" s="483"/>
      <c r="B739" s="483"/>
      <c r="C739" s="483"/>
      <c r="D739" s="1307"/>
      <c r="E739" s="1307"/>
      <c r="F739" s="1307"/>
      <c r="H739" s="501"/>
      <c r="I739" s="483"/>
      <c r="J739" s="501"/>
      <c r="K739" s="501"/>
    </row>
    <row r="740" spans="1:11">
      <c r="A740" s="483"/>
      <c r="B740" s="483"/>
      <c r="C740" s="483"/>
      <c r="D740" s="1307"/>
      <c r="E740" s="1307"/>
      <c r="F740" s="1307"/>
      <c r="H740" s="501"/>
      <c r="I740" s="483"/>
      <c r="J740" s="501"/>
      <c r="K740" s="501"/>
    </row>
    <row r="741" spans="1:11">
      <c r="A741" s="483"/>
      <c r="B741" s="483"/>
      <c r="C741" s="483"/>
      <c r="D741" s="1307"/>
      <c r="E741" s="1307"/>
      <c r="F741" s="1307"/>
      <c r="H741" s="501"/>
      <c r="I741" s="483"/>
      <c r="J741" s="501"/>
      <c r="K741" s="501"/>
    </row>
    <row r="742" spans="1:11">
      <c r="A742" s="483"/>
      <c r="B742" s="483"/>
      <c r="C742" s="483"/>
      <c r="H742" s="501"/>
      <c r="I742" s="483"/>
      <c r="J742" s="501"/>
      <c r="K742" s="501"/>
    </row>
    <row r="743" spans="1:11" ht="14.25">
      <c r="A743" s="484"/>
      <c r="B743" s="485" t="s">
        <v>2760</v>
      </c>
      <c r="C743" s="483"/>
      <c r="D743" s="1307" t="s">
        <v>1078</v>
      </c>
      <c r="E743" s="1307"/>
      <c r="F743" s="1307"/>
      <c r="H743" s="501"/>
      <c r="I743" s="483"/>
      <c r="J743" s="501"/>
      <c r="K743" s="501"/>
    </row>
    <row r="744" spans="1:11">
      <c r="A744" s="483"/>
      <c r="B744" s="483"/>
      <c r="C744" s="483"/>
      <c r="D744" s="1307"/>
      <c r="E744" s="1307"/>
      <c r="F744" s="1307"/>
      <c r="H744" s="501"/>
      <c r="I744" s="483"/>
      <c r="J744" s="501"/>
      <c r="K744" s="501"/>
    </row>
    <row r="745" spans="1:11">
      <c r="A745" s="483"/>
      <c r="B745" s="483"/>
      <c r="C745" s="483"/>
      <c r="D745" s="1307"/>
      <c r="E745" s="1307"/>
      <c r="F745" s="1307"/>
      <c r="H745" s="501"/>
      <c r="I745" s="483"/>
      <c r="J745" s="501"/>
      <c r="K745" s="501"/>
    </row>
    <row r="746" spans="1:11">
      <c r="A746" s="483"/>
      <c r="B746" s="483"/>
      <c r="C746" s="483"/>
      <c r="D746" s="1307"/>
      <c r="E746" s="1307"/>
      <c r="F746" s="1307"/>
      <c r="H746" s="501"/>
      <c r="I746" s="483"/>
      <c r="J746" s="501"/>
      <c r="K746" s="501"/>
    </row>
    <row r="747" spans="1:11">
      <c r="A747" s="483"/>
      <c r="B747" s="483"/>
      <c r="C747" s="483"/>
      <c r="D747" s="1307"/>
      <c r="E747" s="1307"/>
      <c r="F747" s="1307"/>
      <c r="H747" s="501"/>
      <c r="I747" s="483"/>
      <c r="J747" s="501"/>
      <c r="K747" s="501"/>
    </row>
    <row r="748" spans="1:11">
      <c r="A748" s="483"/>
      <c r="B748" s="483"/>
      <c r="C748" s="483"/>
      <c r="D748" s="492"/>
      <c r="H748" s="501"/>
      <c r="I748" s="483"/>
      <c r="J748" s="501"/>
      <c r="K748" s="501"/>
    </row>
    <row r="749" spans="1:11" ht="14.25">
      <c r="A749" s="484"/>
      <c r="B749" s="485" t="s">
        <v>2665</v>
      </c>
      <c r="C749" s="483"/>
      <c r="D749" s="1307" t="s">
        <v>2101</v>
      </c>
      <c r="E749" s="1307"/>
      <c r="F749" s="1307"/>
      <c r="H749" s="501"/>
      <c r="I749" s="483"/>
      <c r="J749" s="501"/>
      <c r="K749" s="501"/>
    </row>
    <row r="750" spans="1:11">
      <c r="A750" s="483"/>
      <c r="B750" s="483"/>
      <c r="C750" s="483"/>
      <c r="D750" s="1307"/>
      <c r="E750" s="1307"/>
      <c r="F750" s="1307"/>
      <c r="H750" s="501"/>
      <c r="I750" s="483"/>
      <c r="J750" s="501"/>
      <c r="K750" s="501"/>
    </row>
    <row r="751" spans="1:11">
      <c r="A751" s="483"/>
      <c r="B751" s="483"/>
      <c r="C751" s="483"/>
      <c r="D751" s="1307"/>
      <c r="E751" s="1307"/>
      <c r="F751" s="1307"/>
      <c r="H751" s="501"/>
      <c r="I751" s="483"/>
      <c r="J751" s="501"/>
      <c r="K751" s="501"/>
    </row>
    <row r="752" spans="1:11">
      <c r="A752" s="483"/>
      <c r="B752" s="483"/>
      <c r="C752" s="483"/>
      <c r="D752" s="1307"/>
      <c r="E752" s="1307"/>
      <c r="F752" s="1307"/>
      <c r="H752" s="501"/>
      <c r="I752" s="483"/>
      <c r="J752" s="501"/>
      <c r="K752" s="501"/>
    </row>
    <row r="753" spans="1:11">
      <c r="A753" s="483"/>
      <c r="B753" s="483"/>
      <c r="C753" s="483"/>
      <c r="D753" s="1307"/>
      <c r="E753" s="1307"/>
      <c r="F753" s="1307"/>
      <c r="H753" s="501"/>
      <c r="I753" s="483"/>
      <c r="J753" s="501"/>
      <c r="K753" s="501"/>
    </row>
    <row r="754" spans="1:11">
      <c r="A754" s="483"/>
      <c r="B754" s="483"/>
      <c r="C754" s="483"/>
      <c r="D754" s="1307"/>
      <c r="E754" s="1307"/>
      <c r="F754" s="1307"/>
      <c r="H754" s="501"/>
      <c r="I754" s="483"/>
      <c r="J754" s="501"/>
      <c r="K754" s="501"/>
    </row>
    <row r="755" spans="1:11">
      <c r="A755" s="483"/>
      <c r="B755" s="483"/>
      <c r="C755" s="483"/>
      <c r="D755" s="1307"/>
      <c r="E755" s="1307"/>
      <c r="F755" s="1307"/>
      <c r="H755" s="501"/>
      <c r="I755" s="483"/>
      <c r="J755" s="501"/>
      <c r="K755" s="501"/>
    </row>
    <row r="756" spans="1:11">
      <c r="A756" s="483"/>
      <c r="B756" s="483"/>
      <c r="C756" s="483"/>
      <c r="D756" s="1312" t="s">
        <v>2615</v>
      </c>
      <c r="E756" s="1312"/>
      <c r="F756" s="1312"/>
      <c r="H756" s="501"/>
      <c r="I756" s="483"/>
      <c r="J756" s="501"/>
      <c r="K756" s="501"/>
    </row>
    <row r="757" spans="1:11">
      <c r="A757" s="483"/>
      <c r="B757" s="483"/>
      <c r="C757" s="483"/>
      <c r="D757" s="341"/>
      <c r="H757" s="501"/>
      <c r="I757" s="483"/>
      <c r="J757" s="501"/>
      <c r="K757" s="501"/>
    </row>
    <row r="758" spans="1:11">
      <c r="A758" s="1311" t="s">
        <v>1060</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27" t="s">
        <v>1070</v>
      </c>
      <c r="E760" s="1327"/>
      <c r="F760" s="1327"/>
      <c r="G760" s="501"/>
      <c r="H760" s="501"/>
      <c r="I760" s="483"/>
      <c r="J760" s="501"/>
      <c r="K760" s="501"/>
    </row>
    <row r="761" spans="1:11">
      <c r="A761" s="483"/>
      <c r="B761" s="483"/>
      <c r="C761" s="483"/>
      <c r="D761" s="1313" t="s">
        <v>1071</v>
      </c>
      <c r="E761" s="1313"/>
      <c r="F761" s="1313"/>
      <c r="G761" s="501"/>
      <c r="H761" s="501"/>
      <c r="I761" s="483"/>
      <c r="J761" s="501"/>
      <c r="K761" s="501"/>
    </row>
    <row r="762" spans="1:11">
      <c r="A762" s="483"/>
      <c r="B762" s="483"/>
      <c r="C762" s="483"/>
      <c r="G762" s="501"/>
      <c r="H762" s="501"/>
      <c r="I762" s="483"/>
      <c r="J762" s="501"/>
      <c r="K762" s="501"/>
    </row>
    <row r="763" spans="1:11" ht="14.25">
      <c r="A763" s="484"/>
      <c r="B763" s="485" t="s">
        <v>2760</v>
      </c>
      <c r="D763" s="1307" t="s">
        <v>1072</v>
      </c>
      <c r="E763" s="1307"/>
      <c r="F763" s="1307"/>
      <c r="G763" s="501"/>
      <c r="H763" s="501"/>
      <c r="I763" s="483"/>
      <c r="J763" s="501"/>
      <c r="K763" s="501"/>
    </row>
    <row r="764" spans="1:11" ht="10.5" customHeight="1">
      <c r="D764" s="1307"/>
      <c r="E764" s="1307"/>
      <c r="F764" s="1307"/>
      <c r="G764" s="501"/>
      <c r="H764" s="501"/>
      <c r="I764" s="483"/>
      <c r="J764" s="501"/>
      <c r="K764" s="501"/>
    </row>
    <row r="765" spans="1:11">
      <c r="D765" s="1307"/>
      <c r="E765" s="1307"/>
      <c r="F765" s="1307"/>
      <c r="G765" s="501"/>
      <c r="H765" s="501"/>
      <c r="I765" s="483"/>
      <c r="J765" s="501"/>
      <c r="K765" s="501"/>
    </row>
    <row r="766" spans="1:11">
      <c r="D766" s="1307"/>
      <c r="E766" s="1307"/>
      <c r="F766" s="1307"/>
      <c r="G766" s="501"/>
      <c r="H766" s="501"/>
      <c r="I766" s="483"/>
      <c r="J766" s="501"/>
      <c r="K766" s="501"/>
    </row>
    <row r="767" spans="1:11">
      <c r="D767" s="1307"/>
      <c r="E767" s="1307"/>
      <c r="F767" s="1307"/>
      <c r="G767" s="501"/>
      <c r="H767" s="501"/>
      <c r="I767" s="483"/>
      <c r="J767" s="501"/>
      <c r="K767" s="501"/>
    </row>
    <row r="768" spans="1:11" ht="15.6" customHeight="1">
      <c r="D768" s="1307"/>
      <c r="E768" s="1307"/>
      <c r="F768" s="1307"/>
      <c r="G768" s="501"/>
      <c r="H768" s="501"/>
      <c r="I768" s="483"/>
      <c r="J768" s="501"/>
      <c r="K768" s="501"/>
    </row>
    <row r="769" spans="1:11">
      <c r="D769" s="499"/>
      <c r="E769" s="446"/>
      <c r="F769" s="446"/>
      <c r="G769" s="501"/>
      <c r="H769" s="501"/>
      <c r="I769" s="483"/>
      <c r="J769" s="501"/>
      <c r="K769" s="501"/>
    </row>
    <row r="770" spans="1:11" s="505" customFormat="1" ht="14.25">
      <c r="A770" s="503"/>
      <c r="B770" s="485" t="s">
        <v>2760</v>
      </c>
      <c r="C770" s="504"/>
      <c r="D770" s="1307" t="s">
        <v>1241</v>
      </c>
      <c r="E770" s="1307"/>
      <c r="F770" s="1307"/>
      <c r="I770" s="1152"/>
    </row>
    <row r="771" spans="1:11" s="505" customFormat="1">
      <c r="A771" s="504"/>
      <c r="B771" s="504"/>
      <c r="C771" s="504"/>
      <c r="D771" s="1307"/>
      <c r="E771" s="1307"/>
      <c r="F771" s="1307"/>
      <c r="I771" s="1152"/>
    </row>
    <row r="772" spans="1:11" s="505" customFormat="1">
      <c r="A772" s="504"/>
      <c r="B772" s="504"/>
      <c r="C772" s="504"/>
      <c r="D772" s="1307"/>
      <c r="E772" s="1307"/>
      <c r="F772" s="1307"/>
      <c r="I772" s="1152"/>
    </row>
    <row r="773" spans="1:11" s="505" customFormat="1">
      <c r="A773" s="504"/>
      <c r="B773" s="504"/>
      <c r="C773" s="504"/>
      <c r="D773" s="1307"/>
      <c r="E773" s="1307"/>
      <c r="F773" s="1307"/>
      <c r="I773" s="1152"/>
    </row>
    <row r="774" spans="1:11" s="505" customFormat="1">
      <c r="A774" s="504"/>
      <c r="B774" s="504"/>
      <c r="C774" s="504"/>
      <c r="D774" s="499"/>
      <c r="I774" s="1152"/>
    </row>
    <row r="775" spans="1:11" s="505" customFormat="1" ht="14.25">
      <c r="A775" s="484"/>
      <c r="B775" s="485" t="s">
        <v>2760</v>
      </c>
      <c r="C775" s="504"/>
      <c r="D775" s="1306" t="s">
        <v>1242</v>
      </c>
      <c r="E775" s="1306"/>
      <c r="F775" s="1306"/>
      <c r="I775" s="1152"/>
    </row>
    <row r="776" spans="1:11" s="505" customFormat="1">
      <c r="A776" s="504"/>
      <c r="B776" s="504"/>
      <c r="C776" s="504"/>
      <c r="D776" s="1306"/>
      <c r="E776" s="1306"/>
      <c r="F776" s="1306"/>
      <c r="I776" s="1152"/>
    </row>
    <row r="777" spans="1:11" s="505" customFormat="1">
      <c r="A777" s="504"/>
      <c r="B777" s="504"/>
      <c r="C777" s="504"/>
      <c r="D777" s="1306"/>
      <c r="E777" s="1306"/>
      <c r="F777" s="1306"/>
      <c r="I777" s="1152"/>
    </row>
    <row r="778" spans="1:11">
      <c r="D778" s="499"/>
      <c r="E778" s="446"/>
      <c r="F778" s="446"/>
      <c r="G778" s="501"/>
      <c r="H778" s="501"/>
      <c r="I778" s="483"/>
      <c r="J778" s="501"/>
      <c r="K778" s="501"/>
    </row>
    <row r="779" spans="1:11" ht="14.25">
      <c r="A779" s="484"/>
      <c r="B779" s="485" t="s">
        <v>2665</v>
      </c>
      <c r="D779" s="1307" t="s">
        <v>1198</v>
      </c>
      <c r="E779" s="1307"/>
      <c r="F779" s="1307"/>
      <c r="G779" s="501"/>
      <c r="H779" s="501"/>
      <c r="I779" s="483"/>
      <c r="J779" s="501"/>
      <c r="K779" s="501"/>
    </row>
    <row r="780" spans="1:11">
      <c r="D780" s="1307"/>
      <c r="E780" s="1307"/>
      <c r="F780" s="1307"/>
      <c r="G780" s="501"/>
      <c r="H780" s="501"/>
      <c r="I780" s="483"/>
      <c r="J780" s="501"/>
      <c r="K780" s="501"/>
    </row>
    <row r="781" spans="1:11">
      <c r="D781" s="445"/>
      <c r="E781" s="445"/>
      <c r="F781" s="445"/>
      <c r="G781" s="501"/>
      <c r="H781" s="501"/>
      <c r="I781" s="483"/>
      <c r="J781" s="501"/>
      <c r="K781" s="501"/>
    </row>
    <row r="782" spans="1:11">
      <c r="B782" s="485" t="s">
        <v>2665</v>
      </c>
      <c r="D782" s="1307" t="s">
        <v>1215</v>
      </c>
      <c r="E782" s="1307"/>
      <c r="F782" s="1307"/>
      <c r="G782" s="501"/>
      <c r="H782" s="501"/>
      <c r="I782" s="483"/>
      <c r="J782" s="501"/>
      <c r="K782" s="501"/>
    </row>
    <row r="783" spans="1:11">
      <c r="D783" s="1307"/>
      <c r="E783" s="1307"/>
      <c r="F783" s="1307"/>
      <c r="G783" s="501"/>
      <c r="H783" s="501"/>
      <c r="I783" s="483"/>
      <c r="J783" s="501"/>
      <c r="K783" s="501"/>
    </row>
    <row r="784" spans="1:11">
      <c r="D784" s="1307"/>
      <c r="E784" s="1307"/>
      <c r="F784" s="1307"/>
      <c r="G784" s="501"/>
      <c r="H784" s="501"/>
      <c r="I784" s="483"/>
      <c r="J784" s="501"/>
      <c r="K784" s="501"/>
    </row>
    <row r="785" spans="1:11">
      <c r="D785" s="445"/>
      <c r="E785" s="445"/>
      <c r="F785" s="445"/>
      <c r="G785" s="501"/>
      <c r="H785" s="501"/>
      <c r="I785" s="483"/>
      <c r="J785" s="501"/>
      <c r="K785" s="501"/>
    </row>
    <row r="786" spans="1:11">
      <c r="A786" s="1326" t="s">
        <v>1790</v>
      </c>
      <c r="B786" s="1326"/>
      <c r="C786" s="1326"/>
      <c r="D786" s="1326"/>
      <c r="E786" s="1326"/>
      <c r="F786" s="1326"/>
      <c r="G786" s="1326"/>
      <c r="H786" s="1023"/>
      <c r="I786" s="1147"/>
    </row>
    <row r="787" spans="1:11">
      <c r="A787" s="57"/>
      <c r="B787" s="57"/>
      <c r="C787" s="354"/>
      <c r="D787" s="3"/>
      <c r="E787" s="3"/>
      <c r="F787" s="3"/>
      <c r="G787" s="3"/>
      <c r="I787" s="490"/>
    </row>
    <row r="788" spans="1:11">
      <c r="A788" s="57"/>
      <c r="B788" s="57"/>
      <c r="C788" s="354"/>
      <c r="D788" s="1325" t="s">
        <v>1830</v>
      </c>
      <c r="E788" s="1325"/>
      <c r="F788" s="1325"/>
      <c r="G788" s="3"/>
      <c r="I788" s="490"/>
    </row>
    <row r="789" spans="1:11">
      <c r="A789" s="57"/>
      <c r="B789" s="57"/>
      <c r="C789" s="354"/>
      <c r="D789" s="1317" t="s">
        <v>1744</v>
      </c>
      <c r="E789" s="1317"/>
      <c r="F789" s="1317"/>
      <c r="G789" s="3"/>
      <c r="I789" s="490"/>
    </row>
    <row r="790" spans="1:11">
      <c r="A790" s="57"/>
      <c r="B790" s="57"/>
      <c r="C790" s="354"/>
      <c r="D790" s="447"/>
      <c r="E790" s="447"/>
      <c r="F790" s="447"/>
      <c r="G790" s="3"/>
      <c r="I790" s="490"/>
    </row>
    <row r="791" spans="1:11">
      <c r="A791" s="57"/>
      <c r="B791" s="485" t="s">
        <v>2760</v>
      </c>
      <c r="C791" s="354"/>
      <c r="D791" s="1299" t="s">
        <v>1745</v>
      </c>
      <c r="E791" s="1299"/>
      <c r="F791" s="1299"/>
      <c r="G791" s="3"/>
      <c r="I791" s="483"/>
    </row>
    <row r="792" spans="1:11">
      <c r="A792" s="57"/>
      <c r="B792" s="57"/>
      <c r="C792" s="354"/>
      <c r="D792" s="1299"/>
      <c r="E792" s="1299"/>
      <c r="F792" s="1299"/>
      <c r="G792" s="3"/>
      <c r="I792" s="490"/>
    </row>
    <row r="793" spans="1:11">
      <c r="A793" s="174"/>
      <c r="B793" s="174"/>
      <c r="C793" s="174"/>
      <c r="D793" s="1299"/>
      <c r="E793" s="1299"/>
      <c r="F793" s="1299"/>
      <c r="G793" s="118"/>
      <c r="I793" s="490"/>
    </row>
    <row r="794" spans="1:11">
      <c r="A794" s="354"/>
      <c r="B794" s="354"/>
      <c r="C794" s="354"/>
      <c r="D794" s="173"/>
      <c r="E794" s="3"/>
      <c r="F794" s="3"/>
      <c r="G794" s="3"/>
      <c r="I794" s="490"/>
    </row>
    <row r="795" spans="1:11">
      <c r="A795" s="172"/>
      <c r="B795" s="485" t="s">
        <v>2760</v>
      </c>
      <c r="C795" s="172"/>
      <c r="D795" s="1299" t="s">
        <v>1746</v>
      </c>
      <c r="E795" s="1299"/>
      <c r="F795" s="1299"/>
      <c r="G795" s="3"/>
      <c r="I795" s="483"/>
    </row>
    <row r="796" spans="1:11">
      <c r="A796" s="172"/>
      <c r="B796" s="172"/>
      <c r="C796" s="172"/>
      <c r="D796" s="1299"/>
      <c r="E796" s="1299"/>
      <c r="F796" s="1299"/>
      <c r="G796" s="3"/>
      <c r="I796" s="490"/>
    </row>
    <row r="797" spans="1:11">
      <c r="A797" s="172"/>
      <c r="B797" s="172"/>
      <c r="C797" s="172"/>
      <c r="D797" s="1299"/>
      <c r="E797" s="1299"/>
      <c r="F797" s="1299"/>
      <c r="G797" s="3"/>
      <c r="I797" s="490"/>
    </row>
    <row r="798" spans="1:11">
      <c r="A798" s="174"/>
      <c r="B798" s="174"/>
      <c r="C798" s="174"/>
      <c r="D798" s="3"/>
      <c r="E798" s="983"/>
      <c r="F798" s="983"/>
      <c r="G798" s="983"/>
      <c r="I798" s="490"/>
    </row>
    <row r="799" spans="1:11" ht="14.25">
      <c r="A799" s="175"/>
      <c r="B799" s="485" t="s">
        <v>2665</v>
      </c>
      <c r="C799" s="984"/>
      <c r="D799" s="1299" t="s">
        <v>1747</v>
      </c>
      <c r="E799" s="1299"/>
      <c r="F799" s="1299"/>
      <c r="G799" s="983"/>
      <c r="I799" s="483"/>
    </row>
    <row r="800" spans="1:11" ht="14.25">
      <c r="A800" s="175"/>
      <c r="B800" s="175"/>
      <c r="C800" s="984"/>
      <c r="D800" s="1299"/>
      <c r="E800" s="1299"/>
      <c r="F800" s="1299"/>
      <c r="G800" s="983"/>
      <c r="I800" s="490"/>
    </row>
    <row r="801" spans="1:9" ht="14.25">
      <c r="A801" s="175"/>
      <c r="B801" s="175"/>
      <c r="C801" s="984"/>
      <c r="D801" s="1299"/>
      <c r="E801" s="1299"/>
      <c r="F801" s="1299"/>
      <c r="G801" s="983"/>
      <c r="I801" s="490"/>
    </row>
    <row r="802" spans="1:9" ht="14.25">
      <c r="A802" s="175"/>
      <c r="B802" s="175"/>
      <c r="C802" s="984"/>
      <c r="D802" s="118"/>
      <c r="E802" s="3"/>
      <c r="F802" s="3"/>
      <c r="G802" s="983"/>
      <c r="I802" s="490"/>
    </row>
    <row r="803" spans="1:9" ht="14.25">
      <c r="A803" s="175"/>
      <c r="B803" s="485" t="s">
        <v>2665</v>
      </c>
      <c r="C803" s="984"/>
      <c r="D803" s="1299" t="s">
        <v>1748</v>
      </c>
      <c r="E803" s="1299"/>
      <c r="F803" s="1299"/>
      <c r="G803" s="983"/>
      <c r="I803" s="483"/>
    </row>
    <row r="804" spans="1:9" ht="14.25">
      <c r="A804" s="175"/>
      <c r="B804" s="175"/>
      <c r="C804" s="984"/>
      <c r="D804" s="1299"/>
      <c r="E804" s="1299"/>
      <c r="F804" s="1299"/>
      <c r="G804" s="983"/>
      <c r="I804" s="490"/>
    </row>
    <row r="805" spans="1:9" ht="14.25">
      <c r="A805" s="175"/>
      <c r="B805" s="175"/>
      <c r="C805" s="984"/>
      <c r="D805" s="1299"/>
      <c r="E805" s="1299"/>
      <c r="F805" s="1299"/>
      <c r="G805" s="983"/>
      <c r="I805" s="490"/>
    </row>
    <row r="806" spans="1:9" ht="14.25">
      <c r="A806" s="175"/>
      <c r="B806" s="175"/>
      <c r="C806" s="984"/>
      <c r="D806" s="1299"/>
      <c r="E806" s="1299"/>
      <c r="F806" s="1299"/>
      <c r="G806" s="983"/>
      <c r="I806" s="490"/>
    </row>
    <row r="807" spans="1:9" ht="14.25">
      <c r="A807" s="175"/>
      <c r="B807" s="175"/>
      <c r="C807" s="984"/>
      <c r="D807" s="1299"/>
      <c r="E807" s="1299"/>
      <c r="F807" s="1299"/>
      <c r="G807" s="983"/>
      <c r="I807" s="490"/>
    </row>
    <row r="808" spans="1:9" ht="14.25">
      <c r="A808" s="175"/>
      <c r="B808" s="175"/>
      <c r="C808" s="984"/>
      <c r="D808" s="1299"/>
      <c r="E808" s="1299"/>
      <c r="F808" s="1299"/>
      <c r="G808" s="983"/>
      <c r="I808" s="490"/>
    </row>
    <row r="809" spans="1:9" ht="14.25">
      <c r="A809" s="175"/>
      <c r="B809" s="175"/>
      <c r="C809" s="984"/>
      <c r="D809" s="1299" t="s">
        <v>1791</v>
      </c>
      <c r="E809" s="1299"/>
      <c r="F809" s="1299"/>
      <c r="G809" s="983"/>
      <c r="I809" s="490"/>
    </row>
    <row r="810" spans="1:9" ht="14.25">
      <c r="A810" s="175"/>
      <c r="B810" s="175"/>
      <c r="C810" s="984"/>
      <c r="D810" s="1299"/>
      <c r="E810" s="1299"/>
      <c r="F810" s="1299"/>
      <c r="G810" s="983"/>
      <c r="I810" s="490"/>
    </row>
    <row r="811" spans="1:9" ht="14.25">
      <c r="A811" s="175"/>
      <c r="B811" s="175"/>
      <c r="C811" s="984"/>
      <c r="D811" s="1299"/>
      <c r="E811" s="1299"/>
      <c r="F811" s="1299"/>
      <c r="G811" s="983"/>
      <c r="I811" s="490"/>
    </row>
    <row r="812" spans="1:9" ht="14.25">
      <c r="A812" s="175"/>
      <c r="B812" s="354"/>
      <c r="C812" s="984"/>
      <c r="D812" s="985"/>
      <c r="E812" s="985"/>
      <c r="F812" s="985"/>
      <c r="G812" s="983"/>
      <c r="I812" s="490"/>
    </row>
    <row r="813" spans="1:9" ht="14.25">
      <c r="A813" s="175"/>
      <c r="B813" s="485" t="s">
        <v>2665</v>
      </c>
      <c r="C813" s="984"/>
      <c r="D813" s="1299" t="s">
        <v>1749</v>
      </c>
      <c r="E813" s="1299"/>
      <c r="F813" s="1299"/>
      <c r="G813" s="983"/>
      <c r="I813" s="483"/>
    </row>
    <row r="814" spans="1:9" ht="14.25">
      <c r="A814" s="175"/>
      <c r="B814" s="175"/>
      <c r="C814" s="984"/>
      <c r="D814" s="1299"/>
      <c r="E814" s="1299"/>
      <c r="F814" s="1299"/>
      <c r="G814" s="983"/>
      <c r="I814" s="490"/>
    </row>
    <row r="815" spans="1:9" ht="14.25">
      <c r="A815" s="175"/>
      <c r="B815" s="175"/>
      <c r="C815" s="984"/>
      <c r="D815" s="1299"/>
      <c r="E815" s="1299"/>
      <c r="F815" s="1299"/>
      <c r="G815" s="983"/>
      <c r="I815" s="490"/>
    </row>
    <row r="816" spans="1:9" ht="14.25">
      <c r="A816" s="175"/>
      <c r="B816" s="175"/>
      <c r="C816" s="984"/>
      <c r="D816" s="1299"/>
      <c r="E816" s="1299"/>
      <c r="F816" s="1299"/>
      <c r="G816" s="983"/>
      <c r="I816" s="490"/>
    </row>
    <row r="817" spans="1:9" ht="14.25">
      <c r="A817" s="175"/>
      <c r="B817" s="175"/>
      <c r="C817" s="984"/>
      <c r="D817" s="1299"/>
      <c r="E817" s="1299"/>
      <c r="F817" s="1299"/>
      <c r="G817" s="983"/>
      <c r="I817" s="490"/>
    </row>
    <row r="818" spans="1:9" ht="14.25">
      <c r="A818" s="175"/>
      <c r="B818" s="175"/>
      <c r="C818" s="984"/>
      <c r="D818" s="1299"/>
      <c r="E818" s="1299"/>
      <c r="F818" s="1299"/>
      <c r="G818" s="983"/>
      <c r="I818" s="490"/>
    </row>
    <row r="819" spans="1:9" ht="14.25">
      <c r="A819" s="175"/>
      <c r="B819" s="175"/>
      <c r="C819" s="984"/>
      <c r="D819" s="977"/>
      <c r="E819" s="977"/>
      <c r="F819" s="977"/>
      <c r="G819" s="983"/>
      <c r="I819" s="490"/>
    </row>
    <row r="820" spans="1:9" ht="14.25">
      <c r="A820" s="175"/>
      <c r="B820" s="485" t="s">
        <v>2665</v>
      </c>
      <c r="C820" s="984"/>
      <c r="D820" s="1299" t="s">
        <v>1750</v>
      </c>
      <c r="E820" s="1299"/>
      <c r="F820" s="1299"/>
      <c r="G820" s="983"/>
      <c r="I820" s="483"/>
    </row>
    <row r="821" spans="1:9" ht="14.25">
      <c r="A821" s="175"/>
      <c r="B821" s="175"/>
      <c r="C821" s="984"/>
      <c r="D821" s="1299"/>
      <c r="E821" s="1299"/>
      <c r="F821" s="1299"/>
      <c r="G821" s="983"/>
      <c r="I821" s="490"/>
    </row>
    <row r="822" spans="1:9" ht="14.25">
      <c r="A822" s="175"/>
      <c r="B822" s="175"/>
      <c r="C822" s="984"/>
      <c r="D822" s="1299"/>
      <c r="E822" s="1299"/>
      <c r="F822" s="1299"/>
      <c r="G822" s="983"/>
      <c r="I822" s="490"/>
    </row>
    <row r="823" spans="1:9" ht="14.25">
      <c r="A823" s="175"/>
      <c r="B823" s="175"/>
      <c r="C823" s="984"/>
      <c r="D823" s="1299"/>
      <c r="E823" s="1299"/>
      <c r="F823" s="1299"/>
      <c r="G823" s="983"/>
      <c r="I823" s="490"/>
    </row>
    <row r="824" spans="1:9" ht="14.25">
      <c r="A824" s="175"/>
      <c r="B824" s="175"/>
      <c r="C824" s="984"/>
      <c r="D824" s="1299"/>
      <c r="E824" s="1299"/>
      <c r="F824" s="1299"/>
      <c r="G824" s="983"/>
      <c r="I824" s="490"/>
    </row>
    <row r="825" spans="1:9" ht="14.25">
      <c r="A825" s="175"/>
      <c r="B825" s="175"/>
      <c r="C825" s="984"/>
      <c r="D825" s="1299"/>
      <c r="E825" s="1299"/>
      <c r="F825" s="1299"/>
      <c r="G825" s="983"/>
      <c r="I825" s="490"/>
    </row>
    <row r="826" spans="1:9" ht="14.25">
      <c r="A826" s="175"/>
      <c r="B826" s="175"/>
      <c r="C826" s="984"/>
      <c r="D826" s="977"/>
      <c r="E826" s="977"/>
      <c r="F826" s="977"/>
      <c r="G826" s="983"/>
      <c r="I826" s="490"/>
    </row>
    <row r="827" spans="1:9" ht="14.25">
      <c r="A827" s="175"/>
      <c r="B827" s="485" t="s">
        <v>2665</v>
      </c>
      <c r="C827" s="984"/>
      <c r="D827" s="1295" t="s">
        <v>1751</v>
      </c>
      <c r="E827" s="1295"/>
      <c r="F827" s="1295"/>
      <c r="G827" s="983"/>
      <c r="I827" s="483"/>
    </row>
    <row r="828" spans="1:9" ht="14.25">
      <c r="A828" s="175"/>
      <c r="B828" s="175"/>
      <c r="C828" s="984"/>
      <c r="D828" s="1295"/>
      <c r="E828" s="1295"/>
      <c r="F828" s="1295"/>
      <c r="G828" s="983"/>
      <c r="I828" s="490"/>
    </row>
    <row r="829" spans="1:9">
      <c r="A829" s="13"/>
      <c r="B829" s="13"/>
      <c r="C829" s="984"/>
      <c r="D829" s="1295"/>
      <c r="E829" s="1295"/>
      <c r="F829" s="1295"/>
      <c r="G829" s="983"/>
      <c r="I829" s="490"/>
    </row>
    <row r="830" spans="1:9" ht="14.25">
      <c r="A830" s="175"/>
      <c r="B830" s="13"/>
      <c r="C830" s="984"/>
      <c r="D830" s="1295"/>
      <c r="E830" s="1295"/>
      <c r="F830" s="1295"/>
      <c r="G830" s="983"/>
      <c r="I830" s="490"/>
    </row>
    <row r="831" spans="1:9" ht="12.75" customHeight="1">
      <c r="A831" s="175"/>
      <c r="B831" s="13"/>
      <c r="C831" s="984"/>
      <c r="D831" s="1295"/>
      <c r="E831" s="1295"/>
      <c r="F831" s="1295"/>
      <c r="G831" s="983"/>
      <c r="I831" s="490"/>
    </row>
    <row r="832" spans="1:9" ht="12.75" customHeight="1">
      <c r="A832" s="175"/>
      <c r="B832" s="13"/>
      <c r="C832" s="984"/>
      <c r="D832" s="1295"/>
      <c r="E832" s="1295"/>
      <c r="F832" s="1295"/>
      <c r="G832" s="983"/>
      <c r="I832" s="490"/>
    </row>
    <row r="833" spans="1:9" ht="12.75" customHeight="1">
      <c r="A833" s="13"/>
      <c r="B833" s="13"/>
      <c r="C833" s="984"/>
      <c r="D833" s="983"/>
      <c r="E833" s="3"/>
      <c r="F833" s="3"/>
      <c r="G833" s="983"/>
      <c r="I833" s="490"/>
    </row>
    <row r="834" spans="1:9" ht="12.75" customHeight="1">
      <c r="A834" s="1293" t="s">
        <v>1752</v>
      </c>
      <c r="B834" s="1293"/>
      <c r="C834" s="1293"/>
      <c r="D834" s="1293"/>
      <c r="E834" s="1293"/>
      <c r="F834" s="1293"/>
      <c r="G834" s="1293"/>
      <c r="H834" s="1023"/>
      <c r="I834" s="1147"/>
    </row>
    <row r="835" spans="1:9" ht="12.75" customHeight="1">
      <c r="A835" s="172"/>
      <c r="B835" s="172"/>
      <c r="C835" s="984"/>
      <c r="D835" s="983"/>
      <c r="E835" s="983"/>
      <c r="F835" s="983"/>
      <c r="G835" s="983"/>
      <c r="I835" s="490"/>
    </row>
    <row r="836" spans="1:9" ht="12.75" customHeight="1">
      <c r="A836" s="175"/>
      <c r="B836" s="175"/>
      <c r="C836" s="354"/>
      <c r="D836" s="1315" t="s">
        <v>1792</v>
      </c>
      <c r="E836" s="1315"/>
      <c r="F836" s="1315"/>
      <c r="G836" s="3"/>
      <c r="I836" s="490"/>
    </row>
    <row r="837" spans="1:9" ht="14.25" customHeight="1">
      <c r="A837" s="175"/>
      <c r="B837" s="175"/>
      <c r="C837" s="354"/>
      <c r="D837" s="1269" t="s">
        <v>1753</v>
      </c>
      <c r="E837" s="1269"/>
      <c r="F837" s="1269"/>
      <c r="G837" s="3"/>
      <c r="I837" s="490"/>
    </row>
    <row r="838" spans="1:9" ht="12.75" customHeight="1">
      <c r="A838" s="175"/>
      <c r="B838" s="175"/>
      <c r="C838" s="354"/>
      <c r="D838" s="441"/>
      <c r="E838" s="441"/>
      <c r="F838" s="441"/>
      <c r="G838" s="3"/>
      <c r="I838" s="490"/>
    </row>
    <row r="839" spans="1:9" ht="12.75" customHeight="1">
      <c r="A839" s="354"/>
      <c r="B839" s="485" t="s">
        <v>2760</v>
      </c>
      <c r="C839" s="984"/>
      <c r="D839" s="1269" t="s">
        <v>1754</v>
      </c>
      <c r="E839" s="1269"/>
      <c r="F839" s="1269"/>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6" t="s">
        <v>2033</v>
      </c>
      <c r="E842" s="1316"/>
      <c r="F842" s="1316"/>
      <c r="G842" s="3"/>
      <c r="I842" s="490"/>
    </row>
    <row r="843" spans="1:9" ht="12.75" hidden="1" customHeight="1">
      <c r="A843" s="13"/>
      <c r="B843" s="13"/>
      <c r="C843" s="984"/>
      <c r="D843" s="1316"/>
      <c r="E843" s="1316"/>
      <c r="F843" s="1316"/>
      <c r="G843" s="3"/>
      <c r="I843" s="490"/>
    </row>
    <row r="844" spans="1:9" ht="12.75" hidden="1" customHeight="1">
      <c r="A844" s="13"/>
      <c r="B844" s="13"/>
      <c r="C844" s="984"/>
      <c r="D844" s="1316"/>
      <c r="E844" s="1316"/>
      <c r="F844" s="1316"/>
      <c r="G844" s="3"/>
      <c r="I844" s="490"/>
    </row>
    <row r="845" spans="1:9" ht="12.75" hidden="1" customHeight="1">
      <c r="A845" s="13"/>
      <c r="B845" s="13"/>
      <c r="C845" s="984"/>
      <c r="D845" s="1316"/>
      <c r="E845" s="1316"/>
      <c r="F845" s="1316"/>
      <c r="G845" s="3"/>
      <c r="I845" s="490"/>
    </row>
    <row r="846" spans="1:9" ht="12.75" hidden="1" customHeight="1">
      <c r="A846" s="13"/>
      <c r="B846" s="13"/>
      <c r="C846" s="984"/>
      <c r="D846" s="1316"/>
      <c r="E846" s="1316"/>
      <c r="F846" s="1316"/>
      <c r="G846" s="3"/>
      <c r="I846" s="490"/>
    </row>
    <row r="847" spans="1:9" ht="12.75" hidden="1" customHeight="1">
      <c r="A847" s="13"/>
      <c r="B847" s="13"/>
      <c r="C847" s="984"/>
      <c r="D847" s="1316"/>
      <c r="E847" s="1316"/>
      <c r="F847" s="1316"/>
      <c r="G847" s="3"/>
      <c r="I847" s="490"/>
    </row>
    <row r="848" spans="1:9" ht="12.75" hidden="1" customHeight="1">
      <c r="A848" s="13"/>
      <c r="B848" s="13"/>
      <c r="C848" s="984"/>
      <c r="D848" s="1316"/>
      <c r="E848" s="1316"/>
      <c r="F848" s="1316"/>
      <c r="G848" s="3"/>
      <c r="I848" s="490"/>
    </row>
    <row r="849" spans="1:9" ht="12.75" hidden="1" customHeight="1">
      <c r="A849" s="13"/>
      <c r="B849" s="13"/>
      <c r="C849" s="984"/>
      <c r="D849" s="1316"/>
      <c r="E849" s="1316"/>
      <c r="F849" s="1316"/>
      <c r="G849" s="3"/>
      <c r="I849" s="490"/>
    </row>
    <row r="850" spans="1:9" ht="12.75" hidden="1" customHeight="1">
      <c r="A850" s="13"/>
      <c r="B850" s="13"/>
      <c r="C850" s="984"/>
      <c r="D850" s="1316"/>
      <c r="E850" s="1316"/>
      <c r="F850" s="1316"/>
      <c r="G850" s="3"/>
      <c r="I850" s="490"/>
    </row>
    <row r="851" spans="1:9" ht="12.75" hidden="1" customHeight="1">
      <c r="A851" s="13"/>
      <c r="B851" s="13"/>
      <c r="C851" s="984"/>
      <c r="D851" s="1316"/>
      <c r="E851" s="1316"/>
      <c r="F851" s="1316"/>
      <c r="G851" s="3"/>
      <c r="I851" s="490"/>
    </row>
    <row r="852" spans="1:9" ht="12.75" hidden="1" customHeight="1">
      <c r="A852" s="13"/>
      <c r="B852" s="13"/>
      <c r="C852" s="984"/>
      <c r="D852" s="986"/>
      <c r="E852" s="3"/>
      <c r="F852" s="3"/>
      <c r="G852" s="3"/>
      <c r="I852" s="490"/>
    </row>
    <row r="853" spans="1:9" ht="12.75" customHeight="1">
      <c r="A853" s="175"/>
      <c r="B853" s="485" t="s">
        <v>2760</v>
      </c>
      <c r="C853" s="984"/>
      <c r="D853" s="1269" t="s">
        <v>1755</v>
      </c>
      <c r="E853" s="1269"/>
      <c r="F853" s="1269"/>
      <c r="G853" s="3"/>
      <c r="I853" s="490" t="s">
        <v>1857</v>
      </c>
    </row>
    <row r="854" spans="1:9" ht="12.75" customHeight="1">
      <c r="A854" s="175"/>
      <c r="B854" s="175"/>
      <c r="C854" s="984"/>
      <c r="D854" s="1269"/>
      <c r="E854" s="1269"/>
      <c r="F854" s="1269"/>
      <c r="G854" s="3"/>
      <c r="I854" s="490"/>
    </row>
    <row r="855" spans="1:9" ht="12.75" customHeight="1">
      <c r="A855" s="175"/>
      <c r="B855" s="175"/>
      <c r="C855" s="984"/>
      <c r="D855" s="1269"/>
      <c r="E855" s="1269"/>
      <c r="F855" s="1269"/>
      <c r="G855" s="3"/>
      <c r="I855" s="490"/>
    </row>
    <row r="856" spans="1:9" ht="12.75" customHeight="1">
      <c r="A856" s="175"/>
      <c r="B856" s="175"/>
      <c r="C856" s="984"/>
      <c r="D856" s="118"/>
      <c r="E856" s="3"/>
      <c r="F856" s="3"/>
      <c r="G856" s="3"/>
      <c r="I856" s="490"/>
    </row>
    <row r="857" spans="1:9" ht="12.75" customHeight="1">
      <c r="A857" s="987"/>
      <c r="B857" s="485" t="s">
        <v>2665</v>
      </c>
      <c r="C857" s="984"/>
      <c r="D857" s="1315" t="s">
        <v>1756</v>
      </c>
      <c r="E857" s="1315"/>
      <c r="F857" s="1315"/>
      <c r="G857" s="3"/>
      <c r="I857" s="490"/>
    </row>
    <row r="858" spans="1:9" ht="12.75" customHeight="1">
      <c r="A858" s="354"/>
      <c r="B858" s="987"/>
      <c r="C858" s="984"/>
      <c r="D858" s="1315"/>
      <c r="E858" s="1315"/>
      <c r="F858" s="1315"/>
      <c r="G858" s="3"/>
      <c r="I858" s="490"/>
    </row>
    <row r="859" spans="1:9" ht="12.75" customHeight="1">
      <c r="A859" s="175"/>
      <c r="B859" s="354"/>
      <c r="C859" s="984"/>
      <c r="D859" s="1269" t="s">
        <v>2028</v>
      </c>
      <c r="E859" s="1269"/>
      <c r="F859" s="1269"/>
      <c r="G859" s="3"/>
      <c r="I859" s="490"/>
    </row>
    <row r="860" spans="1:9" ht="12.75" customHeight="1">
      <c r="A860" s="175"/>
      <c r="B860" s="175"/>
      <c r="C860" s="984"/>
      <c r="D860" s="1269"/>
      <c r="E860" s="1269"/>
      <c r="F860" s="1269"/>
      <c r="G860" s="3"/>
      <c r="I860" s="490"/>
    </row>
    <row r="861" spans="1:9" ht="12.75" customHeight="1">
      <c r="A861" s="175"/>
      <c r="B861" s="175"/>
      <c r="C861" s="984"/>
      <c r="D861" s="1269"/>
      <c r="E861" s="1269"/>
      <c r="F861" s="1269"/>
      <c r="G861" s="3"/>
      <c r="I861" s="490"/>
    </row>
    <row r="862" spans="1:9" ht="12.75" customHeight="1">
      <c r="A862" s="175"/>
      <c r="B862" s="175"/>
      <c r="C862" s="984"/>
      <c r="D862" s="1269"/>
      <c r="E862" s="1269"/>
      <c r="F862" s="1269"/>
      <c r="G862" s="3"/>
      <c r="I862" s="490"/>
    </row>
    <row r="863" spans="1:9" ht="12.75" customHeight="1">
      <c r="A863" s="175"/>
      <c r="B863" s="175"/>
      <c r="C863" s="984"/>
      <c r="D863" s="1269"/>
      <c r="E863" s="1269"/>
      <c r="F863" s="1269"/>
      <c r="G863" s="3"/>
      <c r="I863" s="490"/>
    </row>
    <row r="864" spans="1:9" ht="12.75" customHeight="1">
      <c r="A864" s="175"/>
      <c r="B864" s="175"/>
      <c r="C864" s="984"/>
      <c r="D864" s="1269"/>
      <c r="E864" s="1269"/>
      <c r="F864" s="1269"/>
      <c r="G864" s="3"/>
      <c r="I864" s="490"/>
    </row>
    <row r="865" spans="1:9" ht="12.75" customHeight="1">
      <c r="A865" s="175"/>
      <c r="B865" s="175"/>
      <c r="C865" s="984"/>
      <c r="D865" s="118"/>
      <c r="E865" s="3"/>
      <c r="F865" s="3"/>
      <c r="G865" s="3"/>
      <c r="I865" s="490"/>
    </row>
    <row r="866" spans="1:9" ht="12.75" customHeight="1">
      <c r="A866" s="175"/>
      <c r="B866" s="485" t="s">
        <v>2665</v>
      </c>
      <c r="C866" s="984"/>
      <c r="D866" s="1269" t="s">
        <v>1757</v>
      </c>
      <c r="E866" s="1269"/>
      <c r="F866" s="1269"/>
      <c r="G866" s="3"/>
      <c r="I866" s="490" t="s">
        <v>1855</v>
      </c>
    </row>
    <row r="867" spans="1:9" ht="12.75" customHeight="1">
      <c r="A867" s="175"/>
      <c r="B867" s="175"/>
      <c r="C867" s="984"/>
      <c r="D867" s="1269" t="s">
        <v>1758</v>
      </c>
      <c r="E867" s="1269"/>
      <c r="F867" s="1269"/>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2665</v>
      </c>
      <c r="C870" s="984"/>
      <c r="D870" s="1269" t="s">
        <v>1759</v>
      </c>
      <c r="E870" s="1269"/>
      <c r="F870" s="1269"/>
      <c r="G870" s="3"/>
      <c r="I870" s="490" t="s">
        <v>1858</v>
      </c>
    </row>
    <row r="871" spans="1:9" ht="12.75" customHeight="1">
      <c r="A871" s="175"/>
      <c r="B871" s="175"/>
      <c r="C871" s="984"/>
      <c r="D871" s="1269"/>
      <c r="E871" s="1269"/>
      <c r="F871" s="1269"/>
      <c r="G871" s="3"/>
      <c r="I871" s="490"/>
    </row>
    <row r="872" spans="1:9" ht="12.75" customHeight="1">
      <c r="A872" s="175"/>
      <c r="B872" s="175"/>
      <c r="C872" s="984"/>
      <c r="D872" s="1269"/>
      <c r="E872" s="1269"/>
      <c r="F872" s="1269"/>
      <c r="G872" s="3"/>
      <c r="I872" s="490"/>
    </row>
    <row r="873" spans="1:9" ht="12.75" customHeight="1">
      <c r="A873" s="175"/>
      <c r="B873" s="175"/>
      <c r="C873" s="984"/>
      <c r="D873" s="1269"/>
      <c r="E873" s="1269"/>
      <c r="F873" s="1269"/>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6" t="s">
        <v>1793</v>
      </c>
      <c r="E877" s="1296"/>
      <c r="F877" s="1296"/>
      <c r="G877" s="983"/>
      <c r="I877" s="490"/>
    </row>
    <row r="878" spans="1:9" ht="12.75" customHeight="1">
      <c r="A878" s="354"/>
      <c r="B878" s="354"/>
      <c r="C878" s="174"/>
      <c r="D878" s="1314" t="s">
        <v>1761</v>
      </c>
      <c r="E878" s="1314"/>
      <c r="F878" s="1314"/>
      <c r="G878" s="983"/>
      <c r="I878" s="490"/>
    </row>
    <row r="879" spans="1:9" ht="12.75" customHeight="1">
      <c r="A879" s="354"/>
      <c r="B879" s="354"/>
      <c r="C879" s="174"/>
      <c r="D879" s="990"/>
      <c r="E879" s="990"/>
      <c r="F879" s="990"/>
      <c r="G879" s="983"/>
      <c r="I879" s="490"/>
    </row>
    <row r="880" spans="1:9" ht="12.75" customHeight="1">
      <c r="A880" s="175"/>
      <c r="B880" s="485" t="s">
        <v>2760</v>
      </c>
      <c r="C880" s="354"/>
      <c r="D880" s="1297" t="s">
        <v>1762</v>
      </c>
      <c r="E880" s="1297"/>
      <c r="F880" s="1297"/>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2760</v>
      </c>
      <c r="C883" s="354"/>
      <c r="D883" s="1269" t="s">
        <v>1763</v>
      </c>
      <c r="E883" s="1321"/>
      <c r="F883" s="1321"/>
      <c r="G883" s="3"/>
      <c r="I883" s="490" t="s">
        <v>1858</v>
      </c>
    </row>
    <row r="884" spans="1:9" ht="12.75" customHeight="1">
      <c r="A884" s="354"/>
      <c r="B884" s="354"/>
      <c r="C884" s="354"/>
      <c r="D884" s="1321"/>
      <c r="E884" s="1321"/>
      <c r="F884" s="1321"/>
      <c r="G884" s="3"/>
      <c r="I884" s="490"/>
    </row>
    <row r="885" spans="1:9" ht="12.75" customHeight="1">
      <c r="A885" s="354"/>
      <c r="B885" s="354"/>
      <c r="C885" s="354"/>
      <c r="D885" s="118"/>
      <c r="E885" s="3"/>
      <c r="F885" s="3"/>
      <c r="G885" s="3"/>
      <c r="I885" s="490"/>
    </row>
    <row r="886" spans="1:9" ht="12.75" customHeight="1">
      <c r="A886" s="354"/>
      <c r="B886" s="485" t="s">
        <v>2665</v>
      </c>
      <c r="C886" s="354"/>
      <c r="D886" s="1322" t="s">
        <v>1764</v>
      </c>
      <c r="E886" s="1322"/>
      <c r="F886" s="1322"/>
      <c r="G886" s="983"/>
      <c r="I886" s="490"/>
    </row>
    <row r="887" spans="1:9" ht="12.75" customHeight="1">
      <c r="A887" s="354"/>
      <c r="B887" s="991"/>
      <c r="C887" s="354"/>
      <c r="D887" s="1322"/>
      <c r="E887" s="1322"/>
      <c r="F887" s="1322"/>
      <c r="G887" s="983"/>
      <c r="I887" s="490"/>
    </row>
    <row r="888" spans="1:9" ht="12.75" customHeight="1">
      <c r="A888" s="175"/>
      <c r="B888"/>
      <c r="C888" s="354"/>
      <c r="D888" s="1269" t="s">
        <v>2028</v>
      </c>
      <c r="E888" s="1269"/>
      <c r="F888" s="1269"/>
      <c r="G888" s="983"/>
      <c r="I888" s="490"/>
    </row>
    <row r="889" spans="1:9" ht="12.75" customHeight="1">
      <c r="A889" s="175"/>
      <c r="B889" s="175"/>
      <c r="C889" s="354"/>
      <c r="D889" s="1269"/>
      <c r="E889" s="1269"/>
      <c r="F889" s="1269"/>
      <c r="G889" s="983"/>
      <c r="I889" s="490"/>
    </row>
    <row r="890" spans="1:9" ht="12.75" customHeight="1">
      <c r="A890" s="175"/>
      <c r="B890" s="175"/>
      <c r="C890" s="354"/>
      <c r="D890" s="1269"/>
      <c r="E890" s="1269"/>
      <c r="F890" s="1269"/>
      <c r="G890" s="983"/>
      <c r="I890" s="490"/>
    </row>
    <row r="891" spans="1:9" ht="12.75" customHeight="1">
      <c r="A891" s="175"/>
      <c r="B891" s="175"/>
      <c r="C891" s="354"/>
      <c r="D891" s="1269"/>
      <c r="E891" s="1269"/>
      <c r="F891" s="1269"/>
      <c r="G891" s="983"/>
      <c r="I891" s="490"/>
    </row>
    <row r="892" spans="1:9" ht="12.75" customHeight="1">
      <c r="A892" s="175"/>
      <c r="B892" s="175"/>
      <c r="C892" s="354"/>
      <c r="D892" s="1269"/>
      <c r="E892" s="1269"/>
      <c r="F892" s="1269"/>
      <c r="G892" s="983"/>
      <c r="I892" s="490"/>
    </row>
    <row r="893" spans="1:9" ht="12.75" customHeight="1">
      <c r="A893" s="175"/>
      <c r="B893" s="175"/>
      <c r="C893" s="354"/>
      <c r="D893" s="1269"/>
      <c r="E893" s="1269"/>
      <c r="F893" s="1269"/>
      <c r="G893" s="983"/>
      <c r="I893" s="490"/>
    </row>
    <row r="894" spans="1:9" ht="12.75" customHeight="1">
      <c r="A894" s="175"/>
      <c r="B894" s="175"/>
      <c r="C894" s="354"/>
      <c r="D894" s="118"/>
      <c r="E894" s="983"/>
      <c r="F894" s="983"/>
      <c r="G894" s="983"/>
      <c r="I894" s="490"/>
    </row>
    <row r="895" spans="1:9" ht="12.75" customHeight="1">
      <c r="A895" s="175"/>
      <c r="B895" s="485" t="s">
        <v>2665</v>
      </c>
      <c r="C895" s="354"/>
      <c r="D895" s="1288" t="s">
        <v>1757</v>
      </c>
      <c r="E895" s="1288"/>
      <c r="F895" s="1288"/>
      <c r="G895" s="983"/>
      <c r="I895" s="490"/>
    </row>
    <row r="896" spans="1:9" ht="12.75" customHeight="1">
      <c r="A896" s="175"/>
      <c r="B896" s="175"/>
      <c r="C896" s="354"/>
      <c r="D896" s="1288" t="s">
        <v>1758</v>
      </c>
      <c r="E896" s="1288"/>
      <c r="F896" s="1288"/>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2665</v>
      </c>
      <c r="C899" s="354"/>
      <c r="D899" s="1269" t="s">
        <v>1759</v>
      </c>
      <c r="E899" s="1269"/>
      <c r="F899" s="1269"/>
      <c r="G899" s="983"/>
      <c r="I899" s="490"/>
    </row>
    <row r="900" spans="1:9" ht="12.75" customHeight="1">
      <c r="A900" s="175"/>
      <c r="B900" s="175"/>
      <c r="C900" s="354"/>
      <c r="D900" s="1269"/>
      <c r="E900" s="1269"/>
      <c r="F900" s="1269"/>
      <c r="G900" s="983"/>
      <c r="I900" s="490"/>
    </row>
    <row r="901" spans="1:9" ht="12.75" customHeight="1">
      <c r="A901" s="175"/>
      <c r="B901" s="175"/>
      <c r="C901" s="354"/>
      <c r="D901" s="1269"/>
      <c r="E901" s="1269"/>
      <c r="F901" s="1269"/>
      <c r="G901" s="983"/>
      <c r="I901" s="490"/>
    </row>
    <row r="902" spans="1:9" ht="12.75" customHeight="1">
      <c r="A902" s="175"/>
      <c r="B902" s="175"/>
      <c r="C902" s="354"/>
      <c r="D902" s="1269"/>
      <c r="E902" s="1269"/>
      <c r="F902" s="1269"/>
      <c r="G902" s="983"/>
      <c r="I902" s="490"/>
    </row>
    <row r="903" spans="1:9" ht="12.75" customHeight="1">
      <c r="A903" s="118"/>
      <c r="B903" s="118"/>
      <c r="C903" s="984"/>
      <c r="D903" s="983"/>
      <c r="E903" s="983"/>
      <c r="F903" s="983"/>
      <c r="G903" s="983"/>
      <c r="I903" s="490"/>
    </row>
    <row r="904" spans="1:9" ht="12.75" customHeight="1">
      <c r="A904" s="1293" t="s">
        <v>1794</v>
      </c>
      <c r="B904" s="1293"/>
      <c r="C904" s="1293"/>
      <c r="D904" s="1293"/>
      <c r="E904" s="1293"/>
      <c r="F904" s="1293"/>
      <c r="G904" s="1293"/>
      <c r="H904" s="1023"/>
      <c r="I904" s="1147"/>
    </row>
    <row r="905" spans="1:9" ht="12.75" customHeight="1">
      <c r="A905" s="57"/>
      <c r="B905" s="57"/>
      <c r="C905" s="57"/>
      <c r="D905" s="57"/>
      <c r="E905" s="57"/>
      <c r="F905" s="57"/>
      <c r="G905" s="57"/>
      <c r="I905" s="490"/>
    </row>
    <row r="906" spans="1:9" ht="12.75" customHeight="1">
      <c r="A906" s="57"/>
      <c r="B906" s="57"/>
      <c r="C906" s="57"/>
      <c r="D906" s="1291" t="s">
        <v>1800</v>
      </c>
      <c r="E906" s="1291"/>
      <c r="F906" s="1291"/>
      <c r="G906" s="57"/>
      <c r="I906" s="490"/>
    </row>
    <row r="907" spans="1:9" ht="12.75" customHeight="1">
      <c r="A907" s="57"/>
      <c r="B907" s="57"/>
      <c r="C907" s="57"/>
      <c r="D907" s="976"/>
      <c r="E907" s="976"/>
      <c r="F907" s="976"/>
      <c r="G907" s="57"/>
      <c r="I907" s="490"/>
    </row>
    <row r="908" spans="1:9" ht="12.75" customHeight="1">
      <c r="A908" s="57"/>
      <c r="B908" s="485" t="s">
        <v>2760</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1" t="s">
        <v>1795</v>
      </c>
      <c r="E910" s="1291"/>
      <c r="F910" s="1291"/>
      <c r="G910" s="983"/>
      <c r="I910" s="490"/>
    </row>
    <row r="911" spans="1:9" ht="12.75" customHeight="1">
      <c r="A911" s="172"/>
      <c r="B911" s="172"/>
      <c r="C911" s="172"/>
      <c r="D911" s="1297" t="s">
        <v>1765</v>
      </c>
      <c r="E911" s="1297"/>
      <c r="F911" s="1297"/>
      <c r="G911" s="983"/>
      <c r="I911" s="490"/>
    </row>
    <row r="912" spans="1:9" ht="12.75" customHeight="1">
      <c r="A912" s="984"/>
      <c r="B912" s="984"/>
      <c r="C912" s="984"/>
      <c r="D912" s="2"/>
      <c r="E912" s="983"/>
      <c r="F912" s="983"/>
      <c r="G912" s="983"/>
      <c r="I912" s="490"/>
    </row>
    <row r="913" spans="1:9" ht="12.75" customHeight="1">
      <c r="A913" s="175"/>
      <c r="B913" s="485" t="s">
        <v>2760</v>
      </c>
      <c r="C913" s="354"/>
      <c r="D913" s="1269" t="s">
        <v>1769</v>
      </c>
      <c r="E913" s="1269"/>
      <c r="F913" s="1269"/>
      <c r="G913" s="3"/>
      <c r="I913" s="490"/>
    </row>
    <row r="914" spans="1:9" ht="12.75" customHeight="1">
      <c r="A914" s="354"/>
      <c r="B914" s="354"/>
      <c r="C914" s="354"/>
      <c r="D914" s="1269"/>
      <c r="E914" s="1269"/>
      <c r="F914" s="1269"/>
      <c r="G914" s="3"/>
      <c r="I914" s="490"/>
    </row>
    <row r="915" spans="1:9" ht="12.75" customHeight="1">
      <c r="A915" s="172"/>
      <c r="B915" s="172"/>
      <c r="C915" s="172"/>
      <c r="D915" s="1269" t="s">
        <v>1768</v>
      </c>
      <c r="E915" s="1269"/>
      <c r="F915" s="1269"/>
      <c r="G915" s="983"/>
      <c r="I915" s="490"/>
    </row>
    <row r="916" spans="1:9" ht="12.75" customHeight="1">
      <c r="A916" s="172"/>
      <c r="B916" s="172"/>
      <c r="C916" s="172"/>
      <c r="D916" s="1269"/>
      <c r="E916" s="1269"/>
      <c r="F916" s="1269"/>
      <c r="G916" s="983"/>
      <c r="I916" s="490"/>
    </row>
    <row r="917" spans="1:9" ht="12.75" customHeight="1">
      <c r="A917" s="172"/>
      <c r="B917" s="172"/>
      <c r="C917" s="172"/>
      <c r="D917" s="3"/>
      <c r="E917" s="3"/>
      <c r="F917" s="983"/>
      <c r="G917" s="983"/>
      <c r="I917" s="490"/>
    </row>
    <row r="918" spans="1:9" ht="12.75" customHeight="1">
      <c r="A918" s="175"/>
      <c r="B918" s="485" t="s">
        <v>2760</v>
      </c>
      <c r="C918" s="174"/>
      <c r="D918" s="1280" t="s">
        <v>1766</v>
      </c>
      <c r="E918" s="1280"/>
      <c r="F918" s="1280"/>
      <c r="G918" s="983"/>
      <c r="I918" s="490"/>
    </row>
    <row r="919" spans="1:9" ht="12.75" customHeight="1">
      <c r="A919" s="175"/>
      <c r="B919" s="175"/>
      <c r="C919" s="174"/>
      <c r="D919" s="1280"/>
      <c r="E919" s="1280"/>
      <c r="F919" s="1280"/>
      <c r="G919" s="983"/>
      <c r="I919" s="490"/>
    </row>
    <row r="920" spans="1:9" ht="12.75" customHeight="1">
      <c r="A920" s="175"/>
      <c r="B920" s="175"/>
      <c r="C920" s="174"/>
      <c r="D920" s="1280"/>
      <c r="E920" s="1280"/>
      <c r="F920" s="1280"/>
      <c r="G920" s="983"/>
      <c r="I920" s="490"/>
    </row>
    <row r="921" spans="1:9" ht="12.75" customHeight="1">
      <c r="A921" s="175"/>
      <c r="B921" s="175"/>
      <c r="C921" s="174"/>
      <c r="D921" s="1280"/>
      <c r="E921" s="1280"/>
      <c r="F921" s="1280"/>
      <c r="G921" s="983"/>
      <c r="I921" s="490"/>
    </row>
    <row r="922" spans="1:9" ht="12.75" customHeight="1">
      <c r="A922" s="175"/>
      <c r="B922" s="175"/>
      <c r="C922" s="174"/>
      <c r="D922" s="1280"/>
      <c r="E922" s="1280"/>
      <c r="F922" s="1280"/>
      <c r="G922" s="983"/>
      <c r="I922" s="490"/>
    </row>
    <row r="923" spans="1:9" ht="12.75" customHeight="1">
      <c r="A923" s="174"/>
      <c r="B923" s="174"/>
      <c r="C923" s="174"/>
      <c r="D923" s="1280"/>
      <c r="E923" s="1280"/>
      <c r="F923" s="1280"/>
      <c r="G923" s="983"/>
      <c r="I923" s="490"/>
    </row>
    <row r="924" spans="1:9" ht="12.75" customHeight="1">
      <c r="A924" s="174"/>
      <c r="B924" s="174"/>
      <c r="C924" s="174"/>
      <c r="D924" s="1280"/>
      <c r="E924" s="1280"/>
      <c r="F924" s="1280"/>
      <c r="G924" s="983"/>
      <c r="I924" s="490"/>
    </row>
    <row r="925" spans="1:9" ht="12.75" customHeight="1">
      <c r="A925" s="174"/>
      <c r="B925" s="174"/>
      <c r="C925" s="174"/>
      <c r="D925" s="1280"/>
      <c r="E925" s="1280"/>
      <c r="F925" s="1280"/>
      <c r="G925" s="983"/>
      <c r="I925" s="490"/>
    </row>
    <row r="926" spans="1:9" ht="12.75" customHeight="1">
      <c r="A926" s="174"/>
      <c r="B926" s="174"/>
      <c r="C926" s="174"/>
      <c r="D926" s="335"/>
      <c r="E926" s="335"/>
      <c r="F926" s="335"/>
      <c r="G926" s="983"/>
      <c r="I926" s="490"/>
    </row>
    <row r="927" spans="1:9" ht="12.75" customHeight="1">
      <c r="A927" s="984"/>
      <c r="B927" s="485" t="s">
        <v>2665</v>
      </c>
      <c r="C927" s="984"/>
      <c r="D927" s="1269" t="s">
        <v>1770</v>
      </c>
      <c r="E927" s="1269"/>
      <c r="F927" s="1269"/>
      <c r="G927" s="983"/>
      <c r="I927" s="490"/>
    </row>
    <row r="928" spans="1:9" ht="12.75" customHeight="1">
      <c r="A928" s="984"/>
      <c r="B928" s="984"/>
      <c r="C928" s="984"/>
      <c r="D928" s="1269"/>
      <c r="E928" s="1269"/>
      <c r="F928" s="1269"/>
      <c r="G928" s="983"/>
      <c r="I928" s="490"/>
    </row>
    <row r="929" spans="1:9" ht="12.75" customHeight="1">
      <c r="A929" s="984"/>
      <c r="B929" s="984"/>
      <c r="C929" s="984"/>
      <c r="D929" s="983"/>
      <c r="E929" s="983"/>
      <c r="F929" s="983"/>
      <c r="G929" s="983"/>
      <c r="I929" s="490"/>
    </row>
    <row r="930" spans="1:9" ht="12.75" customHeight="1">
      <c r="A930" s="984"/>
      <c r="B930" s="485" t="s">
        <v>2665</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2665</v>
      </c>
      <c r="C935" s="984"/>
      <c r="D935" s="1297" t="s">
        <v>2029</v>
      </c>
      <c r="E935" s="1297"/>
      <c r="F935" s="1297"/>
      <c r="G935" s="983"/>
      <c r="I935" s="490"/>
    </row>
    <row r="936" spans="1:9" ht="12.75" customHeight="1">
      <c r="A936" s="984"/>
      <c r="B936" s="984"/>
      <c r="C936" s="984"/>
      <c r="D936" s="118"/>
      <c r="E936" s="983"/>
      <c r="F936" s="983"/>
      <c r="G936" s="983"/>
      <c r="I936" s="490"/>
    </row>
    <row r="937" spans="1:9" ht="12.75" customHeight="1">
      <c r="A937" s="984"/>
      <c r="B937" s="485" t="s">
        <v>2665</v>
      </c>
      <c r="C937" s="984"/>
      <c r="D937" s="1297" t="s">
        <v>2030</v>
      </c>
      <c r="E937" s="1297"/>
      <c r="F937" s="1297"/>
      <c r="G937" s="983"/>
      <c r="I937" s="490"/>
    </row>
    <row r="938" spans="1:9" ht="12.75" customHeight="1">
      <c r="A938" s="174"/>
      <c r="B938" s="174"/>
      <c r="C938" s="174"/>
      <c r="D938" s="2"/>
      <c r="E938" s="3"/>
      <c r="F938" s="983"/>
      <c r="G938" s="983"/>
      <c r="I938" s="490"/>
    </row>
    <row r="939" spans="1:9" ht="12.75" customHeight="1">
      <c r="A939" s="992"/>
      <c r="B939" s="485" t="s">
        <v>2665</v>
      </c>
      <c r="C939" s="993"/>
      <c r="D939" s="1280" t="s">
        <v>1767</v>
      </c>
      <c r="E939" s="1280"/>
      <c r="F939" s="1280"/>
      <c r="G939" s="994"/>
      <c r="I939" s="490"/>
    </row>
    <row r="940" spans="1:9" ht="12.75" customHeight="1">
      <c r="A940" s="992"/>
      <c r="B940" s="992"/>
      <c r="C940" s="993"/>
      <c r="D940" s="1280"/>
      <c r="E940" s="1280"/>
      <c r="F940" s="1280"/>
      <c r="G940" s="994"/>
      <c r="I940" s="490"/>
    </row>
    <row r="941" spans="1:9" ht="12.75" customHeight="1">
      <c r="A941" s="992"/>
      <c r="B941" s="992"/>
      <c r="C941" s="993"/>
      <c r="D941" s="1280"/>
      <c r="E941" s="1280"/>
      <c r="F941" s="1280"/>
      <c r="G941" s="994"/>
      <c r="I941" s="490"/>
    </row>
    <row r="942" spans="1:9" ht="12.75" customHeight="1">
      <c r="A942" s="992"/>
      <c r="B942" s="992"/>
      <c r="C942" s="993"/>
      <c r="D942" s="1280"/>
      <c r="E942" s="1280"/>
      <c r="F942" s="1280"/>
      <c r="G942" s="994"/>
      <c r="I942" s="490"/>
    </row>
    <row r="943" spans="1:9" ht="12.75" customHeight="1">
      <c r="A943" s="992"/>
      <c r="B943" s="992"/>
      <c r="C943" s="993"/>
      <c r="D943" s="1280"/>
      <c r="E943" s="1280"/>
      <c r="F943" s="1280"/>
      <c r="G943" s="994"/>
      <c r="I943" s="490"/>
    </row>
    <row r="944" spans="1:9" ht="12.75" customHeight="1">
      <c r="A944" s="992"/>
      <c r="B944" s="992"/>
      <c r="C944" s="993"/>
      <c r="D944" s="1280"/>
      <c r="E944" s="1280"/>
      <c r="F944" s="1280"/>
      <c r="G944" s="994"/>
      <c r="I944" s="490"/>
    </row>
    <row r="945" spans="1:9" ht="12.75" customHeight="1">
      <c r="A945" s="992"/>
      <c r="B945" s="992"/>
      <c r="C945" s="993"/>
      <c r="D945" s="1280"/>
      <c r="E945" s="1280"/>
      <c r="F945" s="1280"/>
      <c r="G945" s="994"/>
      <c r="I945" s="490"/>
    </row>
    <row r="946" spans="1:9" ht="12.75" customHeight="1">
      <c r="A946" s="992"/>
      <c r="B946" s="992"/>
      <c r="C946" s="993"/>
      <c r="D946" s="1280"/>
      <c r="E946" s="1280"/>
      <c r="F946" s="1280"/>
      <c r="G946" s="994"/>
      <c r="I946" s="490"/>
    </row>
    <row r="947" spans="1:9" ht="12.75" customHeight="1">
      <c r="A947" s="992"/>
      <c r="B947" s="992"/>
      <c r="C947" s="993"/>
      <c r="D947" s="1280"/>
      <c r="E947" s="1280"/>
      <c r="F947" s="1280"/>
      <c r="G947" s="994"/>
      <c r="I947" s="490"/>
    </row>
    <row r="948" spans="1:9" ht="12.75" customHeight="1">
      <c r="A948" s="174"/>
      <c r="B948" s="174"/>
      <c r="C948" s="174"/>
      <c r="D948" s="2"/>
      <c r="E948" s="3"/>
      <c r="F948" s="983"/>
      <c r="G948" s="983"/>
      <c r="I948" s="490"/>
    </row>
    <row r="949" spans="1:9" ht="12.75" customHeight="1">
      <c r="A949" s="175"/>
      <c r="B949" s="485" t="s">
        <v>2760</v>
      </c>
      <c r="C949" s="174"/>
      <c r="D949" s="1305" t="s">
        <v>1861</v>
      </c>
      <c r="E949" s="1305"/>
      <c r="F949" s="1305"/>
      <c r="G949" s="983"/>
      <c r="I949" s="490"/>
    </row>
    <row r="950" spans="1:9" ht="12.75" customHeight="1">
      <c r="A950" s="175"/>
      <c r="B950" s="175"/>
      <c r="C950" s="174"/>
      <c r="D950" s="1305"/>
      <c r="E950" s="1305"/>
      <c r="F950" s="1305"/>
      <c r="G950" s="983"/>
      <c r="I950" s="490"/>
    </row>
    <row r="951" spans="1:9" ht="12.75" customHeight="1">
      <c r="A951" s="175"/>
      <c r="B951" s="175"/>
      <c r="C951" s="174"/>
      <c r="D951" s="1305"/>
      <c r="E951" s="1305"/>
      <c r="F951" s="1305"/>
      <c r="G951" s="983"/>
      <c r="I951" s="490"/>
    </row>
    <row r="952" spans="1:9" ht="12.75" customHeight="1">
      <c r="A952" s="175"/>
      <c r="B952" s="175"/>
      <c r="C952" s="174"/>
      <c r="D952" s="1305"/>
      <c r="E952" s="1305"/>
      <c r="F952" s="1305"/>
      <c r="G952" s="983"/>
      <c r="I952" s="490"/>
    </row>
    <row r="953" spans="1:9" ht="12.75" customHeight="1">
      <c r="A953" s="175"/>
      <c r="B953" s="175"/>
      <c r="C953" s="174"/>
      <c r="D953" s="1305"/>
      <c r="E953" s="1305"/>
      <c r="F953" s="1305"/>
      <c r="G953" s="983"/>
      <c r="I953" s="490"/>
    </row>
    <row r="954" spans="1:9" ht="12.75" customHeight="1">
      <c r="A954" s="175"/>
      <c r="B954" s="175"/>
      <c r="C954" s="174"/>
      <c r="D954" s="1305"/>
      <c r="E954" s="1305"/>
      <c r="F954" s="1305"/>
      <c r="G954" s="983"/>
      <c r="I954" s="490"/>
    </row>
    <row r="955" spans="1:9" ht="12.75" customHeight="1">
      <c r="A955" s="175"/>
      <c r="B955" s="175"/>
      <c r="C955" s="174"/>
      <c r="D955" s="1305"/>
      <c r="E955" s="1305"/>
      <c r="F955" s="1305"/>
      <c r="G955" s="983"/>
      <c r="I955" s="490"/>
    </row>
    <row r="956" spans="1:9" ht="12.75" customHeight="1">
      <c r="A956" s="175"/>
      <c r="B956" s="175"/>
      <c r="C956" s="174"/>
      <c r="D956" s="1021"/>
      <c r="E956" s="1021"/>
      <c r="F956" s="1021"/>
      <c r="G956" s="983"/>
      <c r="I956" s="490"/>
    </row>
    <row r="957" spans="1:9" ht="12.75" customHeight="1">
      <c r="A957" s="175"/>
      <c r="B957" s="485" t="s">
        <v>2760</v>
      </c>
      <c r="C957" s="174"/>
      <c r="D957" s="1279" t="s">
        <v>2094</v>
      </c>
      <c r="E957" s="1279"/>
      <c r="F957" s="1279"/>
      <c r="G957" s="983"/>
      <c r="I957" s="490"/>
    </row>
    <row r="958" spans="1:9" ht="12.75" customHeight="1">
      <c r="A958" s="175"/>
      <c r="B958" s="175"/>
      <c r="C958" s="174"/>
      <c r="D958" s="1279"/>
      <c r="E958" s="1279"/>
      <c r="F958" s="1279"/>
      <c r="G958" s="983"/>
      <c r="I958" s="490"/>
    </row>
    <row r="959" spans="1:9" ht="12.75" customHeight="1">
      <c r="A959" s="175"/>
      <c r="B959" s="175"/>
      <c r="C959" s="174"/>
      <c r="D959" s="1279"/>
      <c r="E959" s="1279"/>
      <c r="F959" s="1279"/>
      <c r="G959" s="983"/>
      <c r="I959" s="490"/>
    </row>
    <row r="960" spans="1:9" ht="12.75" customHeight="1">
      <c r="A960" s="175"/>
      <c r="B960" s="175"/>
      <c r="C960" s="174"/>
      <c r="D960" s="1279"/>
      <c r="E960" s="1279"/>
      <c r="F960" s="1279"/>
      <c r="G960" s="983"/>
      <c r="I960" s="490"/>
    </row>
    <row r="961" spans="1:9" ht="12.75" customHeight="1">
      <c r="A961" s="175"/>
      <c r="B961" s="175"/>
      <c r="C961" s="174"/>
      <c r="D961" s="1279"/>
      <c r="E961" s="1279"/>
      <c r="F961" s="1279"/>
      <c r="G961" s="983"/>
      <c r="I961" s="490"/>
    </row>
    <row r="962" spans="1:9" ht="12.75" customHeight="1">
      <c r="A962" s="175"/>
      <c r="B962" s="175"/>
      <c r="C962" s="174"/>
      <c r="D962" s="1279"/>
      <c r="E962" s="1279"/>
      <c r="F962" s="1279"/>
      <c r="G962" s="983"/>
      <c r="I962" s="490"/>
    </row>
    <row r="963" spans="1:9" ht="12.75" customHeight="1">
      <c r="A963" s="175"/>
      <c r="B963" s="175"/>
      <c r="C963" s="174"/>
      <c r="D963" s="1021"/>
      <c r="E963" s="1021"/>
      <c r="F963" s="1021"/>
      <c r="G963" s="983"/>
      <c r="I963" s="490"/>
    </row>
    <row r="964" spans="1:9" ht="12.75" customHeight="1">
      <c r="A964" s="984"/>
      <c r="B964" s="485" t="s">
        <v>2665</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2760</v>
      </c>
      <c r="C969" s="174"/>
      <c r="D969" s="1280" t="s">
        <v>1860</v>
      </c>
      <c r="E969" s="1280"/>
      <c r="F969" s="1280"/>
      <c r="G969" s="983"/>
      <c r="I969" s="490"/>
    </row>
    <row r="970" spans="1:9" ht="12.75" customHeight="1">
      <c r="A970" s="175"/>
      <c r="B970" s="175"/>
      <c r="C970" s="174"/>
      <c r="D970" s="1280"/>
      <c r="E970" s="1280"/>
      <c r="F970" s="1280"/>
      <c r="G970" s="983"/>
      <c r="I970" s="490"/>
    </row>
    <row r="971" spans="1:9" ht="12.75" customHeight="1">
      <c r="A971" s="175"/>
      <c r="B971" s="175"/>
      <c r="C971" s="174"/>
      <c r="D971" s="1280"/>
      <c r="E971" s="1280"/>
      <c r="F971" s="1280"/>
      <c r="G971" s="983"/>
      <c r="I971" s="490"/>
    </row>
    <row r="972" spans="1:9" ht="12.75" customHeight="1">
      <c r="A972" s="175"/>
      <c r="B972" s="175"/>
      <c r="C972" s="174"/>
      <c r="D972" s="1280"/>
      <c r="E972" s="1280"/>
      <c r="F972" s="1280"/>
      <c r="G972" s="983"/>
      <c r="I972" s="490"/>
    </row>
    <row r="973" spans="1:9" ht="12.75" customHeight="1">
      <c r="A973" s="984"/>
      <c r="B973" s="984"/>
      <c r="C973" s="984"/>
      <c r="D973" s="975"/>
      <c r="E973" s="975"/>
      <c r="F973" s="975"/>
      <c r="G973" s="975"/>
      <c r="I973" s="490"/>
    </row>
    <row r="974" spans="1:9" ht="12.75" customHeight="1">
      <c r="A974" s="354"/>
      <c r="B974" s="354"/>
      <c r="C974" s="354"/>
      <c r="D974" s="1296" t="s">
        <v>1773</v>
      </c>
      <c r="E974" s="1296"/>
      <c r="F974" s="1296"/>
      <c r="G974" s="3"/>
      <c r="I974" s="490"/>
    </row>
    <row r="975" spans="1:9" ht="12.75" customHeight="1">
      <c r="A975" s="175"/>
      <c r="B975" s="485" t="s">
        <v>2665</v>
      </c>
      <c r="C975" s="354"/>
      <c r="D975" s="1297" t="s">
        <v>1796</v>
      </c>
      <c r="E975" s="1297"/>
      <c r="F975" s="1297"/>
      <c r="G975" s="3"/>
      <c r="I975" s="490"/>
    </row>
    <row r="976" spans="1:9" ht="12.75" customHeight="1">
      <c r="A976" s="354"/>
      <c r="B976" s="354"/>
      <c r="C976" s="354"/>
      <c r="D976" s="3"/>
      <c r="E976" s="3"/>
      <c r="F976" s="3"/>
      <c r="G976" s="3"/>
      <c r="I976" s="490"/>
    </row>
    <row r="977" spans="1:9" ht="12.75" customHeight="1">
      <c r="A977" s="354"/>
      <c r="B977" s="354"/>
      <c r="C977" s="354"/>
      <c r="D977" s="1296" t="s">
        <v>1774</v>
      </c>
      <c r="E977" s="1296"/>
      <c r="F977" s="1296"/>
      <c r="G977"/>
      <c r="I977" s="490"/>
    </row>
    <row r="978" spans="1:9" ht="12.75" customHeight="1">
      <c r="A978" s="175"/>
      <c r="B978" s="485" t="s">
        <v>2665</v>
      </c>
      <c r="C978" s="354"/>
      <c r="D978" s="1269" t="s">
        <v>2031</v>
      </c>
      <c r="E978" s="1269"/>
      <c r="F978" s="1269"/>
      <c r="G978"/>
      <c r="I978" s="490"/>
    </row>
    <row r="979" spans="1:9" ht="12.75" customHeight="1">
      <c r="A979" s="175"/>
      <c r="B979" s="175"/>
      <c r="C979" s="354"/>
      <c r="D979" s="1269"/>
      <c r="E979" s="1269"/>
      <c r="F979" s="1269"/>
      <c r="G979"/>
      <c r="I979" s="490"/>
    </row>
    <row r="980" spans="1:9" ht="12.75" customHeight="1">
      <c r="A980" s="175"/>
      <c r="B980" s="175"/>
      <c r="C980" s="354"/>
      <c r="D980" s="1269"/>
      <c r="E980" s="1269"/>
      <c r="F980" s="1269"/>
      <c r="G980"/>
      <c r="I980" s="490"/>
    </row>
    <row r="981" spans="1:9" ht="12.75" customHeight="1">
      <c r="A981" s="175"/>
      <c r="B981" s="175"/>
      <c r="C981" s="354"/>
      <c r="D981" s="1269"/>
      <c r="E981" s="1269"/>
      <c r="F981" s="1269"/>
      <c r="G981"/>
      <c r="I981" s="490"/>
    </row>
    <row r="982" spans="1:9" ht="12.75" customHeight="1">
      <c r="A982" s="175"/>
      <c r="B982" s="175"/>
      <c r="C982" s="354"/>
      <c r="D982" s="1269"/>
      <c r="E982" s="1269"/>
      <c r="F982" s="1269"/>
      <c r="G982"/>
      <c r="I982" s="490"/>
    </row>
    <row r="983" spans="1:9" ht="12.75" customHeight="1">
      <c r="A983" s="175"/>
      <c r="B983" s="175"/>
      <c r="C983" s="354"/>
      <c r="D983" s="1269"/>
      <c r="E983" s="1269"/>
      <c r="F983" s="1269"/>
      <c r="G983"/>
      <c r="I983" s="490"/>
    </row>
    <row r="984" spans="1:9" ht="12.75" customHeight="1">
      <c r="A984" s="175"/>
      <c r="B984" s="175"/>
      <c r="C984" s="354"/>
      <c r="D984" s="1269"/>
      <c r="E984" s="1269"/>
      <c r="F984" s="1269"/>
      <c r="G984"/>
      <c r="I984" s="490"/>
    </row>
    <row r="985" spans="1:9" ht="12.75" customHeight="1">
      <c r="A985" s="175"/>
      <c r="B985" s="175"/>
      <c r="C985" s="354"/>
      <c r="D985" s="1269"/>
      <c r="E985" s="1269"/>
      <c r="F985" s="1269"/>
      <c r="G985"/>
      <c r="I985" s="490"/>
    </row>
    <row r="986" spans="1:9" ht="12.75" customHeight="1">
      <c r="A986" s="175"/>
      <c r="B986" s="175"/>
      <c r="C986" s="354"/>
      <c r="D986" s="1269"/>
      <c r="E986" s="1269"/>
      <c r="F986" s="1269"/>
      <c r="G986"/>
      <c r="I986" s="490"/>
    </row>
    <row r="987" spans="1:9" ht="12.75" customHeight="1">
      <c r="A987" s="175"/>
      <c r="B987" s="175"/>
      <c r="C987" s="354"/>
      <c r="D987" s="1269"/>
      <c r="E987" s="1269"/>
      <c r="F987" s="1269"/>
      <c r="G987"/>
      <c r="I987" s="490"/>
    </row>
    <row r="988" spans="1:9" ht="12.75" customHeight="1">
      <c r="A988" s="175"/>
      <c r="B988" s="175"/>
      <c r="C988" s="354"/>
      <c r="D988" s="1269"/>
      <c r="E988" s="1269"/>
      <c r="F988" s="1269"/>
      <c r="G988"/>
      <c r="I988" s="490"/>
    </row>
    <row r="989" spans="1:9" ht="12.75" customHeight="1">
      <c r="A989" s="175"/>
      <c r="B989" s="175"/>
      <c r="C989" s="354"/>
      <c r="D989" s="1269"/>
      <c r="E989" s="1269"/>
      <c r="F989" s="1269"/>
      <c r="G989"/>
      <c r="I989" s="490"/>
    </row>
    <row r="990" spans="1:9" ht="12.75" customHeight="1">
      <c r="A990" s="175"/>
      <c r="B990" s="175"/>
      <c r="C990" s="354"/>
      <c r="D990" s="1269"/>
      <c r="E990" s="1269"/>
      <c r="F990" s="1269"/>
      <c r="G990"/>
      <c r="I990" s="490"/>
    </row>
    <row r="991" spans="1:9" ht="12.75" customHeight="1">
      <c r="A991" s="175"/>
      <c r="B991" s="175"/>
      <c r="C991" s="354"/>
      <c r="D991" s="1269"/>
      <c r="E991" s="1269"/>
      <c r="F991" s="1269"/>
      <c r="G991"/>
      <c r="I991" s="490"/>
    </row>
    <row r="992" spans="1:9" ht="12.75" customHeight="1">
      <c r="A992" s="175"/>
      <c r="B992" s="175"/>
      <c r="C992" s="354"/>
      <c r="D992" s="1269"/>
      <c r="E992" s="1269"/>
      <c r="F992" s="1269"/>
      <c r="G992" s="3"/>
      <c r="I992" s="490"/>
    </row>
    <row r="993" spans="1:9" ht="12.75" customHeight="1">
      <c r="A993" s="354"/>
      <c r="B993" s="354"/>
      <c r="C993" s="354"/>
      <c r="D993" s="3"/>
      <c r="E993" s="3"/>
      <c r="F993" s="3"/>
      <c r="G993" s="3"/>
      <c r="I993" s="490"/>
    </row>
    <row r="994" spans="1:9" ht="12.75" customHeight="1">
      <c r="A994" s="1293" t="s">
        <v>1775</v>
      </c>
      <c r="B994" s="1293"/>
      <c r="C994" s="1293"/>
      <c r="D994" s="1293"/>
      <c r="E994" s="1293"/>
      <c r="F994" s="1293"/>
      <c r="G994" s="1293"/>
      <c r="H994" s="1023"/>
      <c r="I994" s="1147"/>
    </row>
    <row r="995" spans="1:9" ht="12.75" customHeight="1">
      <c r="A995" s="118"/>
      <c r="B995" s="118"/>
      <c r="C995" s="354"/>
      <c r="D995" s="3"/>
      <c r="E995" s="3"/>
      <c r="F995" s="3"/>
      <c r="G995" s="3"/>
      <c r="I995" s="490"/>
    </row>
    <row r="996" spans="1:9" ht="12.75" customHeight="1">
      <c r="A996" s="354"/>
      <c r="B996" s="354"/>
      <c r="C996" s="984"/>
      <c r="D996" s="1296" t="s">
        <v>1797</v>
      </c>
      <c r="E996" s="1296"/>
      <c r="F996" s="1296"/>
      <c r="G996" s="3"/>
      <c r="I996" s="490"/>
    </row>
    <row r="997" spans="1:9" ht="12.75" customHeight="1">
      <c r="A997" s="172"/>
      <c r="B997" s="172"/>
      <c r="C997" s="172"/>
      <c r="D997" s="1297" t="s">
        <v>1776</v>
      </c>
      <c r="E997" s="1297"/>
      <c r="F997" s="1297"/>
      <c r="G997" s="3"/>
      <c r="I997" s="490"/>
    </row>
    <row r="998" spans="1:9" ht="12.75" customHeight="1">
      <c r="A998" s="172"/>
      <c r="B998" s="172"/>
      <c r="C998" s="172"/>
      <c r="D998" s="3"/>
      <c r="E998" s="3"/>
      <c r="F998" s="983"/>
      <c r="G998"/>
      <c r="I998" s="490"/>
    </row>
    <row r="999" spans="1:9" ht="12.75" customHeight="1">
      <c r="A999" s="354"/>
      <c r="B999" s="485" t="s">
        <v>2760</v>
      </c>
      <c r="C999" s="354"/>
      <c r="D999" s="1298" t="s">
        <v>1889</v>
      </c>
      <c r="E999" s="1298"/>
      <c r="F999" s="1298"/>
      <c r="G999"/>
      <c r="I999" s="490"/>
    </row>
    <row r="1000" spans="1:9" ht="12.75" customHeight="1">
      <c r="A1000" s="354"/>
      <c r="B1000" s="354"/>
      <c r="C1000" s="354"/>
      <c r="D1000" s="1298"/>
      <c r="E1000" s="1298"/>
      <c r="F1000" s="1298"/>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4" t="s">
        <v>1888</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2665</v>
      </c>
      <c r="C1007" s="174"/>
      <c r="D1007" s="1269" t="s">
        <v>1777</v>
      </c>
      <c r="E1007" s="1269"/>
      <c r="F1007" s="1269"/>
      <c r="G1007"/>
      <c r="I1007" s="490"/>
    </row>
    <row r="1008" spans="1:9" ht="12.75" customHeight="1">
      <c r="A1008" s="174"/>
      <c r="B1008" s="174"/>
      <c r="C1008" s="174"/>
      <c r="D1008" s="1269"/>
      <c r="E1008" s="1269"/>
      <c r="F1008" s="1269"/>
      <c r="G1008"/>
      <c r="I1008" s="490"/>
    </row>
    <row r="1009" spans="1:9" ht="12.75" customHeight="1">
      <c r="A1009" s="174"/>
      <c r="B1009" s="174"/>
      <c r="C1009" s="174"/>
      <c r="D1009" s="1269"/>
      <c r="E1009" s="1269"/>
      <c r="F1009" s="1269"/>
      <c r="G1009"/>
      <c r="I1009" s="490"/>
    </row>
    <row r="1010" spans="1:9" ht="12.75" customHeight="1">
      <c r="A1010" s="174"/>
      <c r="B1010" s="174"/>
      <c r="C1010" s="174"/>
      <c r="D1010" s="1269"/>
      <c r="E1010" s="1269"/>
      <c r="F1010" s="1269"/>
      <c r="G1010"/>
      <c r="I1010" s="490"/>
    </row>
    <row r="1011" spans="1:9" ht="12.75" customHeight="1">
      <c r="A1011" s="174"/>
      <c r="B1011" s="174"/>
      <c r="C1011" s="174"/>
      <c r="D1011" s="441"/>
      <c r="E1011" s="441"/>
      <c r="F1011" s="441"/>
      <c r="G1011"/>
      <c r="I1011" s="490"/>
    </row>
    <row r="1012" spans="1:9" ht="12.75" customHeight="1">
      <c r="A1012" s="174"/>
      <c r="B1012" s="485" t="s">
        <v>2665</v>
      </c>
      <c r="C1012" s="174"/>
      <c r="D1012" s="1269" t="s">
        <v>2185</v>
      </c>
      <c r="E1012" s="1269"/>
      <c r="F1012" s="1269"/>
      <c r="G1012"/>
      <c r="I1012" s="490"/>
    </row>
    <row r="1013" spans="1:9" ht="12.75" customHeight="1">
      <c r="A1013" s="174"/>
      <c r="B1013" s="174"/>
      <c r="C1013" s="174"/>
      <c r="D1013" s="1269"/>
      <c r="E1013" s="1269"/>
      <c r="F1013" s="1269"/>
      <c r="G1013"/>
      <c r="I1013" s="490"/>
    </row>
    <row r="1014" spans="1:9" ht="12.75" customHeight="1">
      <c r="A1014" s="174"/>
      <c r="B1014" s="174"/>
      <c r="C1014" s="174"/>
      <c r="D1014" s="441"/>
      <c r="E1014" s="441"/>
      <c r="F1014" s="441"/>
      <c r="G1014"/>
      <c r="I1014" s="490"/>
    </row>
    <row r="1015" spans="1:9" ht="12.75" customHeight="1">
      <c r="A1015" s="175"/>
      <c r="B1015" s="485" t="s">
        <v>2760</v>
      </c>
      <c r="C1015" s="354"/>
      <c r="D1015" s="1297" t="s">
        <v>1778</v>
      </c>
      <c r="E1015" s="1297"/>
      <c r="F1015" s="1297"/>
      <c r="G1015"/>
      <c r="I1015" s="490"/>
    </row>
    <row r="1016" spans="1:9" ht="12.75" customHeight="1">
      <c r="A1016" s="354"/>
      <c r="B1016" s="354"/>
      <c r="C1016" s="354"/>
      <c r="D1016" s="3"/>
      <c r="E1016" s="3"/>
      <c r="F1016" s="3"/>
      <c r="G1016"/>
      <c r="I1016" s="490"/>
    </row>
    <row r="1017" spans="1:9" ht="12.75" customHeight="1">
      <c r="A1017" s="175"/>
      <c r="B1017" s="485" t="s">
        <v>2665</v>
      </c>
      <c r="C1017" s="354"/>
      <c r="D1017" s="1297" t="s">
        <v>1779</v>
      </c>
      <c r="E1017" s="1297"/>
      <c r="F1017" s="1297"/>
      <c r="G1017"/>
      <c r="I1017" s="490"/>
    </row>
    <row r="1018" spans="1:9" ht="12.75" customHeight="1">
      <c r="A1018" s="354"/>
      <c r="B1018" s="354"/>
      <c r="C1018" s="354"/>
      <c r="D1018" s="118"/>
      <c r="E1018" s="3"/>
      <c r="F1018" s="3"/>
      <c r="G1018"/>
      <c r="I1018" s="490"/>
    </row>
    <row r="1019" spans="1:9" ht="12.75" customHeight="1">
      <c r="A1019" s="175"/>
      <c r="B1019" s="485" t="s">
        <v>2665</v>
      </c>
      <c r="C1019" s="354"/>
      <c r="D1019" s="1297" t="s">
        <v>1780</v>
      </c>
      <c r="E1019" s="1297"/>
      <c r="F1019" s="1297"/>
      <c r="G1019"/>
      <c r="I1019" s="490"/>
    </row>
    <row r="1020" spans="1:9" ht="12.75" customHeight="1">
      <c r="A1020" s="354"/>
      <c r="B1020" s="354"/>
      <c r="C1020" s="354"/>
      <c r="D1020" s="118"/>
      <c r="E1020" s="3"/>
      <c r="F1020" s="3"/>
      <c r="G1020"/>
      <c r="I1020" s="490"/>
    </row>
    <row r="1021" spans="1:9" ht="12.75" customHeight="1">
      <c r="A1021" s="175"/>
      <c r="B1021" s="485" t="s">
        <v>2665</v>
      </c>
      <c r="C1021" s="354"/>
      <c r="D1021" s="1269" t="s">
        <v>1781</v>
      </c>
      <c r="E1021" s="1269"/>
      <c r="F1021" s="1269"/>
      <c r="G1021"/>
      <c r="I1021" s="490"/>
    </row>
    <row r="1022" spans="1:9" ht="12.75" customHeight="1">
      <c r="A1022" s="175"/>
      <c r="B1022" s="175"/>
      <c r="C1022" s="354"/>
      <c r="D1022" s="1269"/>
      <c r="E1022" s="1269"/>
      <c r="F1022" s="1269"/>
      <c r="G1022"/>
      <c r="I1022" s="490"/>
    </row>
    <row r="1023" spans="1:9" ht="12.75" customHeight="1">
      <c r="A1023" s="175"/>
      <c r="B1023" s="175"/>
      <c r="C1023" s="354"/>
      <c r="D1023" s="118"/>
      <c r="E1023" s="3"/>
      <c r="F1023" s="3"/>
      <c r="G1023" s="3"/>
      <c r="I1023" s="490"/>
    </row>
    <row r="1024" spans="1:9" ht="12.75" customHeight="1">
      <c r="A1024" s="254"/>
      <c r="B1024" s="485" t="s">
        <v>2665</v>
      </c>
      <c r="C1024" s="995"/>
      <c r="D1024" s="1299" t="s">
        <v>1782</v>
      </c>
      <c r="E1024" s="1299"/>
      <c r="F1024" s="1299"/>
      <c r="G1024" s="996"/>
      <c r="I1024" s="490"/>
    </row>
    <row r="1025" spans="1:9" ht="12.75" customHeight="1">
      <c r="A1025" s="995"/>
      <c r="B1025" s="995"/>
      <c r="C1025" s="995"/>
      <c r="D1025" s="1299"/>
      <c r="E1025" s="1299"/>
      <c r="F1025" s="1299"/>
      <c r="G1025" s="996"/>
      <c r="I1025" s="490"/>
    </row>
    <row r="1026" spans="1:9" ht="12.75" customHeight="1">
      <c r="A1026" s="995"/>
      <c r="B1026" s="995"/>
      <c r="C1026" s="995"/>
      <c r="D1026" s="979"/>
      <c r="E1026" s="996"/>
      <c r="F1026" s="996"/>
      <c r="G1026" s="996"/>
      <c r="I1026" s="490"/>
    </row>
    <row r="1027" spans="1:9" ht="12.75" customHeight="1">
      <c r="A1027" s="254"/>
      <c r="B1027" s="485" t="s">
        <v>2665</v>
      </c>
      <c r="C1027" s="995"/>
      <c r="D1027" s="1292" t="s">
        <v>1783</v>
      </c>
      <c r="E1027" s="1292"/>
      <c r="F1027" s="1292"/>
      <c r="G1027" s="996"/>
      <c r="I1027" s="490"/>
    </row>
    <row r="1028" spans="1:9" ht="12.75" customHeight="1">
      <c r="A1028" s="995"/>
      <c r="B1028" s="995"/>
      <c r="C1028" s="995"/>
      <c r="D1028" s="979"/>
      <c r="E1028" s="996"/>
      <c r="F1028" s="996"/>
      <c r="G1028" s="996"/>
      <c r="I1028" s="490"/>
    </row>
    <row r="1029" spans="1:9" ht="12.75" customHeight="1">
      <c r="A1029" s="175"/>
      <c r="B1029" s="485" t="s">
        <v>2760</v>
      </c>
      <c r="C1029" s="354"/>
      <c r="D1029" s="1297" t="s">
        <v>1784</v>
      </c>
      <c r="E1029" s="1297"/>
      <c r="F1029" s="1297"/>
      <c r="G1029" s="3"/>
      <c r="I1029" s="490"/>
    </row>
    <row r="1030" spans="1:9" ht="12.75" customHeight="1">
      <c r="A1030" s="175"/>
      <c r="B1030" s="175"/>
      <c r="C1030" s="354"/>
      <c r="D1030" s="118"/>
      <c r="E1030" s="3"/>
      <c r="F1030" s="3"/>
      <c r="G1030" s="3"/>
      <c r="I1030" s="490"/>
    </row>
    <row r="1031" spans="1:9" ht="12.75" customHeight="1">
      <c r="A1031" s="175"/>
      <c r="B1031" s="485" t="s">
        <v>2665</v>
      </c>
      <c r="C1031" s="354"/>
      <c r="D1031" s="1269" t="s">
        <v>1785</v>
      </c>
      <c r="E1031" s="1269"/>
      <c r="F1031" s="1269"/>
      <c r="G1031" s="3"/>
      <c r="I1031" s="490"/>
    </row>
    <row r="1032" spans="1:9" ht="12.75" customHeight="1">
      <c r="A1032" s="175"/>
      <c r="B1032" s="175"/>
      <c r="C1032" s="354"/>
      <c r="D1032" s="1269"/>
      <c r="E1032" s="1269"/>
      <c r="F1032" s="1269"/>
      <c r="G1032" s="3"/>
      <c r="I1032" s="490"/>
    </row>
    <row r="1033" spans="1:9" ht="12.75" customHeight="1">
      <c r="A1033" s="354"/>
      <c r="B1033" s="354"/>
      <c r="C1033" s="354"/>
      <c r="D1033" s="3"/>
      <c r="E1033" s="3"/>
      <c r="F1033" s="3"/>
      <c r="G1033" s="3"/>
      <c r="I1033" s="490"/>
    </row>
    <row r="1034" spans="1:9" ht="12.75" customHeight="1">
      <c r="A1034" s="1293" t="s">
        <v>1786</v>
      </c>
      <c r="B1034" s="1293"/>
      <c r="C1034" s="1293"/>
      <c r="D1034" s="1293"/>
      <c r="E1034" s="1293"/>
      <c r="F1034" s="1293"/>
      <c r="G1034" s="1293"/>
      <c r="H1034" s="1023"/>
      <c r="I1034" s="1147"/>
    </row>
    <row r="1035" spans="1:9" ht="12.75" customHeight="1">
      <c r="A1035" s="354"/>
      <c r="B1035" s="354"/>
      <c r="C1035" s="354"/>
      <c r="D1035" s="3"/>
      <c r="E1035" s="3"/>
      <c r="F1035" s="3"/>
      <c r="G1035" s="3"/>
      <c r="I1035" s="490"/>
    </row>
    <row r="1036" spans="1:9" ht="12.75" customHeight="1">
      <c r="A1036" s="354"/>
      <c r="B1036" s="354"/>
      <c r="C1036" s="354"/>
      <c r="D1036" s="1291" t="s">
        <v>1787</v>
      </c>
      <c r="E1036" s="1291"/>
      <c r="F1036" s="1291"/>
      <c r="G1036" s="3"/>
      <c r="I1036" s="490"/>
    </row>
    <row r="1037" spans="1:9" ht="12.75" customHeight="1">
      <c r="A1037" s="354"/>
      <c r="B1037" s="354"/>
      <c r="C1037" s="354"/>
      <c r="D1037" s="1292" t="s">
        <v>1788</v>
      </c>
      <c r="E1037" s="1292"/>
      <c r="F1037" s="1292"/>
      <c r="G1037" s="3"/>
      <c r="I1037" s="490"/>
    </row>
    <row r="1038" spans="1:9" ht="12.75" customHeight="1">
      <c r="A1038" s="172"/>
      <c r="B1038" s="172"/>
      <c r="C1038" s="172"/>
      <c r="D1038" s="3"/>
      <c r="E1038" s="3"/>
      <c r="F1038" s="3"/>
      <c r="G1038" s="3"/>
      <c r="I1038" s="490"/>
    </row>
    <row r="1039" spans="1:9" ht="12.75" customHeight="1">
      <c r="A1039" s="175"/>
      <c r="B1039" s="175"/>
      <c r="C1039" s="174"/>
      <c r="D1039" s="1291" t="s">
        <v>1802</v>
      </c>
      <c r="E1039" s="1291"/>
      <c r="F1039" s="1291"/>
      <c r="G1039" s="3"/>
      <c r="I1039" s="490"/>
    </row>
    <row r="1040" spans="1:9" ht="12.75" customHeight="1">
      <c r="A1040" s="354"/>
      <c r="B1040" s="485" t="s">
        <v>2760</v>
      </c>
      <c r="C1040" s="354"/>
      <c r="D1040" s="1292" t="s">
        <v>1271</v>
      </c>
      <c r="E1040" s="1292"/>
      <c r="F1040" s="1292"/>
      <c r="G1040" s="3"/>
      <c r="I1040" s="490"/>
    </row>
    <row r="1041" spans="1:9" ht="12.75" customHeight="1">
      <c r="A1041" s="354"/>
      <c r="B1041" s="175"/>
      <c r="C1041" s="354"/>
      <c r="D1041" s="1292" t="s">
        <v>1789</v>
      </c>
      <c r="E1041" s="1292"/>
      <c r="F1041" s="1292"/>
      <c r="G1041" s="3"/>
      <c r="I1041" s="490"/>
    </row>
    <row r="1042" spans="1:9" ht="12.75" customHeight="1">
      <c r="A1042" s="354"/>
      <c r="B1042" s="354"/>
      <c r="C1042" s="354"/>
      <c r="D1042" s="1292"/>
      <c r="E1042" s="1292"/>
      <c r="F1042" s="1292"/>
      <c r="G1042" s="3"/>
      <c r="I1042" s="490"/>
    </row>
    <row r="1043" spans="1:9" ht="12.75" customHeight="1">
      <c r="A1043" s="1293" t="s">
        <v>1798</v>
      </c>
      <c r="B1043" s="1293"/>
      <c r="C1043" s="1293"/>
      <c r="D1043" s="1293"/>
      <c r="E1043" s="1293"/>
      <c r="F1043" s="1293"/>
      <c r="G1043" s="1293"/>
      <c r="H1043" s="1023"/>
      <c r="I1043" s="1147"/>
    </row>
    <row r="1044" spans="1:9" ht="12.75" customHeight="1">
      <c r="A1044" s="118"/>
      <c r="B1044" s="118"/>
      <c r="C1044" s="354"/>
      <c r="D1044" s="3"/>
      <c r="E1044" s="3"/>
      <c r="F1044" s="3"/>
      <c r="G1044" s="3"/>
      <c r="I1044" s="490"/>
    </row>
    <row r="1045" spans="1:9" ht="12.75" hidden="1" customHeight="1">
      <c r="A1045" s="118"/>
      <c r="B1045" s="402"/>
      <c r="D1045" s="1290" t="s">
        <v>1272</v>
      </c>
      <c r="E1045" s="1290"/>
      <c r="F1045" s="1290"/>
      <c r="G1045" s="3"/>
      <c r="I1045" s="490"/>
    </row>
    <row r="1046" spans="1:9" ht="12.75" hidden="1" customHeight="1">
      <c r="A1046" s="118"/>
      <c r="B1046" s="485" t="s">
        <v>307</v>
      </c>
      <c r="D1046" s="1289" t="s">
        <v>1271</v>
      </c>
      <c r="E1046" s="1289"/>
      <c r="F1046" s="1289"/>
      <c r="G1046" s="3"/>
      <c r="I1046" s="490"/>
    </row>
    <row r="1047" spans="1:9" ht="12.75" hidden="1" customHeight="1">
      <c r="A1047" s="118"/>
      <c r="B1047" s="402"/>
      <c r="D1047" s="1289" t="s">
        <v>1799</v>
      </c>
      <c r="E1047" s="1289"/>
      <c r="F1047" s="1289"/>
      <c r="G1047" s="3"/>
      <c r="I1047" s="490"/>
    </row>
    <row r="1048" spans="1:9" ht="12.75" hidden="1" customHeight="1">
      <c r="A1048" s="118"/>
      <c r="B1048" s="402"/>
      <c r="D1048" s="444"/>
      <c r="E1048" s="444"/>
      <c r="F1048" s="444"/>
      <c r="G1048" s="3"/>
      <c r="I1048" s="490"/>
    </row>
    <row r="1049" spans="1:9" ht="12.75" customHeight="1">
      <c r="A1049" s="118"/>
      <c r="B1049" s="118"/>
      <c r="C1049" s="354"/>
      <c r="D1049" s="1294" t="s">
        <v>1066</v>
      </c>
      <c r="E1049" s="1294"/>
      <c r="F1049" s="1294"/>
      <c r="G1049" s="3"/>
      <c r="I1049" s="490"/>
    </row>
    <row r="1050" spans="1:9" ht="12.75" customHeight="1">
      <c r="A1050" s="319"/>
      <c r="B1050" s="319"/>
      <c r="C1050" s="319"/>
      <c r="D1050" s="1288" t="s">
        <v>2202</v>
      </c>
      <c r="E1050" s="1288"/>
      <c r="F1050" s="1288"/>
      <c r="G1050" s="98"/>
      <c r="I1050" s="490"/>
    </row>
    <row r="1051" spans="1:9" ht="12.75" customHeight="1">
      <c r="A1051" s="175"/>
      <c r="B1051" s="485" t="s">
        <v>2665</v>
      </c>
      <c r="C1051" s="354"/>
      <c r="D1051" s="1288" t="s">
        <v>985</v>
      </c>
      <c r="E1051" s="1288"/>
      <c r="F1051" s="1288"/>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3" t="s">
        <v>2618</v>
      </c>
      <c r="B1054" s="1293"/>
      <c r="C1054" s="1293"/>
      <c r="D1054" s="1293"/>
      <c r="E1054" s="1293"/>
      <c r="F1054" s="1293"/>
      <c r="G1054" s="1293"/>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2665</v>
      </c>
      <c r="C1059" s="402"/>
      <c r="D1059" s="1301" t="s">
        <v>1803</v>
      </c>
      <c r="E1059" s="1301"/>
      <c r="F1059" s="1301"/>
      <c r="I1059" s="490"/>
    </row>
    <row r="1060" spans="1:9">
      <c r="A1060" s="402"/>
      <c r="B1060" s="402"/>
      <c r="C1060" s="402"/>
      <c r="D1060" s="1301"/>
      <c r="E1060" s="1301"/>
      <c r="F1060" s="1301"/>
      <c r="I1060" s="490"/>
    </row>
    <row r="1061" spans="1:9">
      <c r="A1061" s="402"/>
      <c r="B1061" s="402"/>
      <c r="C1061" s="402"/>
      <c r="D1061" s="1301"/>
      <c r="E1061" s="1301"/>
      <c r="F1061" s="1301"/>
      <c r="I1061" s="490"/>
    </row>
    <row r="1062" spans="1:9">
      <c r="A1062" s="402"/>
      <c r="B1062" s="402"/>
      <c r="C1062" s="402"/>
      <c r="D1062" s="1301"/>
      <c r="E1062" s="1301"/>
      <c r="F1062" s="1301"/>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2760</v>
      </c>
      <c r="C1067" s="402"/>
      <c r="D1067" s="402" t="s">
        <v>1801</v>
      </c>
      <c r="I1067" s="490"/>
    </row>
    <row r="1068" spans="1:9">
      <c r="A1068" s="402"/>
      <c r="B1068" s="402"/>
      <c r="C1068" s="402"/>
      <c r="I1068" s="490"/>
    </row>
    <row r="1069" spans="1:9">
      <c r="A1069" s="402"/>
      <c r="B1069" s="485" t="s">
        <v>2665</v>
      </c>
      <c r="C1069" s="402"/>
      <c r="D1069" s="1301" t="s">
        <v>1804</v>
      </c>
      <c r="E1069" s="1301"/>
      <c r="F1069" s="1301"/>
      <c r="I1069" s="490"/>
    </row>
    <row r="1070" spans="1:9">
      <c r="A1070" s="402"/>
      <c r="B1070" s="402"/>
      <c r="C1070" s="402"/>
      <c r="D1070" s="1301"/>
      <c r="E1070" s="1301"/>
      <c r="F1070" s="1301"/>
      <c r="I1070" s="490"/>
    </row>
    <row r="1071" spans="1:9">
      <c r="A1071" s="402"/>
      <c r="B1071" s="402"/>
      <c r="C1071" s="402"/>
      <c r="D1071" s="1301"/>
      <c r="E1071" s="1301"/>
      <c r="F1071" s="1301"/>
      <c r="I1071" s="490"/>
    </row>
    <row r="1072" spans="1:9">
      <c r="A1072" s="402"/>
      <c r="B1072" s="402"/>
      <c r="C1072" s="402"/>
      <c r="D1072" s="1301"/>
      <c r="E1072" s="1301"/>
      <c r="F1072" s="1301"/>
      <c r="I1072" s="490"/>
    </row>
    <row r="1073" spans="1:9">
      <c r="A1073" s="402"/>
      <c r="B1073" s="402"/>
      <c r="C1073" s="402"/>
      <c r="D1073" s="1301"/>
      <c r="E1073" s="1301"/>
      <c r="F1073" s="1301"/>
      <c r="I1073" s="490"/>
    </row>
    <row r="1074" spans="1:9">
      <c r="A1074" s="402"/>
      <c r="B1074" s="402"/>
      <c r="C1074" s="402"/>
      <c r="I1074" s="490"/>
    </row>
    <row r="1075" spans="1:9">
      <c r="A1075" s="1293" t="s">
        <v>1805</v>
      </c>
      <c r="B1075" s="1293"/>
      <c r="C1075" s="1293"/>
      <c r="D1075" s="1293"/>
      <c r="E1075" s="1293"/>
      <c r="F1075" s="1293"/>
      <c r="G1075" s="1293"/>
      <c r="H1075" s="1023"/>
      <c r="I1075" s="1147"/>
    </row>
    <row r="1076" spans="1:9">
      <c r="A1076" s="402"/>
      <c r="B1076" s="402"/>
      <c r="C1076" s="402"/>
      <c r="I1076" s="490"/>
    </row>
    <row r="1077" spans="1:9">
      <c r="A1077" s="402"/>
      <c r="B1077" s="402"/>
      <c r="C1077" s="402"/>
      <c r="I1077" s="490"/>
    </row>
    <row r="1078" spans="1:9">
      <c r="A1078" s="402"/>
      <c r="B1078" s="485" t="s">
        <v>2760</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2760</v>
      </c>
      <c r="C1081" s="402"/>
      <c r="D1081" s="1304" t="s">
        <v>2624</v>
      </c>
      <c r="E1081" s="1304"/>
      <c r="F1081" s="1304"/>
      <c r="I1081" s="490"/>
    </row>
    <row r="1082" spans="1:9">
      <c r="A1082" s="402"/>
      <c r="B1082" s="402"/>
      <c r="C1082" s="402"/>
      <c r="D1082" s="1304"/>
      <c r="E1082" s="1304"/>
      <c r="F1082" s="1304"/>
      <c r="I1082" s="490"/>
    </row>
    <row r="1083" spans="1:9">
      <c r="A1083" s="402"/>
      <c r="B1083" s="402"/>
      <c r="C1083" s="402"/>
      <c r="D1083" s="527" t="s">
        <v>2623</v>
      </c>
      <c r="I1083" s="490"/>
    </row>
    <row r="1084" spans="1:9">
      <c r="A1084" s="402"/>
      <c r="B1084" s="402"/>
      <c r="C1084" s="402"/>
      <c r="D1084" s="527"/>
      <c r="I1084" s="490"/>
    </row>
    <row r="1085" spans="1:9">
      <c r="A1085" s="402"/>
      <c r="B1085" s="485" t="s">
        <v>2665</v>
      </c>
      <c r="C1085" s="402"/>
      <c r="D1085" s="119" t="s">
        <v>2632</v>
      </c>
      <c r="I1085" s="490"/>
    </row>
    <row r="1086" spans="1:9">
      <c r="A1086" s="402"/>
      <c r="B1086" s="402"/>
      <c r="C1086" s="402"/>
      <c r="D1086" s="1269" t="s">
        <v>2634</v>
      </c>
      <c r="E1086" s="1269"/>
      <c r="F1086" s="1269"/>
      <c r="I1086" s="490"/>
    </row>
    <row r="1087" spans="1:9">
      <c r="A1087" s="402"/>
      <c r="B1087" s="402"/>
      <c r="C1087" s="402"/>
      <c r="D1087" s="1269"/>
      <c r="E1087" s="1269"/>
      <c r="F1087" s="1269"/>
      <c r="I1087" s="490"/>
    </row>
    <row r="1088" spans="1:9">
      <c r="A1088" s="402"/>
      <c r="B1088" s="402"/>
      <c r="C1088" s="402"/>
      <c r="D1088" s="1269"/>
      <c r="E1088" s="1269"/>
      <c r="F1088" s="1269"/>
      <c r="I1088" s="490"/>
    </row>
    <row r="1089" spans="1:9">
      <c r="A1089" s="402"/>
      <c r="B1089" s="402"/>
      <c r="C1089" s="402"/>
      <c r="D1089" s="1269"/>
      <c r="E1089" s="1269"/>
      <c r="F1089" s="1269"/>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2665</v>
      </c>
      <c r="C1093" s="402"/>
      <c r="D1093" s="1300" t="s">
        <v>1807</v>
      </c>
      <c r="E1093" s="1300"/>
      <c r="F1093" s="1300"/>
      <c r="I1093" s="490"/>
    </row>
    <row r="1094" spans="1:9">
      <c r="A1094" s="402"/>
      <c r="B1094" s="402"/>
      <c r="C1094" s="402"/>
      <c r="D1094" s="1300"/>
      <c r="E1094" s="1300"/>
      <c r="F1094" s="1300"/>
      <c r="I1094" s="490"/>
    </row>
    <row r="1095" spans="1:9">
      <c r="A1095" s="402"/>
      <c r="B1095" s="402"/>
      <c r="C1095" s="402"/>
      <c r="D1095" s="1300"/>
      <c r="E1095" s="1300"/>
      <c r="F1095" s="1300"/>
      <c r="I1095" s="490"/>
    </row>
    <row r="1096" spans="1:9">
      <c r="A1096" s="402"/>
      <c r="B1096" s="402"/>
      <c r="C1096" s="402"/>
      <c r="D1096" s="1300"/>
      <c r="E1096" s="1300"/>
      <c r="F1096" s="1300"/>
      <c r="I1096" s="490"/>
    </row>
    <row r="1097" spans="1:9">
      <c r="A1097" s="402"/>
      <c r="B1097" s="402"/>
      <c r="C1097" s="402"/>
      <c r="D1097" s="1300"/>
      <c r="E1097" s="1300"/>
      <c r="F1097" s="1300"/>
      <c r="I1097" s="490"/>
    </row>
    <row r="1098" spans="1:9">
      <c r="A1098" s="402"/>
      <c r="B1098" s="402"/>
      <c r="C1098" s="402"/>
      <c r="D1098" s="527" t="s">
        <v>2635</v>
      </c>
      <c r="I1098" s="490"/>
    </row>
    <row r="1099" spans="1:9">
      <c r="A1099" s="402"/>
      <c r="B1099" s="402"/>
      <c r="C1099" s="402"/>
      <c r="I1099" s="490"/>
    </row>
    <row r="1100" spans="1:9">
      <c r="A1100" s="402"/>
      <c r="B1100" s="485" t="s">
        <v>2760</v>
      </c>
      <c r="C1100" s="402"/>
      <c r="D1100" s="1283" t="s">
        <v>2224</v>
      </c>
      <c r="E1100" s="1283"/>
      <c r="F1100" s="1283"/>
      <c r="I1100" s="490"/>
    </row>
    <row r="1101" spans="1:9">
      <c r="A1101" s="402"/>
      <c r="B1101" s="402"/>
      <c r="C1101" s="402"/>
      <c r="D1101" s="1283"/>
      <c r="E1101" s="1283"/>
      <c r="F1101" s="1283"/>
      <c r="I1101" s="490"/>
    </row>
    <row r="1102" spans="1:9">
      <c r="A1102" s="402"/>
      <c r="B1102" s="402"/>
      <c r="C1102" s="402"/>
      <c r="D1102" s="1283"/>
      <c r="E1102" s="1283"/>
      <c r="F1102" s="1283"/>
      <c r="I1102" s="490"/>
    </row>
    <row r="1103" spans="1:9">
      <c r="A1103" s="402"/>
      <c r="B1103" s="402"/>
      <c r="C1103" s="402"/>
      <c r="I1103" s="490"/>
    </row>
    <row r="1104" spans="1:9">
      <c r="A1104" s="1293" t="s">
        <v>1809</v>
      </c>
      <c r="B1104" s="1293"/>
      <c r="C1104" s="1293"/>
      <c r="D1104" s="1293"/>
      <c r="E1104" s="1293"/>
      <c r="F1104" s="1293"/>
      <c r="G1104" s="1293"/>
      <c r="H1104" s="1023"/>
      <c r="I1104" s="1147"/>
    </row>
    <row r="1105" spans="1:9">
      <c r="A1105" s="402"/>
      <c r="B1105" s="402"/>
      <c r="C1105" s="402"/>
      <c r="I1105" s="490"/>
    </row>
    <row r="1106" spans="1:9">
      <c r="A1106" s="402"/>
      <c r="B1106" s="402"/>
      <c r="C1106" s="402"/>
      <c r="I1106" s="490"/>
    </row>
    <row r="1107" spans="1:9" ht="12.75" customHeight="1">
      <c r="A1107" s="402"/>
      <c r="B1107" s="485" t="s">
        <v>2665</v>
      </c>
      <c r="C1107" s="402"/>
      <c r="D1107" s="1302" t="s">
        <v>1903</v>
      </c>
      <c r="E1107" s="1302"/>
      <c r="F1107" s="1302"/>
      <c r="I1107" s="490"/>
    </row>
    <row r="1108" spans="1:9">
      <c r="A1108" s="402"/>
      <c r="B1108" s="402"/>
      <c r="C1108" s="402"/>
      <c r="D1108" s="1302"/>
      <c r="E1108" s="1302"/>
      <c r="F1108" s="1302"/>
      <c r="I1108" s="490"/>
    </row>
    <row r="1109" spans="1:9">
      <c r="A1109" s="402"/>
      <c r="B1109" s="402"/>
      <c r="C1109" s="402"/>
      <c r="D1109" s="1303" t="s">
        <v>2639</v>
      </c>
      <c r="E1109" s="1269"/>
      <c r="F1109" s="1269"/>
      <c r="I1109" s="490"/>
    </row>
    <row r="1110" spans="1:9">
      <c r="A1110" s="402"/>
      <c r="B1110" s="402"/>
      <c r="C1110" s="402"/>
      <c r="D1110" s="527"/>
      <c r="I1110" s="490"/>
    </row>
    <row r="1111" spans="1:9">
      <c r="A1111" s="402"/>
      <c r="B1111" s="485" t="s">
        <v>2665</v>
      </c>
      <c r="C1111" s="402"/>
      <c r="D1111" s="1300" t="s">
        <v>2587</v>
      </c>
      <c r="E1111" s="1300"/>
      <c r="F1111" s="1300"/>
      <c r="I1111" s="490"/>
    </row>
    <row r="1112" spans="1:9">
      <c r="A1112" s="402"/>
      <c r="B1112" s="402"/>
      <c r="C1112" s="402"/>
      <c r="D1112" s="1300"/>
      <c r="E1112" s="1300"/>
      <c r="F1112" s="1300"/>
      <c r="I1112" s="490"/>
    </row>
    <row r="1113" spans="1:9">
      <c r="A1113" s="402"/>
      <c r="B1113" s="402"/>
      <c r="C1113" s="402"/>
      <c r="D1113" s="1300"/>
      <c r="E1113" s="1300"/>
      <c r="F1113" s="1300"/>
      <c r="I1113" s="490"/>
    </row>
    <row r="1114" spans="1:9">
      <c r="A1114" s="402"/>
      <c r="B1114" s="402"/>
      <c r="C1114" s="402"/>
      <c r="D1114" s="527"/>
      <c r="I1114" s="490"/>
    </row>
    <row r="1115" spans="1:9">
      <c r="A1115" s="402"/>
      <c r="B1115" s="485" t="s">
        <v>2665</v>
      </c>
      <c r="C1115" s="402"/>
      <c r="D1115" s="1300" t="s">
        <v>2606</v>
      </c>
      <c r="E1115" s="1300"/>
      <c r="F1115" s="1300"/>
      <c r="I1115" s="490"/>
    </row>
    <row r="1116" spans="1:9">
      <c r="A1116" s="402"/>
      <c r="B1116" s="402"/>
      <c r="C1116" s="402"/>
      <c r="D1116" s="1300"/>
      <c r="E1116" s="1300"/>
      <c r="F1116" s="1300"/>
      <c r="I1116" s="490"/>
    </row>
    <row r="1117" spans="1:9">
      <c r="A1117" s="402"/>
      <c r="B1117" s="402"/>
      <c r="C1117" s="402"/>
      <c r="D1117" s="1300"/>
      <c r="E1117" s="1300"/>
      <c r="F1117" s="1300"/>
      <c r="I1117" s="490"/>
    </row>
    <row r="1118" spans="1:9">
      <c r="A1118" s="402"/>
      <c r="B1118" s="402"/>
      <c r="C1118" s="402"/>
      <c r="D1118" s="1300"/>
      <c r="E1118" s="1300"/>
      <c r="F1118" s="1300"/>
      <c r="I1118" s="490"/>
    </row>
    <row r="1119" spans="1:9">
      <c r="A1119" s="402"/>
      <c r="B1119" s="402"/>
      <c r="C1119" s="402"/>
      <c r="D1119" s="1300"/>
      <c r="E1119" s="1300"/>
      <c r="F1119" s="1300"/>
      <c r="I1119" s="490"/>
    </row>
    <row r="1120" spans="1:9">
      <c r="A1120" s="402"/>
      <c r="B1120" s="402"/>
      <c r="C1120" s="402"/>
      <c r="D1120" s="527"/>
      <c r="I1120" s="480"/>
    </row>
    <row r="1121" spans="1:9">
      <c r="A1121" s="402"/>
      <c r="B1121" s="485" t="s">
        <v>2665</v>
      </c>
      <c r="C1121" s="402"/>
      <c r="D1121" s="1300" t="s">
        <v>1810</v>
      </c>
      <c r="E1121" s="1300"/>
      <c r="F1121" s="1300"/>
      <c r="I1121" s="490"/>
    </row>
    <row r="1122" spans="1:9">
      <c r="A1122" s="402"/>
      <c r="B1122" s="402"/>
      <c r="C1122" s="402"/>
      <c r="D1122" s="1300"/>
      <c r="E1122" s="1300"/>
      <c r="F1122" s="1300"/>
      <c r="I1122" s="490"/>
    </row>
    <row r="1123" spans="1:9">
      <c r="A1123" s="402"/>
      <c r="B1123" s="402"/>
      <c r="C1123" s="402"/>
      <c r="D1123" s="1300"/>
      <c r="E1123" s="1300"/>
      <c r="F1123" s="1300"/>
      <c r="I1123" s="490"/>
    </row>
    <row r="1124" spans="1:9">
      <c r="A1124" s="402"/>
      <c r="B1124" s="402"/>
      <c r="C1124" s="402"/>
      <c r="D1124" s="527"/>
      <c r="I1124" s="490"/>
    </row>
    <row r="1125" spans="1:9">
      <c r="A1125" s="402"/>
      <c r="B1125" s="485" t="s">
        <v>2760</v>
      </c>
      <c r="C1125" s="402"/>
      <c r="D1125" s="1274" t="s">
        <v>1862</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2760</v>
      </c>
      <c r="C1129" s="402"/>
      <c r="D1129" s="1269" t="s">
        <v>1863</v>
      </c>
      <c r="E1129" s="1269"/>
      <c r="F1129" s="1269"/>
      <c r="I1129" s="490"/>
    </row>
    <row r="1130" spans="1:9">
      <c r="A1130" s="402"/>
      <c r="B1130" s="402"/>
      <c r="C1130" s="402"/>
      <c r="D1130" s="1269"/>
      <c r="E1130" s="1269"/>
      <c r="F1130" s="1269"/>
      <c r="I1130" s="490"/>
    </row>
    <row r="1131" spans="1:9">
      <c r="A1131" s="402"/>
      <c r="B1131" s="402"/>
      <c r="C1131" s="402"/>
      <c r="D1131" s="1269"/>
      <c r="E1131" s="1269"/>
      <c r="F1131" s="1269"/>
      <c r="I1131" s="490"/>
    </row>
    <row r="1132" spans="1:9">
      <c r="A1132" s="402"/>
      <c r="B1132" s="402"/>
      <c r="C1132" s="402"/>
      <c r="D1132" s="1269"/>
      <c r="E1132" s="1269"/>
      <c r="F1132" s="1269"/>
      <c r="I1132" s="490"/>
    </row>
    <row r="1133" spans="1:9">
      <c r="A1133" s="402"/>
      <c r="B1133" s="402"/>
      <c r="C1133" s="402"/>
      <c r="D1133" s="975"/>
      <c r="E1133" s="975"/>
      <c r="F1133" s="975"/>
      <c r="I1133" s="490"/>
    </row>
    <row r="1134" spans="1:9">
      <c r="A1134" s="402"/>
      <c r="B1134" s="485" t="s">
        <v>2665</v>
      </c>
      <c r="C1134" s="402"/>
      <c r="D1134" s="1274" t="s">
        <v>2616</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2760</v>
      </c>
      <c r="C1141" s="402"/>
      <c r="D1141" s="1301" t="s">
        <v>2588</v>
      </c>
      <c r="E1141" s="1301"/>
      <c r="F1141" s="1301"/>
      <c r="I1141" s="1153"/>
    </row>
    <row r="1142" spans="1:9">
      <c r="A1142" s="402"/>
      <c r="B1142" s="402"/>
      <c r="C1142" s="402"/>
      <c r="D1142" s="1301"/>
      <c r="E1142" s="1301"/>
      <c r="F1142" s="1301"/>
      <c r="I1142" s="490"/>
    </row>
    <row r="1143" spans="1:9">
      <c r="A1143" s="402"/>
      <c r="B1143" s="402"/>
      <c r="C1143" s="402"/>
      <c r="D1143" s="1301"/>
      <c r="E1143" s="1301"/>
      <c r="F1143" s="1301"/>
    </row>
    <row r="1144" spans="1:9">
      <c r="A1144" s="402"/>
      <c r="B1144" s="402"/>
      <c r="C1144" s="402"/>
      <c r="D1144" s="1301"/>
      <c r="E1144" s="1301"/>
      <c r="F1144" s="1301"/>
    </row>
    <row r="1145" spans="1:9">
      <c r="A1145" s="402"/>
      <c r="B1145" s="402"/>
      <c r="C1145" s="402"/>
      <c r="D1145" s="1301"/>
      <c r="E1145" s="1301"/>
      <c r="F1145" s="1301"/>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0"/>
      <c r="H1553" s="1310"/>
      <c r="I1553" s="1310"/>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0 B33 B27 B41 B36 B52 B47 B56 B65 B68 B61 B72 B80 B103 B119 B96 B128 B131 B151 B171 B177 B182 B209 B213 B205 B228 B250 B233 B256 B271 B278 B259 B290 B293 B297 B305 B307 B313 B316 B318 B334 B355 B360 B362 B380 B387 B420 B423 B429 B344 B435 B467 B471 B474 B478 B481 B486 B488 B494 B501 B504 B509 B527 B267 B1031 B536 B516 B549 B551 B554 B564 B557 B560 B567 B570 B589 B579 B591 B595 B603 B600 B574 B621 B629 B626 B623 B645 B648 B638 B658 B669 B663 B674 B695 B651 B690 B699 B717 B1100 B734 B738 B714 B749 B743 B707 B763 B779 B782 B245 B1121 B100 B92 B89 B137 B201 B197 B530 B217 B775 B770 B791 B803 B813 B820 B799 B795 B842 B839 B857 B866 B870 B853 B827 B886 B895 B899 B908 B939 B918 B913 B880 B927 B930 B935 B937 B964 B975 B969 B978 B1007 B1012 B999 B1017 B1019 B957 B1021 B1024 B1015 B1027 B883 B1046 B1051 B1029 B1059 B1040 B1069 B1067 B1134 B1085 B1093 B1078 B1129 B1081 B1115 B1107 B375 B949 B511 B514 B730 B703 B611 B632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25" zoomScale="130" zoomScaleNormal="130" workbookViewId="0">
      <selection activeCell="AT642" sqref="AT64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N/A</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12</v>
      </c>
    </row>
    <row r="8" spans="1:58" ht="26.25" customHeight="1">
      <c r="A8" s="1491" t="s">
        <v>100</v>
      </c>
      <c r="B8" s="1491"/>
      <c r="C8" s="1491"/>
      <c r="D8" s="1491"/>
      <c r="E8" s="1491"/>
      <c r="F8" s="1491"/>
      <c r="G8" s="1491"/>
      <c r="H8" s="1491"/>
      <c r="I8" s="1491"/>
      <c r="J8" s="1491"/>
      <c r="K8" s="1491"/>
      <c r="L8" s="1491"/>
      <c r="M8" s="1491"/>
      <c r="N8" s="1491"/>
      <c r="O8" s="1491"/>
      <c r="P8" s="1491"/>
      <c r="Q8" s="1491"/>
      <c r="R8" s="1491"/>
      <c r="S8" s="1491"/>
      <c r="T8" s="1491"/>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c r="AT8" s="1491"/>
      <c r="AU8" s="894"/>
      <c r="AV8" s="894"/>
      <c r="AW8" s="894"/>
      <c r="AX8" s="894"/>
      <c r="AY8" s="894"/>
      <c r="BD8" s="3" t="s">
        <v>2442</v>
      </c>
      <c r="BE8" s="1183">
        <f>SUMIF($AC$726:$AC$760,"&lt;=35%",$G$726:G$760)-SUM($BE$5:BE7)</f>
        <v>0</v>
      </c>
    </row>
    <row r="9" spans="1:58" ht="12.95" customHeight="1">
      <c r="A9" s="1424" t="s">
        <v>2034</v>
      </c>
      <c r="B9" s="1424"/>
      <c r="C9" s="1424"/>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c r="AK9" s="1424"/>
      <c r="AL9" s="1424"/>
      <c r="AM9" s="1424"/>
      <c r="AN9" s="1424"/>
      <c r="AO9" s="1424"/>
      <c r="AP9" s="1424"/>
      <c r="AQ9" s="1424"/>
      <c r="AR9" s="1424"/>
      <c r="AS9" s="1424"/>
      <c r="AT9" s="1424"/>
      <c r="AU9" s="13"/>
      <c r="AV9" s="13"/>
      <c r="AW9" s="13"/>
      <c r="AX9" s="13"/>
      <c r="AY9" s="13"/>
      <c r="BD9" s="1182" t="s">
        <v>2434</v>
      </c>
      <c r="BE9" s="1183">
        <f>SUMIF($AC$726:$AC$760,"&lt;=40%",$G$726:G$760)-SUM($BE$5:BE8)</f>
        <v>0</v>
      </c>
    </row>
    <row r="10" spans="1:58" ht="12.95" customHeight="1">
      <c r="A10" s="1424" t="s">
        <v>2608</v>
      </c>
      <c r="B10" s="1424"/>
      <c r="C10" s="1424"/>
      <c r="D10" s="1424"/>
      <c r="E10" s="1424"/>
      <c r="F10" s="1424"/>
      <c r="G10" s="1424"/>
      <c r="H10" s="1424"/>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c r="AK10" s="1424"/>
      <c r="AL10" s="1424"/>
      <c r="AM10" s="1424"/>
      <c r="AN10" s="1424"/>
      <c r="AO10" s="1424"/>
      <c r="AP10" s="1424"/>
      <c r="AQ10" s="1424"/>
      <c r="AR10" s="1424"/>
      <c r="AS10" s="1424"/>
      <c r="AT10" s="1424"/>
      <c r="AU10" s="13"/>
      <c r="AV10" s="13"/>
      <c r="AW10" s="13"/>
      <c r="AX10" s="13"/>
      <c r="AY10" s="13"/>
      <c r="BD10" s="3" t="s">
        <v>2443</v>
      </c>
      <c r="BE10" s="1183">
        <f>SUMIF($AC$726:$AC$760,"&lt;=45%",$G$726:G$760)-SUM($BE$5:BE9)</f>
        <v>0</v>
      </c>
    </row>
    <row r="11" spans="1:58" ht="12.95" customHeight="1">
      <c r="A11" s="1424" t="s">
        <v>2532</v>
      </c>
      <c r="B11" s="1424"/>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1424"/>
      <c r="AL11" s="1424"/>
      <c r="AM11" s="1424"/>
      <c r="AN11" s="1424"/>
      <c r="AO11" s="1424"/>
      <c r="AP11" s="1424"/>
      <c r="AQ11" s="1424"/>
      <c r="AR11" s="1424"/>
      <c r="AS11" s="1424"/>
      <c r="AT11" s="1424"/>
      <c r="AU11" s="13"/>
      <c r="AV11" s="13"/>
      <c r="AW11" s="13"/>
      <c r="AX11" s="13"/>
      <c r="AY11" s="13"/>
      <c r="BD11" s="1181" t="s">
        <v>2435</v>
      </c>
      <c r="BE11" s="1183">
        <f>SUMIF($AC$726:$AC$760,"&lt;=50%",$G$726:G$760)-SUM($BE$5:BE10)</f>
        <v>11</v>
      </c>
    </row>
    <row r="12" spans="1:58" ht="12.95" customHeight="1">
      <c r="A12" s="1492" t="s">
        <v>2643</v>
      </c>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6"/>
      <c r="AV12" s="6"/>
      <c r="AW12" s="6"/>
      <c r="AX12" s="6"/>
      <c r="AY12" s="6"/>
      <c r="BD12" s="3" t="s">
        <v>2444</v>
      </c>
      <c r="BE12" s="1183">
        <f>SUMIF($AC$726:$AC$760,"&lt;=55%",$G$726:G$760)-SUM($BE$5:BE11)</f>
        <v>0</v>
      </c>
    </row>
    <row r="13" spans="1:58" ht="12.95" customHeight="1">
      <c r="A13" s="1267" t="s">
        <v>2035</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895"/>
      <c r="AV13" s="895"/>
      <c r="AW13" s="895"/>
      <c r="AX13" s="895"/>
      <c r="AY13" s="895"/>
      <c r="BD13" s="1182" t="s">
        <v>2436</v>
      </c>
      <c r="BE13" s="1183">
        <f>SUMIF($AC$726:$AC$760,"&lt;=60%",$G$726:G$760)-SUM($BE$5:BE12)</f>
        <v>0</v>
      </c>
    </row>
    <row r="14" spans="1:58" ht="12.95" customHeight="1">
      <c r="A14" s="1267"/>
      <c r="B14" s="1267"/>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00" t="s">
        <v>2645</v>
      </c>
      <c r="I16" s="1501"/>
      <c r="J16" s="1501"/>
      <c r="K16" s="1501"/>
      <c r="L16" s="1501"/>
      <c r="M16" s="1501"/>
      <c r="N16" s="1501"/>
      <c r="O16" s="1501"/>
      <c r="P16" s="1501"/>
      <c r="Q16" s="1501"/>
      <c r="R16" s="1501"/>
      <c r="S16" s="1501"/>
      <c r="T16" s="1501"/>
      <c r="U16" s="1501"/>
      <c r="V16" s="1501"/>
      <c r="W16" s="1501"/>
      <c r="X16" s="1501"/>
      <c r="Y16" s="1501"/>
      <c r="Z16" s="1501"/>
      <c r="AA16" s="1501"/>
      <c r="AB16" s="1501"/>
      <c r="AC16" s="1501"/>
      <c r="AD16" s="1501"/>
      <c r="AE16" s="1501"/>
      <c r="AF16" s="1501"/>
      <c r="AG16" s="1501"/>
      <c r="AH16" s="1501"/>
      <c r="AI16" s="1501"/>
      <c r="AJ16" s="1501"/>
      <c r="BD16" s="1182" t="s">
        <v>656</v>
      </c>
      <c r="BE16" s="1183" t="str">
        <f>Application!H18</f>
        <v>U.S.VETS - WLAVA Buildling 13</v>
      </c>
    </row>
    <row r="17" spans="1:58" ht="12.95" customHeight="1">
      <c r="BD17" s="1181" t="s">
        <v>2450</v>
      </c>
      <c r="BE17" s="1183">
        <f>Application!AA943</f>
        <v>0</v>
      </c>
    </row>
    <row r="18" spans="1:58" ht="12.95" customHeight="1">
      <c r="A18" s="57" t="s">
        <v>101</v>
      </c>
      <c r="C18" s="4"/>
      <c r="D18" s="4"/>
      <c r="E18" s="4"/>
      <c r="F18" s="4"/>
      <c r="G18" s="4"/>
      <c r="H18" s="1497" t="s">
        <v>2644</v>
      </c>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c r="BD18" s="1182" t="s">
        <v>2451</v>
      </c>
      <c r="BE18" s="1183">
        <f>AA943</f>
        <v>0</v>
      </c>
    </row>
    <row r="19" spans="1:58" ht="12.95" customHeight="1">
      <c r="BD19" s="1181" t="s">
        <v>2452</v>
      </c>
      <c r="BE19" s="1183">
        <f>Application!M26</f>
        <v>981191</v>
      </c>
    </row>
    <row r="20" spans="1:58" ht="12.95" customHeight="1">
      <c r="A20" s="1493" t="s">
        <v>873</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c r="AM20" s="1493"/>
      <c r="AN20" s="1493"/>
      <c r="AO20" s="1493"/>
      <c r="AP20" s="1493"/>
      <c r="AQ20" s="1493"/>
      <c r="AR20" s="1493"/>
      <c r="AS20" s="1493"/>
      <c r="AT20" s="1493"/>
      <c r="AU20" s="896"/>
      <c r="AV20" s="896"/>
      <c r="AW20" s="896"/>
      <c r="AX20" s="896"/>
      <c r="AY20" s="896"/>
      <c r="BD20" s="1182" t="s">
        <v>2453</v>
      </c>
      <c r="BE20" s="1183">
        <f>Application!M27</f>
        <v>0</v>
      </c>
    </row>
    <row r="21" spans="1:58" ht="12.95" customHeight="1">
      <c r="A21" s="1502" t="s">
        <v>1009</v>
      </c>
      <c r="B21" s="1502"/>
      <c r="C21" s="1502"/>
      <c r="D21" s="1502"/>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897"/>
      <c r="AN21" s="897"/>
      <c r="AO21" s="897"/>
      <c r="AP21" s="897"/>
      <c r="AQ21" s="897"/>
      <c r="AR21" s="897"/>
      <c r="AS21" s="897"/>
      <c r="AT21" s="897"/>
      <c r="AU21" s="897"/>
      <c r="AV21" s="897"/>
      <c r="AW21" s="897"/>
      <c r="AX21" s="897"/>
      <c r="AY21" s="897"/>
      <c r="BD21" s="1181" t="s">
        <v>2454</v>
      </c>
      <c r="BE21" s="1183">
        <f>Application!AM562</f>
        <v>14000000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52230266</v>
      </c>
      <c r="BF22" s="3" t="s">
        <v>2525</v>
      </c>
    </row>
    <row r="23" spans="1:58" ht="12.95" customHeight="1">
      <c r="A23" s="1302" t="s">
        <v>2102</v>
      </c>
      <c r="B23" s="1302"/>
      <c r="C23" s="1302"/>
      <c r="D23" s="1302"/>
      <c r="E23" s="1302"/>
      <c r="F23" s="1302"/>
      <c r="G23" s="1302"/>
      <c r="H23" s="1302"/>
      <c r="I23" s="1302"/>
      <c r="J23" s="1302"/>
      <c r="K23" s="1302"/>
      <c r="L23" s="1302"/>
      <c r="M23" s="1302"/>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c r="AT23" s="1302"/>
      <c r="AU23" s="18"/>
      <c r="AV23" s="18"/>
      <c r="AW23" s="18"/>
      <c r="AX23" s="18"/>
      <c r="AY23" s="18"/>
      <c r="AZ23" s="18"/>
      <c r="BD23" s="1181" t="s">
        <v>2455</v>
      </c>
      <c r="BE23" s="1183">
        <f>'Sources and Uses Budget'!B4</f>
        <v>0</v>
      </c>
    </row>
    <row r="24" spans="1:58" ht="12.95" customHeight="1">
      <c r="A24" s="1302"/>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c r="AL24" s="1302"/>
      <c r="AM24" s="1302"/>
      <c r="AN24" s="1302"/>
      <c r="AO24" s="1302"/>
      <c r="AP24" s="1302"/>
      <c r="AQ24" s="1302"/>
      <c r="AR24" s="1302"/>
      <c r="AS24" s="1302"/>
      <c r="AT24" s="1302"/>
      <c r="AU24" s="18"/>
      <c r="AV24" s="18"/>
      <c r="AW24" s="18"/>
      <c r="AX24" s="18"/>
      <c r="AY24" s="18"/>
      <c r="AZ24" s="18"/>
      <c r="BD24" s="1182" t="s">
        <v>2456</v>
      </c>
      <c r="BE24" s="1183">
        <f>Application!AG459</f>
        <v>56249</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499">
        <f>'Basis &amp; Credits'!AB56</f>
        <v>981191</v>
      </c>
      <c r="N26" s="1499"/>
      <c r="O26" s="1499"/>
      <c r="P26" s="1499"/>
      <c r="Q26" s="1499"/>
      <c r="R26" s="4" t="s">
        <v>759</v>
      </c>
      <c r="S26" s="4"/>
      <c r="T26" s="4"/>
      <c r="U26" s="4"/>
      <c r="V26" s="4"/>
      <c r="W26" s="4"/>
      <c r="X26" s="4"/>
      <c r="Y26" s="4"/>
      <c r="Z26" s="4"/>
      <c r="AF26" s="4"/>
      <c r="AG26" s="4"/>
      <c r="AH26" s="4"/>
      <c r="AI26" s="4"/>
      <c r="AJ26" s="4"/>
      <c r="AK26" s="4"/>
      <c r="BD26" s="1182" t="s">
        <v>1628</v>
      </c>
      <c r="BE26" s="1183" t="b">
        <f>Application!M365="Yes"</f>
        <v>1</v>
      </c>
    </row>
    <row r="27" spans="1:58" ht="12.95" customHeight="1">
      <c r="A27" s="4"/>
      <c r="C27" s="4"/>
      <c r="D27" s="4"/>
      <c r="E27" s="4"/>
      <c r="F27" s="4"/>
      <c r="G27" s="4"/>
      <c r="H27" s="4"/>
      <c r="I27" s="4"/>
      <c r="J27" s="4"/>
      <c r="K27" s="4"/>
      <c r="L27" s="4"/>
      <c r="M27" s="1442">
        <f>'Basis &amp; Credits'!AB78</f>
        <v>0</v>
      </c>
      <c r="N27" s="1442"/>
      <c r="O27" s="1442"/>
      <c r="P27" s="1442"/>
      <c r="Q27" s="1442"/>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494" t="s">
        <v>2103</v>
      </c>
      <c r="B29" s="1494"/>
      <c r="C29" s="1494"/>
      <c r="D29" s="1494"/>
      <c r="E29" s="1494"/>
      <c r="F29" s="1494"/>
      <c r="G29" s="1494"/>
      <c r="H29" s="1494"/>
      <c r="I29" s="1494"/>
      <c r="J29" s="1494"/>
      <c r="K29" s="1494"/>
      <c r="L29" s="1494"/>
      <c r="M29" s="1494"/>
      <c r="N29" s="1494"/>
      <c r="O29" s="1494"/>
      <c r="P29" s="1494"/>
      <c r="Q29" s="1494"/>
      <c r="R29" s="1494"/>
      <c r="S29" s="1494"/>
      <c r="T29" s="1494"/>
      <c r="U29" s="1494"/>
      <c r="V29" s="1494"/>
      <c r="W29" s="1494"/>
      <c r="X29" s="1494"/>
      <c r="Y29" s="1494"/>
      <c r="Z29" s="1494"/>
      <c r="AA29" s="1494"/>
      <c r="AB29" s="1494"/>
      <c r="AC29" s="1494"/>
      <c r="AD29" s="1494"/>
      <c r="AE29" s="1494"/>
      <c r="AF29" s="1494"/>
      <c r="AG29" s="1494"/>
      <c r="AH29" s="1494"/>
      <c r="AI29" s="1494"/>
      <c r="AJ29" s="1494"/>
      <c r="AK29" s="1494"/>
      <c r="AL29" s="1494"/>
      <c r="AM29" s="1494"/>
      <c r="AN29" s="1494"/>
      <c r="AO29" s="1494"/>
      <c r="AP29" s="1494"/>
      <c r="AQ29" s="1494"/>
      <c r="AR29" s="1494"/>
      <c r="AS29" s="1494"/>
      <c r="AT29" s="1494"/>
      <c r="BD29" s="1181" t="s">
        <v>2459</v>
      </c>
      <c r="BE29" s="1183" t="b">
        <f>Application!M367="Yes"</f>
        <v>0</v>
      </c>
    </row>
    <row r="30" spans="1:58" ht="12.95" customHeight="1">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Z30" s="20"/>
      <c r="BD30" s="1182" t="s">
        <v>28</v>
      </c>
      <c r="BE30" s="1183" t="b">
        <f>Application!AJ364="Yes"</f>
        <v>0</v>
      </c>
    </row>
    <row r="31" spans="1:58" ht="12.95" customHeight="1">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20"/>
      <c r="AV31" s="20"/>
      <c r="AW31" s="20"/>
      <c r="AX31" s="20"/>
      <c r="AY31" s="20"/>
      <c r="AZ31" s="20"/>
      <c r="BD31" s="1181" t="s">
        <v>2460</v>
      </c>
      <c r="BE31" s="1183" t="str">
        <f>Application!D211</f>
        <v>Special Needs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23</v>
      </c>
    </row>
    <row r="33" spans="1:57" ht="12.95" hidden="1" customHeight="1">
      <c r="A33" s="519" t="s">
        <v>1278</v>
      </c>
      <c r="C33" s="519"/>
      <c r="D33" s="519"/>
      <c r="E33" s="519"/>
      <c r="F33" s="519"/>
      <c r="G33" s="519"/>
      <c r="H33" s="519"/>
      <c r="I33" s="519"/>
      <c r="J33" s="519"/>
      <c r="K33" s="519"/>
      <c r="L33" s="519"/>
      <c r="M33" s="519"/>
      <c r="N33" s="519"/>
      <c r="O33" s="1340" t="s">
        <v>669</v>
      </c>
      <c r="P33" s="1340"/>
      <c r="Q33" s="1495" t="s">
        <v>2104</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c r="AU33" s="20"/>
      <c r="AV33" s="20"/>
      <c r="AW33" s="20"/>
      <c r="AX33" s="20"/>
      <c r="AY33" s="20"/>
      <c r="BD33" s="1181" t="s">
        <v>2526</v>
      </c>
      <c r="BE33" s="1183" t="str">
        <f>Application!D220</f>
        <v>Balance of Los Angeles County</v>
      </c>
    </row>
    <row r="34" spans="1:57" ht="12.95" hidden="1" customHeight="1">
      <c r="A34" s="1494" t="s">
        <v>2105</v>
      </c>
      <c r="B34" s="1494"/>
      <c r="C34" s="1494"/>
      <c r="D34" s="1494"/>
      <c r="E34" s="1494"/>
      <c r="F34" s="1494"/>
      <c r="G34" s="1494"/>
      <c r="H34" s="1494"/>
      <c r="I34" s="1494"/>
      <c r="J34" s="1494"/>
      <c r="K34" s="1494"/>
      <c r="L34" s="1494"/>
      <c r="M34" s="1494"/>
      <c r="N34" s="1494"/>
      <c r="O34" s="1494"/>
      <c r="P34" s="1494"/>
      <c r="Q34" s="1494"/>
      <c r="R34" s="1494"/>
      <c r="S34" s="1494"/>
      <c r="T34" s="1494"/>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20"/>
      <c r="AV34" s="20"/>
      <c r="AW34" s="20"/>
      <c r="AX34" s="20"/>
      <c r="AY34" s="20"/>
      <c r="AZ34" s="20"/>
      <c r="BD34" s="1182" t="s">
        <v>2462</v>
      </c>
      <c r="BE34" s="1183" t="str">
        <f>Application!I185</f>
        <v>400 Pershing Avenue</v>
      </c>
    </row>
    <row r="35" spans="1:57" ht="12.95" hidden="1" customHeight="1">
      <c r="A35" s="1494"/>
      <c r="B35" s="1494"/>
      <c r="C35" s="1494"/>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20"/>
      <c r="AV35" s="20"/>
      <c r="AW35" s="20"/>
      <c r="AX35" s="20"/>
      <c r="AY35" s="20"/>
      <c r="AZ35" s="20"/>
      <c r="BD35" s="1181" t="s">
        <v>2463</v>
      </c>
      <c r="BE35" s="1183" t="str">
        <f>IF(Application!E187="","",Application!E187)</f>
        <v/>
      </c>
    </row>
    <row r="36" spans="1:57" ht="12.95" hidden="1" customHeight="1">
      <c r="A36" s="1494"/>
      <c r="B36" s="1494"/>
      <c r="C36" s="1494"/>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20"/>
      <c r="AV36" s="20"/>
      <c r="AW36" s="20"/>
      <c r="AX36" s="20"/>
      <c r="AY36" s="20"/>
      <c r="AZ36" s="20"/>
      <c r="BD36" s="1182" t="s">
        <v>2464</v>
      </c>
      <c r="BE36" s="1183" t="str">
        <f>Application!I189</f>
        <v>Los Angeles</v>
      </c>
    </row>
    <row r="37" spans="1:57" ht="12.95" hidden="1" customHeight="1">
      <c r="A37" s="1494"/>
      <c r="B37" s="1494"/>
      <c r="C37" s="1494"/>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Z37" s="20"/>
      <c r="BD37" s="1181" t="s">
        <v>2465</v>
      </c>
      <c r="BE37" s="1183" t="str">
        <f>Application!T189</f>
        <v>Los Angeles</v>
      </c>
    </row>
    <row r="38" spans="1:57" ht="12.95" hidden="1" customHeight="1">
      <c r="A38" s="3"/>
      <c r="AZ38" s="20"/>
      <c r="BD38" s="1182" t="s">
        <v>2466</v>
      </c>
      <c r="BE38" s="1183">
        <f>Application!I190</f>
        <v>90049</v>
      </c>
    </row>
    <row r="39" spans="1:57" ht="12.95" customHeight="1">
      <c r="A39" s="1269" t="s">
        <v>2106</v>
      </c>
      <c r="B39" s="1269"/>
      <c r="C39" s="1269"/>
      <c r="D39" s="1269"/>
      <c r="E39" s="1269"/>
      <c r="F39" s="1269"/>
      <c r="G39" s="1269"/>
      <c r="H39" s="1269"/>
      <c r="I39" s="1269"/>
      <c r="J39" s="1269"/>
      <c r="K39" s="1269"/>
      <c r="L39" s="1269"/>
      <c r="M39" s="1269"/>
      <c r="N39" s="1269"/>
      <c r="O39" s="1269"/>
      <c r="P39" s="1269"/>
      <c r="Q39" s="1269"/>
      <c r="R39" s="1269"/>
      <c r="S39" s="1269"/>
      <c r="T39" s="1269"/>
      <c r="U39" s="1269"/>
      <c r="V39" s="1269"/>
      <c r="W39" s="1269"/>
      <c r="X39" s="1269"/>
      <c r="Y39" s="1269"/>
      <c r="Z39" s="1269"/>
      <c r="AA39" s="1269"/>
      <c r="AB39" s="1269"/>
      <c r="AC39" s="1269"/>
      <c r="AD39" s="1269"/>
      <c r="AE39" s="1269"/>
      <c r="AF39" s="1269"/>
      <c r="AG39" s="1269"/>
      <c r="AH39" s="1269"/>
      <c r="AI39" s="1269"/>
      <c r="AJ39" s="1269"/>
      <c r="AK39" s="1269"/>
      <c r="AL39" s="1269"/>
      <c r="AM39" s="1269"/>
      <c r="AN39" s="1269"/>
      <c r="AO39" s="1269"/>
      <c r="AP39" s="1269"/>
      <c r="AQ39" s="1269"/>
      <c r="AR39" s="1269"/>
      <c r="AS39" s="1269"/>
      <c r="AT39" s="1269"/>
      <c r="AZ39" s="20"/>
      <c r="BD39" s="1181" t="s">
        <v>2467</v>
      </c>
      <c r="BE39" s="1183">
        <f>Application!AG446</f>
        <v>24</v>
      </c>
    </row>
    <row r="40" spans="1:57" ht="12.95" customHeight="1">
      <c r="A40" s="1269"/>
      <c r="B40" s="1269"/>
      <c r="C40" s="1269"/>
      <c r="D40" s="1269"/>
      <c r="E40" s="1269"/>
      <c r="F40" s="1269"/>
      <c r="G40" s="1269"/>
      <c r="H40" s="1269"/>
      <c r="I40" s="1269"/>
      <c r="J40" s="1269"/>
      <c r="K40" s="1269"/>
      <c r="L40" s="1269"/>
      <c r="M40" s="1269"/>
      <c r="N40" s="1269"/>
      <c r="O40" s="1269"/>
      <c r="P40" s="1269"/>
      <c r="Q40" s="1269"/>
      <c r="R40" s="1269"/>
      <c r="S40" s="1269"/>
      <c r="T40" s="1269"/>
      <c r="U40" s="1269"/>
      <c r="V40" s="1269"/>
      <c r="W40" s="1269"/>
      <c r="X40" s="1269"/>
      <c r="Y40" s="1269"/>
      <c r="Z40" s="1269"/>
      <c r="AA40" s="1269"/>
      <c r="AB40" s="1269"/>
      <c r="AC40" s="1269"/>
      <c r="AD40" s="1269"/>
      <c r="AE40" s="1269"/>
      <c r="AF40" s="1269"/>
      <c r="AG40" s="1269"/>
      <c r="AH40" s="1269"/>
      <c r="AI40" s="1269"/>
      <c r="AJ40" s="1269"/>
      <c r="AK40" s="1269"/>
      <c r="AL40" s="1269"/>
      <c r="AM40" s="1269"/>
      <c r="AN40" s="1269"/>
      <c r="AO40" s="1269"/>
      <c r="AP40" s="1269"/>
      <c r="AQ40" s="1269"/>
      <c r="AR40" s="1269"/>
      <c r="AS40" s="1269"/>
      <c r="AT40" s="1269"/>
      <c r="AU40" s="20"/>
      <c r="AV40" s="20"/>
      <c r="AW40" s="20"/>
      <c r="AX40" s="20"/>
      <c r="AY40" s="20"/>
      <c r="AZ40" s="20"/>
      <c r="BD40" s="1182" t="s">
        <v>384</v>
      </c>
      <c r="BE40" s="1183">
        <f>Application!AG449</f>
        <v>23</v>
      </c>
    </row>
    <row r="41" spans="1:57" ht="12.95" customHeight="1">
      <c r="A41" s="1269"/>
      <c r="B41" s="1269"/>
      <c r="C41" s="1269"/>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69"/>
      <c r="AE41" s="1269"/>
      <c r="AF41" s="1269"/>
      <c r="AG41" s="1269"/>
      <c r="AH41" s="1269"/>
      <c r="AI41" s="1269"/>
      <c r="AJ41" s="1269"/>
      <c r="AK41" s="1269"/>
      <c r="AL41" s="1269"/>
      <c r="AM41" s="1269"/>
      <c r="AN41" s="1269"/>
      <c r="AO41" s="1269"/>
      <c r="AP41" s="1269"/>
      <c r="AQ41" s="1269"/>
      <c r="AR41" s="1269"/>
      <c r="AS41" s="1269"/>
      <c r="AT41" s="1269"/>
      <c r="AU41" s="20"/>
      <c r="AV41" s="20"/>
      <c r="AW41" s="20"/>
      <c r="AX41" s="20"/>
      <c r="AY41" s="20"/>
      <c r="AZ41" s="20"/>
      <c r="BD41" s="1181" t="s">
        <v>287</v>
      </c>
      <c r="BE41" s="1183">
        <f>Application!AG447</f>
        <v>0</v>
      </c>
    </row>
    <row r="42" spans="1:57" ht="12.95" customHeight="1">
      <c r="A42" s="1269"/>
      <c r="B42" s="1269"/>
      <c r="C42" s="1269"/>
      <c r="D42" s="1269"/>
      <c r="E42" s="1269"/>
      <c r="F42" s="1269"/>
      <c r="G42" s="1269"/>
      <c r="H42" s="1269"/>
      <c r="I42" s="1269"/>
      <c r="J42" s="1269"/>
      <c r="K42" s="1269"/>
      <c r="L42" s="1269"/>
      <c r="M42" s="1269"/>
      <c r="N42" s="1269"/>
      <c r="O42" s="1269"/>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69"/>
      <c r="AN42" s="1269"/>
      <c r="AO42" s="1269"/>
      <c r="AP42" s="1269"/>
      <c r="AQ42" s="1269"/>
      <c r="AR42" s="1269"/>
      <c r="AS42" s="1269"/>
      <c r="AT42" s="1269"/>
      <c r="AZ42" s="20"/>
      <c r="BD42" s="1182" t="s">
        <v>2468</v>
      </c>
      <c r="BE42" s="1185">
        <f>Application!AC761</f>
        <v>0.39565217391304347</v>
      </c>
    </row>
    <row r="43" spans="1:57" ht="12.95" customHeight="1">
      <c r="A43" s="1269"/>
      <c r="B43" s="1269"/>
      <c r="C43" s="1269"/>
      <c r="D43" s="1269"/>
      <c r="E43" s="1269"/>
      <c r="F43" s="1269"/>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c r="AM43" s="1269"/>
      <c r="AN43" s="1269"/>
      <c r="AO43" s="1269"/>
      <c r="AP43" s="1269"/>
      <c r="AQ43" s="1269"/>
      <c r="AR43" s="1269"/>
      <c r="AS43" s="1269"/>
      <c r="AT43" s="1269"/>
      <c r="AU43" s="20"/>
      <c r="AV43" s="20"/>
      <c r="AW43" s="20"/>
      <c r="AX43" s="20"/>
      <c r="AY43" s="20"/>
      <c r="AZ43" s="20"/>
      <c r="BD43" s="1181" t="s">
        <v>2469</v>
      </c>
      <c r="BE43" s="1185">
        <f>Application!AH761</f>
        <v>0.39565472695243686</v>
      </c>
    </row>
    <row r="44" spans="1:57" ht="12.95" customHeight="1">
      <c r="A44" s="1269"/>
      <c r="B44" s="1269"/>
      <c r="C44" s="1269"/>
      <c r="D44" s="1269"/>
      <c r="E44" s="1269"/>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c r="AM44" s="1269"/>
      <c r="AN44" s="1269"/>
      <c r="AO44" s="1269"/>
      <c r="AP44" s="1269"/>
      <c r="AQ44" s="1269"/>
      <c r="AR44" s="1269"/>
      <c r="AS44" s="1269"/>
      <c r="AT44" s="1269"/>
      <c r="AU44" s="20"/>
      <c r="AV44" s="20"/>
      <c r="AW44" s="20"/>
      <c r="AX44" s="20"/>
      <c r="AY44" s="20"/>
      <c r="AZ44" s="20"/>
      <c r="BD44" s="1182" t="s">
        <v>2470</v>
      </c>
      <c r="BE44" s="1183">
        <f>Application!AC463</f>
        <v>2176261.0833333335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1</v>
      </c>
    </row>
    <row r="46" spans="1:57" ht="12.95" customHeight="1">
      <c r="A46" s="1302" t="s">
        <v>2107</v>
      </c>
      <c r="B46" s="1302"/>
      <c r="C46" s="1302"/>
      <c r="D46" s="1302"/>
      <c r="E46" s="1302"/>
      <c r="F46" s="1302"/>
      <c r="G46" s="1302"/>
      <c r="H46" s="1302"/>
      <c r="I46" s="1302"/>
      <c r="J46" s="1302"/>
      <c r="K46" s="1302"/>
      <c r="L46" s="1302"/>
      <c r="M46" s="1302"/>
      <c r="N46" s="1302"/>
      <c r="O46" s="1302"/>
      <c r="P46" s="1302"/>
      <c r="Q46" s="1302"/>
      <c r="R46" s="1302"/>
      <c r="S46" s="1302"/>
      <c r="T46" s="1302"/>
      <c r="U46" s="1302"/>
      <c r="V46" s="1302"/>
      <c r="W46" s="1302"/>
      <c r="X46" s="1302"/>
      <c r="Y46" s="1302"/>
      <c r="Z46" s="1302"/>
      <c r="AA46" s="1302"/>
      <c r="AB46" s="1302"/>
      <c r="AC46" s="1302"/>
      <c r="AD46" s="1302"/>
      <c r="AE46" s="1302"/>
      <c r="AF46" s="1302"/>
      <c r="AG46" s="1302"/>
      <c r="AH46" s="1302"/>
      <c r="AI46" s="1302"/>
      <c r="AJ46" s="1302"/>
      <c r="AK46" s="1302"/>
      <c r="AL46" s="1302"/>
      <c r="AM46" s="1302"/>
      <c r="AN46" s="1302"/>
      <c r="AO46" s="1302"/>
      <c r="AP46" s="1302"/>
      <c r="AQ46" s="1302"/>
      <c r="AR46" s="1302"/>
      <c r="AS46" s="1302"/>
      <c r="AT46" s="1302"/>
      <c r="AU46" s="20"/>
      <c r="AV46" s="20"/>
      <c r="AW46" s="20"/>
      <c r="AX46" s="20"/>
      <c r="AY46" s="20"/>
      <c r="AZ46" s="20"/>
      <c r="BD46" s="1182" t="s">
        <v>2472</v>
      </c>
      <c r="BE46" s="1183" t="b">
        <f>Application!T195="Yes"</f>
        <v>1</v>
      </c>
    </row>
    <row r="47" spans="1:57" ht="12.95" customHeight="1">
      <c r="A47" s="1302"/>
      <c r="B47" s="1302"/>
      <c r="C47" s="1302"/>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c r="AF47" s="1302"/>
      <c r="AG47" s="1302"/>
      <c r="AH47" s="1302"/>
      <c r="AI47" s="1302"/>
      <c r="AJ47" s="1302"/>
      <c r="AK47" s="1302"/>
      <c r="AL47" s="1302"/>
      <c r="AM47" s="1302"/>
      <c r="AN47" s="1302"/>
      <c r="AO47" s="1302"/>
      <c r="AP47" s="1302"/>
      <c r="AQ47" s="1302"/>
      <c r="AR47" s="1302"/>
      <c r="AS47" s="1302"/>
      <c r="AT47" s="1302"/>
      <c r="AU47" s="20"/>
      <c r="AV47" s="20"/>
      <c r="AW47" s="20"/>
      <c r="AX47" s="20"/>
      <c r="AY47" s="20"/>
      <c r="AZ47" s="20"/>
      <c r="BD47" s="1181" t="s">
        <v>2473</v>
      </c>
      <c r="BE47" s="1183" t="b">
        <f>Application!T196="Yes"</f>
        <v>0</v>
      </c>
    </row>
    <row r="48" spans="1:57" ht="12.95" customHeight="1">
      <c r="A48" s="1302"/>
      <c r="B48" s="1302"/>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c r="AF48" s="1302"/>
      <c r="AG48" s="1302"/>
      <c r="AH48" s="1302"/>
      <c r="AI48" s="1302"/>
      <c r="AJ48" s="1302"/>
      <c r="AK48" s="1302"/>
      <c r="AL48" s="1302"/>
      <c r="AM48" s="1302"/>
      <c r="AN48" s="1302"/>
      <c r="AO48" s="1302"/>
      <c r="AP48" s="1302"/>
      <c r="AQ48" s="1302"/>
      <c r="AR48" s="1302"/>
      <c r="AS48" s="1302"/>
      <c r="AT48" s="1302"/>
      <c r="AU48" s="20"/>
      <c r="AV48" s="20"/>
      <c r="AW48" s="20"/>
      <c r="AX48" s="20"/>
      <c r="AY48" s="20"/>
      <c r="AZ48" s="20"/>
      <c r="BD48" s="1182" t="s">
        <v>2474</v>
      </c>
      <c r="BE48" s="1183" t="str">
        <f>Application!M252</f>
        <v>U.S.VETS-WLAVA Building 13</v>
      </c>
    </row>
    <row r="49" spans="1:57" ht="12.95" customHeight="1">
      <c r="A49" s="1302"/>
      <c r="B49" s="1302"/>
      <c r="C49" s="1302"/>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1302"/>
      <c r="AC49" s="1302"/>
      <c r="AD49" s="1302"/>
      <c r="AE49" s="1302"/>
      <c r="AF49" s="1302"/>
      <c r="AG49" s="1302"/>
      <c r="AH49" s="1302"/>
      <c r="AI49" s="1302"/>
      <c r="AJ49" s="1302"/>
      <c r="AK49" s="1302"/>
      <c r="AL49" s="1302"/>
      <c r="AM49" s="1302"/>
      <c r="AN49" s="1302"/>
      <c r="AO49" s="1302"/>
      <c r="AP49" s="1302"/>
      <c r="AQ49" s="1302"/>
      <c r="AR49" s="1302"/>
      <c r="AS49" s="1302"/>
      <c r="AT49" s="1302"/>
      <c r="AU49" s="20"/>
      <c r="AV49" s="20"/>
      <c r="AW49" s="20"/>
      <c r="AX49" s="20"/>
      <c r="AY49" s="20"/>
      <c r="AZ49" s="20"/>
      <c r="BD49" s="1181" t="s">
        <v>2475</v>
      </c>
      <c r="BE49" s="1183" t="str">
        <f>Application!M255</f>
        <v>Lori Allgood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U.S.VETS Housing Corporation</v>
      </c>
    </row>
    <row r="51" spans="1:57" ht="12.95" customHeight="1">
      <c r="A51" s="1269" t="s">
        <v>2108</v>
      </c>
      <c r="B51" s="1269"/>
      <c r="C51" s="1269"/>
      <c r="D51" s="1269"/>
      <c r="E51" s="1269"/>
      <c r="F51" s="1269"/>
      <c r="G51" s="1269"/>
      <c r="H51" s="1269"/>
      <c r="I51" s="1269"/>
      <c r="J51" s="1269"/>
      <c r="K51" s="1269"/>
      <c r="L51" s="1269"/>
      <c r="M51" s="1269"/>
      <c r="N51" s="1269"/>
      <c r="O51" s="1269"/>
      <c r="P51" s="1269"/>
      <c r="Q51" s="1269"/>
      <c r="R51" s="1269"/>
      <c r="S51" s="1269"/>
      <c r="T51" s="1269"/>
      <c r="U51" s="1269"/>
      <c r="V51" s="1269"/>
      <c r="W51" s="1269"/>
      <c r="X51" s="1269"/>
      <c r="Y51" s="1269"/>
      <c r="Z51" s="1269"/>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20"/>
      <c r="AV51" s="20"/>
      <c r="AW51" s="20"/>
      <c r="AX51" s="20"/>
      <c r="AY51" s="20"/>
      <c r="AZ51" s="20"/>
      <c r="BD51" s="1181" t="s">
        <v>2477</v>
      </c>
      <c r="BE51" s="1183">
        <f>Application!M260</f>
        <v>0</v>
      </c>
    </row>
    <row r="52" spans="1:57" ht="12.95" customHeight="1">
      <c r="A52" s="1269"/>
      <c r="B52" s="1269"/>
      <c r="C52" s="1269"/>
      <c r="D52" s="1269"/>
      <c r="E52" s="1269"/>
      <c r="F52" s="1269"/>
      <c r="G52" s="1269"/>
      <c r="H52" s="1269"/>
      <c r="I52" s="1269"/>
      <c r="J52" s="1269"/>
      <c r="K52" s="1269"/>
      <c r="L52" s="1269"/>
      <c r="M52" s="1269"/>
      <c r="N52" s="1269"/>
      <c r="O52" s="1269"/>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20"/>
      <c r="AV52" s="20"/>
      <c r="AW52" s="20"/>
      <c r="AX52" s="20"/>
      <c r="AY52" s="20"/>
      <c r="AZ52" s="20"/>
      <c r="BD52" s="1182" t="s">
        <v>2478</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9" t="s">
        <v>2109</v>
      </c>
      <c r="B54" s="1269"/>
      <c r="C54" s="1269"/>
      <c r="D54" s="1269"/>
      <c r="E54" s="1269"/>
      <c r="F54" s="1269"/>
      <c r="G54" s="1269"/>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20"/>
      <c r="AV54" s="20"/>
      <c r="AW54" s="20"/>
      <c r="AX54" s="20"/>
      <c r="AY54" s="20"/>
      <c r="AZ54" s="21"/>
      <c r="BD54" s="1182" t="s">
        <v>2480</v>
      </c>
      <c r="BE54" s="1183">
        <f>Application!M268</f>
        <v>0</v>
      </c>
    </row>
    <row r="55" spans="1:57" ht="12.95" customHeight="1">
      <c r="A55" s="1269"/>
      <c r="B55" s="1269"/>
      <c r="C55" s="1269"/>
      <c r="D55" s="1269"/>
      <c r="E55" s="1269"/>
      <c r="F55" s="1269"/>
      <c r="G55" s="1269"/>
      <c r="H55" s="1269"/>
      <c r="I55" s="1269"/>
      <c r="J55" s="1269"/>
      <c r="K55" s="1269"/>
      <c r="L55" s="1269"/>
      <c r="M55" s="1269"/>
      <c r="N55" s="1269"/>
      <c r="O55" s="1269"/>
      <c r="P55" s="1269"/>
      <c r="Q55" s="1269"/>
      <c r="R55" s="1269"/>
      <c r="S55" s="1269"/>
      <c r="T55" s="1269"/>
      <c r="U55" s="1269"/>
      <c r="V55" s="1269"/>
      <c r="W55" s="1269"/>
      <c r="X55" s="1269"/>
      <c r="Y55" s="1269"/>
      <c r="Z55" s="1269"/>
      <c r="AA55" s="1269"/>
      <c r="AB55" s="1269"/>
      <c r="AC55" s="1269"/>
      <c r="AD55" s="1269"/>
      <c r="AE55" s="1269"/>
      <c r="AF55" s="1269"/>
      <c r="AG55" s="1269"/>
      <c r="AH55" s="1269"/>
      <c r="AI55" s="1269"/>
      <c r="AJ55" s="1269"/>
      <c r="AK55" s="1269"/>
      <c r="AL55" s="1269"/>
      <c r="AM55" s="1269"/>
      <c r="AN55" s="1269"/>
      <c r="AO55" s="1269"/>
      <c r="AP55" s="1269"/>
      <c r="AQ55" s="1269"/>
      <c r="AR55" s="1269"/>
      <c r="AS55" s="1269"/>
      <c r="AT55" s="1269"/>
      <c r="AZ55" s="21"/>
      <c r="BD55" s="1181" t="s">
        <v>2481</v>
      </c>
      <c r="BE55" s="1183">
        <f>Application!M271</f>
        <v>0</v>
      </c>
    </row>
    <row r="56" spans="1:57" ht="12.95" customHeight="1">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c r="AO56" s="1269"/>
      <c r="AP56" s="1269"/>
      <c r="AQ56" s="1269"/>
      <c r="AR56" s="1269"/>
      <c r="AS56" s="1269"/>
      <c r="AT56" s="1269"/>
      <c r="BD56" s="1182" t="s">
        <v>2482</v>
      </c>
      <c r="BE56" s="1183">
        <f>Application!AA274</f>
        <v>0</v>
      </c>
    </row>
    <row r="57" spans="1:57" ht="12.95" customHeight="1">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BD57" s="1181" t="s">
        <v>2483</v>
      </c>
      <c r="BE57" s="1183" t="str">
        <f>Application!H296</f>
        <v>U.S.VETS Housing Corporation</v>
      </c>
    </row>
    <row r="58" spans="1:57" ht="12.95" customHeight="1">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BD58" s="1182" t="s">
        <v>2484</v>
      </c>
      <c r="BE58" s="1183" t="str">
        <f>Application!H297</f>
        <v>800 W 6th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Los Angeles, CA 90017</v>
      </c>
    </row>
    <row r="60" spans="1:57" ht="12.95" customHeight="1">
      <c r="A60" s="1269" t="s">
        <v>2110</v>
      </c>
      <c r="B60" s="1269"/>
      <c r="C60" s="1269"/>
      <c r="D60" s="1269"/>
      <c r="E60" s="1269"/>
      <c r="F60" s="1269"/>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269"/>
      <c r="AS60" s="1269"/>
      <c r="AT60" s="1269"/>
      <c r="AU60" s="20"/>
      <c r="AV60" s="20"/>
      <c r="AW60" s="20"/>
      <c r="AX60" s="20"/>
      <c r="AY60" s="20"/>
      <c r="AZ60" s="20"/>
      <c r="BD60" s="1182" t="s">
        <v>2486</v>
      </c>
      <c r="BE60" s="1183" t="str">
        <f>Application!H299</f>
        <v>Lori Allgood</v>
      </c>
    </row>
    <row r="61" spans="1:57" ht="12.95" customHeight="1">
      <c r="A61" s="1269"/>
      <c r="B61" s="1269"/>
      <c r="C61" s="1269"/>
      <c r="D61" s="1269"/>
      <c r="E61" s="1269"/>
      <c r="F61" s="1269"/>
      <c r="G61" s="1269"/>
      <c r="H61" s="1269"/>
      <c r="I61" s="1269"/>
      <c r="J61" s="1269"/>
      <c r="K61" s="1269"/>
      <c r="L61" s="1269"/>
      <c r="M61" s="1269"/>
      <c r="N61" s="1269"/>
      <c r="O61" s="1269"/>
      <c r="P61" s="1269"/>
      <c r="Q61" s="1269"/>
      <c r="R61" s="1269"/>
      <c r="S61" s="1269"/>
      <c r="T61" s="1269"/>
      <c r="U61" s="1269"/>
      <c r="V61" s="1269"/>
      <c r="W61" s="1269"/>
      <c r="X61" s="1269"/>
      <c r="Y61" s="1269"/>
      <c r="Z61" s="1269"/>
      <c r="AA61" s="1269"/>
      <c r="AB61" s="1269"/>
      <c r="AC61" s="1269"/>
      <c r="AD61" s="1269"/>
      <c r="AE61" s="1269"/>
      <c r="AF61" s="1269"/>
      <c r="AG61" s="1269"/>
      <c r="AH61" s="1269"/>
      <c r="AI61" s="1269"/>
      <c r="AJ61" s="1269"/>
      <c r="AK61" s="1269"/>
      <c r="AL61" s="1269"/>
      <c r="AM61" s="1269"/>
      <c r="AN61" s="1269"/>
      <c r="AO61" s="1269"/>
      <c r="AP61" s="1269"/>
      <c r="AQ61" s="1269"/>
      <c r="AR61" s="1269"/>
      <c r="AS61" s="1269"/>
      <c r="AT61" s="1269"/>
      <c r="AU61" s="20"/>
      <c r="AV61" s="20"/>
      <c r="AW61" s="20"/>
      <c r="AX61" s="20"/>
      <c r="AY61" s="20"/>
      <c r="AZ61" s="20"/>
      <c r="BD61" s="1181" t="s">
        <v>2487</v>
      </c>
      <c r="BE61" s="1183" t="str">
        <f>Application!H302</f>
        <v xml:space="preserve">lallgood@usvets.org </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0.86991299349464069</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496" t="s">
        <v>2112</v>
      </c>
      <c r="B65" s="1496"/>
      <c r="C65" s="1496"/>
      <c r="D65" s="1496"/>
      <c r="E65" s="1496"/>
      <c r="F65" s="1496"/>
      <c r="G65" s="1496"/>
      <c r="H65" s="1496"/>
      <c r="I65" s="1496"/>
      <c r="J65" s="1496"/>
      <c r="K65" s="1496"/>
      <c r="L65" s="1496"/>
      <c r="M65" s="1496"/>
      <c r="N65" s="1496"/>
      <c r="O65" s="1496"/>
      <c r="P65" s="1496"/>
      <c r="Q65" s="1496"/>
      <c r="R65" s="1496"/>
      <c r="S65" s="1496"/>
      <c r="T65" s="1496"/>
      <c r="U65" s="1496"/>
      <c r="V65" s="1496"/>
      <c r="W65" s="1496"/>
      <c r="X65" s="1496"/>
      <c r="Y65" s="1496"/>
      <c r="Z65" s="1496"/>
      <c r="AA65" s="1496"/>
      <c r="AB65" s="1496"/>
      <c r="AC65" s="1496"/>
      <c r="AD65" s="1496"/>
      <c r="AE65" s="1496"/>
      <c r="AF65" s="1496"/>
      <c r="AG65" s="1496"/>
      <c r="AH65" s="1496"/>
      <c r="AI65" s="1496"/>
      <c r="AJ65" s="1496"/>
      <c r="AK65" s="1496"/>
      <c r="AL65" s="1496"/>
      <c r="AM65" s="1496"/>
      <c r="AN65" s="1496"/>
      <c r="AO65" s="1496"/>
      <c r="AP65" s="1496"/>
      <c r="AQ65" s="1496"/>
      <c r="AR65" s="1496"/>
      <c r="AS65" s="1496"/>
      <c r="AT65" s="1496"/>
      <c r="AU65" s="21"/>
      <c r="AV65" s="21"/>
      <c r="AW65" s="21"/>
      <c r="AX65" s="21"/>
      <c r="AY65" s="21"/>
      <c r="AZ65" s="20"/>
      <c r="BD65" s="1181" t="s">
        <v>2523</v>
      </c>
      <c r="BE65" s="1183" t="str">
        <f>Z205</f>
        <v>(select)</v>
      </c>
    </row>
    <row r="66" spans="1:57" ht="12.95" customHeight="1">
      <c r="A66" s="1496"/>
      <c r="B66" s="1496"/>
      <c r="C66" s="1496"/>
      <c r="D66" s="1496"/>
      <c r="E66" s="1496"/>
      <c r="F66" s="1496"/>
      <c r="G66" s="1496"/>
      <c r="H66" s="1496"/>
      <c r="I66" s="1496"/>
      <c r="J66" s="1496"/>
      <c r="K66" s="149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6"/>
      <c r="AI66" s="1496"/>
      <c r="AJ66" s="1496"/>
      <c r="AK66" s="1496"/>
      <c r="AL66" s="1496"/>
      <c r="AM66" s="1496"/>
      <c r="AN66" s="1496"/>
      <c r="AO66" s="1496"/>
      <c r="AP66" s="1496"/>
      <c r="AQ66" s="1496"/>
      <c r="AR66" s="1496"/>
      <c r="AS66" s="1496"/>
      <c r="AT66" s="1496"/>
      <c r="AU66" s="21"/>
      <c r="AV66" s="21"/>
      <c r="AW66" s="21"/>
      <c r="AX66" s="21"/>
      <c r="AY66" s="21"/>
      <c r="AZ66" s="20"/>
      <c r="BD66" s="1182" t="s">
        <v>2490</v>
      </c>
      <c r="BE66" s="1183" t="b">
        <f>Application!Z205="State Farmworker Credit"</f>
        <v>0</v>
      </c>
    </row>
    <row r="67" spans="1:57" ht="12.95" customHeight="1">
      <c r="A67" s="1496"/>
      <c r="B67" s="1496"/>
      <c r="C67" s="1496"/>
      <c r="D67" s="1496"/>
      <c r="E67" s="1496"/>
      <c r="F67" s="1496"/>
      <c r="G67" s="1496"/>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6"/>
      <c r="AK67" s="1496"/>
      <c r="AL67" s="1496"/>
      <c r="AM67" s="1496"/>
      <c r="AN67" s="1496"/>
      <c r="AO67" s="1496"/>
      <c r="AP67" s="1496"/>
      <c r="AQ67" s="1496"/>
      <c r="AR67" s="1496"/>
      <c r="AS67" s="1496"/>
      <c r="AT67" s="1496"/>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22144154</v>
      </c>
    </row>
    <row r="69" spans="1:57" ht="12.95" customHeight="1">
      <c r="A69" s="1496" t="s">
        <v>2113</v>
      </c>
      <c r="B69" s="1496"/>
      <c r="C69" s="1496"/>
      <c r="D69" s="1496"/>
      <c r="E69" s="1496"/>
      <c r="F69" s="1496"/>
      <c r="G69" s="1496"/>
      <c r="H69" s="1496"/>
      <c r="I69" s="1496"/>
      <c r="J69" s="1496"/>
      <c r="K69" s="1496"/>
      <c r="L69" s="1496"/>
      <c r="M69" s="1496"/>
      <c r="N69" s="1496"/>
      <c r="O69" s="1496"/>
      <c r="P69" s="1496"/>
      <c r="Q69" s="1496"/>
      <c r="R69" s="1496"/>
      <c r="S69" s="1496"/>
      <c r="T69" s="1496"/>
      <c r="U69" s="1496"/>
      <c r="V69" s="1496"/>
      <c r="W69" s="1496"/>
      <c r="X69" s="1496"/>
      <c r="Y69" s="1496"/>
      <c r="Z69" s="1496"/>
      <c r="AA69" s="1496"/>
      <c r="AB69" s="1496"/>
      <c r="AC69" s="1496"/>
      <c r="AD69" s="1496"/>
      <c r="AE69" s="1496"/>
      <c r="AF69" s="1496"/>
      <c r="AG69" s="1496"/>
      <c r="AH69" s="1496"/>
      <c r="AI69" s="1496"/>
      <c r="AJ69" s="1496"/>
      <c r="AK69" s="1496"/>
      <c r="AL69" s="1496"/>
      <c r="AM69" s="1496"/>
      <c r="AN69" s="1496"/>
      <c r="AO69" s="1496"/>
      <c r="AP69" s="1496"/>
      <c r="AQ69" s="1496"/>
      <c r="AR69" s="1496"/>
      <c r="AS69" s="1496"/>
      <c r="AT69" s="1496"/>
      <c r="AZ69" s="20"/>
      <c r="BD69" s="1181" t="s">
        <v>2493</v>
      </c>
      <c r="BE69" s="1183" t="str">
        <f>Application!W708</f>
        <v>California Housing Finance Agency</v>
      </c>
    </row>
    <row r="70" spans="1:57" ht="12.95" customHeight="1">
      <c r="A70" s="1496"/>
      <c r="B70" s="1496"/>
      <c r="C70" s="1496"/>
      <c r="D70" s="1496"/>
      <c r="E70" s="1496"/>
      <c r="F70" s="1496"/>
      <c r="G70" s="1496"/>
      <c r="H70" s="1496"/>
      <c r="I70" s="1496"/>
      <c r="J70" s="1496"/>
      <c r="K70" s="1496"/>
      <c r="L70" s="1496"/>
      <c r="M70" s="1496"/>
      <c r="N70" s="1496"/>
      <c r="O70" s="1496"/>
      <c r="P70" s="1496"/>
      <c r="Q70" s="1496"/>
      <c r="R70" s="1496"/>
      <c r="S70" s="1496"/>
      <c r="T70" s="1496"/>
      <c r="U70" s="1496"/>
      <c r="V70" s="1496"/>
      <c r="W70" s="1496"/>
      <c r="X70" s="1496"/>
      <c r="Y70" s="1496"/>
      <c r="Z70" s="1496"/>
      <c r="AA70" s="1496"/>
      <c r="AB70" s="1496"/>
      <c r="AC70" s="1496"/>
      <c r="AD70" s="1496"/>
      <c r="AE70" s="1496"/>
      <c r="AF70" s="1496"/>
      <c r="AG70" s="1496"/>
      <c r="AH70" s="1496"/>
      <c r="AI70" s="1496"/>
      <c r="AJ70" s="1496"/>
      <c r="AK70" s="1496"/>
      <c r="AL70" s="1496"/>
      <c r="AM70" s="1496"/>
      <c r="AN70" s="1496"/>
      <c r="AO70" s="1496"/>
      <c r="AP70" s="1496"/>
      <c r="AQ70" s="1496"/>
      <c r="AR70" s="1496"/>
      <c r="AS70" s="1496"/>
      <c r="AT70" s="1496"/>
      <c r="AU70" s="20"/>
      <c r="AV70" s="20"/>
      <c r="AW70" s="20"/>
      <c r="AX70" s="20"/>
      <c r="AY70" s="20"/>
      <c r="AZ70" s="20"/>
      <c r="BD70" s="1182" t="s">
        <v>2494</v>
      </c>
      <c r="BE70" s="1183">
        <f>'Points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494" t="s">
        <v>2114</v>
      </c>
      <c r="B72" s="1494"/>
      <c r="C72" s="1494"/>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494"/>
      <c r="AK72" s="1494"/>
      <c r="AL72" s="1494"/>
      <c r="AM72" s="1494"/>
      <c r="AN72" s="1494"/>
      <c r="AO72" s="1494"/>
      <c r="AP72" s="1494"/>
      <c r="AQ72" s="1494"/>
      <c r="AR72" s="1494"/>
      <c r="AS72" s="1494"/>
      <c r="AT72" s="1494"/>
      <c r="AU72" s="20"/>
      <c r="AV72" s="20"/>
      <c r="AW72" s="20"/>
      <c r="AX72" s="20"/>
      <c r="AY72" s="20"/>
      <c r="AZ72" s="20"/>
      <c r="BD72" s="1182" t="s">
        <v>2495</v>
      </c>
      <c r="BE72" s="1183">
        <f>'Points System'!AF827</f>
        <v>10</v>
      </c>
    </row>
    <row r="73" spans="1:57" ht="12.95" customHeight="1">
      <c r="A73" s="1494"/>
      <c r="B73" s="1494"/>
      <c r="C73" s="1494"/>
      <c r="D73" s="1494"/>
      <c r="E73" s="1494"/>
      <c r="F73" s="1494"/>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1494"/>
      <c r="AO73" s="1494"/>
      <c r="AP73" s="1494"/>
      <c r="AQ73" s="1494"/>
      <c r="AR73" s="1494"/>
      <c r="AS73" s="1494"/>
      <c r="AT73" s="1494"/>
      <c r="AU73" s="20"/>
      <c r="AV73" s="20"/>
      <c r="AW73" s="20"/>
      <c r="AX73" s="20"/>
      <c r="AY73" s="20"/>
      <c r="AZ73" s="20"/>
      <c r="BD73" s="1181" t="s">
        <v>2496</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7" t="s">
        <v>2115</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c r="BD75" s="1181" t="s">
        <v>2498</v>
      </c>
      <c r="BE75" s="1183">
        <f>'Points System'!AF830</f>
        <v>10</v>
      </c>
    </row>
    <row r="76" spans="1:57"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c r="BD76" s="1182" t="s">
        <v>2499</v>
      </c>
      <c r="BE76" s="1183">
        <f>'Points System'!AF833</f>
        <v>10</v>
      </c>
    </row>
    <row r="77" spans="1:57"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496" t="s">
        <v>2116</v>
      </c>
      <c r="B79" s="1496"/>
      <c r="C79" s="1496"/>
      <c r="D79" s="1496"/>
      <c r="E79" s="1496"/>
      <c r="F79" s="1496"/>
      <c r="G79" s="1496"/>
      <c r="H79" s="1496"/>
      <c r="I79" s="1496"/>
      <c r="J79" s="1496"/>
      <c r="K79" s="1496"/>
      <c r="L79" s="1496"/>
      <c r="M79" s="1496"/>
      <c r="N79" s="1496"/>
      <c r="O79" s="1496"/>
      <c r="P79" s="1496"/>
      <c r="Q79" s="1496"/>
      <c r="R79" s="1496"/>
      <c r="S79" s="1496"/>
      <c r="T79" s="1496"/>
      <c r="U79" s="1496"/>
      <c r="V79" s="1496"/>
      <c r="W79" s="1496"/>
      <c r="X79" s="1496"/>
      <c r="Y79" s="1496"/>
      <c r="Z79" s="1496"/>
      <c r="AA79" s="1496"/>
      <c r="AB79" s="1496"/>
      <c r="AC79" s="1496"/>
      <c r="AD79" s="1496"/>
      <c r="AE79" s="1496"/>
      <c r="AF79" s="1496"/>
      <c r="AG79" s="1496"/>
      <c r="AH79" s="1496"/>
      <c r="AI79" s="1496"/>
      <c r="AJ79" s="1496"/>
      <c r="AK79" s="1496"/>
      <c r="AL79" s="1496"/>
      <c r="AM79" s="1496"/>
      <c r="AN79" s="1496"/>
      <c r="AO79" s="1496"/>
      <c r="AP79" s="1496"/>
      <c r="AQ79" s="1496"/>
      <c r="AR79" s="1496"/>
      <c r="AS79" s="1496"/>
      <c r="AT79" s="1496"/>
      <c r="AU79" s="20"/>
      <c r="AV79" s="20"/>
      <c r="AW79" s="20"/>
      <c r="AX79" s="20"/>
      <c r="AY79" s="20"/>
      <c r="AZ79" s="20"/>
      <c r="BD79" s="1181" t="s">
        <v>2620</v>
      </c>
      <c r="BE79" s="1183">
        <f>'Points System'!AF837</f>
        <v>10</v>
      </c>
    </row>
    <row r="80" spans="1:57" ht="12.95" customHeight="1">
      <c r="A80" s="1496"/>
      <c r="B80" s="1496"/>
      <c r="C80" s="1496"/>
      <c r="D80" s="1496"/>
      <c r="E80" s="1496"/>
      <c r="F80" s="1496"/>
      <c r="G80" s="1496"/>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496"/>
      <c r="AJ80" s="1496"/>
      <c r="AK80" s="1496"/>
      <c r="AL80" s="1496"/>
      <c r="AM80" s="1496"/>
      <c r="AN80" s="1496"/>
      <c r="AO80" s="1496"/>
      <c r="AP80" s="1496"/>
      <c r="AQ80" s="1496"/>
      <c r="AR80" s="1496"/>
      <c r="AS80" s="1496"/>
      <c r="AT80" s="1496"/>
      <c r="AU80" s="20"/>
      <c r="AV80" s="20"/>
      <c r="AW80" s="20"/>
      <c r="AX80" s="20"/>
      <c r="AY80" s="20"/>
      <c r="AZ80" s="20"/>
      <c r="BD80" s="1182" t="s">
        <v>2502</v>
      </c>
      <c r="BE80" s="1183">
        <f>'Points System'!AF839</f>
        <v>10</v>
      </c>
    </row>
    <row r="81" spans="1:57" ht="12.95" customHeight="1">
      <c r="A81" s="1496"/>
      <c r="B81" s="1496"/>
      <c r="C81" s="1496"/>
      <c r="D81" s="1496"/>
      <c r="E81" s="1496"/>
      <c r="F81" s="1496"/>
      <c r="G81" s="1496"/>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6"/>
      <c r="AK81" s="1496"/>
      <c r="AL81" s="1496"/>
      <c r="AM81" s="1496"/>
      <c r="AN81" s="1496"/>
      <c r="AO81" s="1496"/>
      <c r="AP81" s="1496"/>
      <c r="AQ81" s="1496"/>
      <c r="AR81" s="1496"/>
      <c r="AS81" s="1496"/>
      <c r="AT81" s="1496"/>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9" t="s">
        <v>2117</v>
      </c>
      <c r="B83" s="1269"/>
      <c r="C83" s="1269"/>
      <c r="D83" s="1269"/>
      <c r="E83" s="1269"/>
      <c r="F83" s="1269"/>
      <c r="G83" s="1269"/>
      <c r="H83" s="1269"/>
      <c r="I83" s="1269"/>
      <c r="J83" s="1269"/>
      <c r="K83" s="1269"/>
      <c r="L83" s="1269"/>
      <c r="M83" s="1269"/>
      <c r="N83" s="1269"/>
      <c r="O83" s="1269"/>
      <c r="P83" s="1269"/>
      <c r="Q83" s="1269"/>
      <c r="R83" s="1269"/>
      <c r="S83" s="1269"/>
      <c r="T83" s="1269"/>
      <c r="U83" s="1269"/>
      <c r="V83" s="1269"/>
      <c r="W83" s="1269"/>
      <c r="X83" s="1269"/>
      <c r="Y83" s="1269"/>
      <c r="Z83" s="1269"/>
      <c r="AA83" s="1269"/>
      <c r="AB83" s="1269"/>
      <c r="AC83" s="1269"/>
      <c r="AD83" s="1269"/>
      <c r="AE83" s="1269"/>
      <c r="AF83" s="1269"/>
      <c r="AG83" s="1269"/>
      <c r="AH83" s="1269"/>
      <c r="AI83" s="1269"/>
      <c r="AJ83" s="1269"/>
      <c r="AK83" s="1269"/>
      <c r="AL83" s="1269"/>
      <c r="AM83" s="1269"/>
      <c r="AN83" s="1269"/>
      <c r="AO83" s="1269"/>
      <c r="AP83" s="1269"/>
      <c r="AQ83" s="1269"/>
      <c r="AR83" s="1269"/>
      <c r="AS83" s="1269"/>
      <c r="AT83" s="1269"/>
      <c r="AU83" s="20"/>
      <c r="AV83" s="20"/>
      <c r="AW83" s="20"/>
      <c r="AX83" s="20"/>
      <c r="AY83" s="20"/>
      <c r="AZ83" s="20"/>
      <c r="BD83" s="1181" t="s">
        <v>2505</v>
      </c>
      <c r="BE83" s="1187">
        <f>'Tie Breaker'!H5</f>
        <v>1.0310976293861744</v>
      </c>
    </row>
    <row r="84" spans="1:57" ht="12.95" customHeight="1">
      <c r="A84" s="1269"/>
      <c r="B84" s="1269"/>
      <c r="C84" s="1269"/>
      <c r="D84" s="1269"/>
      <c r="E84" s="1269"/>
      <c r="F84" s="1269"/>
      <c r="G84" s="1269"/>
      <c r="H84" s="1269"/>
      <c r="I84" s="1269"/>
      <c r="J84" s="1269"/>
      <c r="K84" s="1269"/>
      <c r="L84" s="1269"/>
      <c r="M84" s="1269"/>
      <c r="N84" s="1269"/>
      <c r="O84" s="1269"/>
      <c r="P84" s="1269"/>
      <c r="Q84" s="1269"/>
      <c r="R84" s="1269"/>
      <c r="S84" s="1269"/>
      <c r="T84" s="1269"/>
      <c r="U84" s="1269"/>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20"/>
      <c r="AV84" s="20"/>
      <c r="AW84" s="20"/>
      <c r="AX84" s="20"/>
      <c r="AY84" s="20"/>
      <c r="AZ84" s="20"/>
      <c r="BD84" s="1182" t="s">
        <v>2506</v>
      </c>
      <c r="BE84" s="1183" t="str">
        <f>Application!O153</f>
        <v>County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Lynn Katano</v>
      </c>
    </row>
    <row r="86" spans="1:57" ht="12.95" customHeight="1">
      <c r="A86" s="1269" t="s">
        <v>2118</v>
      </c>
      <c r="B86" s="1269"/>
      <c r="C86" s="1269"/>
      <c r="D86" s="1269"/>
      <c r="E86" s="1269"/>
      <c r="F86" s="1269"/>
      <c r="G86" s="1269"/>
      <c r="H86" s="1269"/>
      <c r="I86" s="1269"/>
      <c r="J86" s="1269"/>
      <c r="K86" s="1269"/>
      <c r="L86" s="1269"/>
      <c r="M86" s="1269"/>
      <c r="N86" s="1269"/>
      <c r="O86" s="1269"/>
      <c r="P86" s="1269"/>
      <c r="Q86" s="1269"/>
      <c r="R86" s="1269"/>
      <c r="S86" s="1269"/>
      <c r="T86" s="1269"/>
      <c r="U86" s="1269"/>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20"/>
      <c r="AV86" s="20"/>
      <c r="AW86" s="20"/>
      <c r="AX86" s="20"/>
      <c r="AY86" s="20"/>
      <c r="AZ86" s="20"/>
      <c r="BD86" s="1182" t="s">
        <v>2508</v>
      </c>
      <c r="BE86" s="1183" t="str">
        <f>Application!O155</f>
        <v>City Manager</v>
      </c>
    </row>
    <row r="87" spans="1:57" ht="12.95" customHeight="1">
      <c r="A87" s="1269"/>
      <c r="B87" s="1269"/>
      <c r="C87" s="1269"/>
      <c r="D87" s="1269"/>
      <c r="E87" s="1269"/>
      <c r="F87" s="1269"/>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20"/>
      <c r="AV87" s="20"/>
      <c r="AW87" s="20"/>
      <c r="AX87" s="20"/>
      <c r="AY87" s="20"/>
      <c r="AZ87" s="20"/>
      <c r="BD87" s="1181" t="s">
        <v>2509</v>
      </c>
      <c r="BE87" s="1183" t="str">
        <f>Application!O156</f>
        <v>700 W. Main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Alhambra</v>
      </c>
    </row>
    <row r="89" spans="1:57" ht="12.95" customHeight="1">
      <c r="A89" s="1796" t="s">
        <v>2119</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c r="BD89" s="1181" t="s">
        <v>2511</v>
      </c>
      <c r="BE89" s="1183">
        <f>Application!O158</f>
        <v>91801</v>
      </c>
    </row>
    <row r="90" spans="1:57"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c r="BD90" s="1182" t="s">
        <v>2512</v>
      </c>
      <c r="BE90" s="1183" t="str">
        <f>Application!H16</f>
        <v>U.S.VETS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800 West 6th Street, Suite 1505</v>
      </c>
    </row>
    <row r="92" spans="1:57" ht="12.95" customHeight="1">
      <c r="A92" s="1797" t="s">
        <v>2120</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c r="BD92" s="1182" t="s">
        <v>2514</v>
      </c>
      <c r="BE92" s="1183" t="str">
        <f>Application!M243</f>
        <v>Los Angeles</v>
      </c>
    </row>
    <row r="93" spans="1:57"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c r="BD93" s="1181" t="s">
        <v>2515</v>
      </c>
      <c r="BE93" s="1183" t="str">
        <f>Application!W243</f>
        <v>CA</v>
      </c>
    </row>
    <row r="94" spans="1:57"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c r="BD94" s="1182" t="s">
        <v>2516</v>
      </c>
      <c r="BE94" s="1183">
        <f>Application!AC243</f>
        <v>90017</v>
      </c>
    </row>
    <row r="95" spans="1:57"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c r="BD95" s="1181" t="s">
        <v>2517</v>
      </c>
      <c r="BE95" s="1183" t="str">
        <f>Application!M244</f>
        <v>Lori Allgood</v>
      </c>
    </row>
    <row r="96" spans="1:57"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c r="BD96" s="1182" t="s">
        <v>2518</v>
      </c>
      <c r="BE96" s="1183" t="str">
        <f>Application!M246</f>
        <v>lallgood@usvets.org</v>
      </c>
    </row>
    <row r="97" spans="1:57"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c r="BD97" s="1181" t="s">
        <v>2519</v>
      </c>
      <c r="BE97" s="1183" t="str">
        <f>Application!M257</f>
        <v>lallgood@usvets.org</v>
      </c>
    </row>
    <row r="98" spans="1:57"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c r="BD98" s="1182" t="s">
        <v>2520</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8" t="s">
        <v>2121</v>
      </c>
      <c r="B100" s="1798"/>
      <c r="C100" s="1798"/>
      <c r="D100" s="1798"/>
      <c r="E100" s="1798"/>
      <c r="F100" s="1798"/>
      <c r="G100" s="1798"/>
      <c r="H100" s="1798"/>
      <c r="I100" s="1798"/>
      <c r="J100" s="1798"/>
      <c r="K100" s="1798"/>
      <c r="L100" s="1798"/>
      <c r="M100" s="1798"/>
      <c r="N100" s="1798"/>
      <c r="O100" s="1798"/>
      <c r="P100" s="1798"/>
      <c r="Q100" s="1798"/>
      <c r="R100" s="1798"/>
      <c r="S100" s="1798"/>
      <c r="T100" s="1798"/>
      <c r="U100" s="1798"/>
      <c r="V100" s="1798"/>
      <c r="W100" s="1798"/>
      <c r="X100" s="1798"/>
      <c r="Y100" s="1798"/>
      <c r="Z100" s="1798"/>
      <c r="AA100" s="1798"/>
      <c r="AB100" s="1798"/>
      <c r="AC100" s="1798"/>
      <c r="AD100" s="1798"/>
      <c r="AE100" s="1798"/>
      <c r="AF100" s="1798"/>
      <c r="AG100" s="1798"/>
      <c r="AH100" s="1798"/>
      <c r="AI100" s="1798"/>
      <c r="AJ100" s="1798"/>
      <c r="AK100" s="1798"/>
      <c r="AL100" s="1798"/>
      <c r="AM100" s="1798"/>
      <c r="AN100" s="1798"/>
      <c r="AO100" s="1798"/>
      <c r="AP100" s="1798"/>
      <c r="AQ100" s="1798"/>
      <c r="AR100" s="1798"/>
      <c r="AS100" s="1798"/>
      <c r="AT100" s="1798"/>
      <c r="AU100" s="20"/>
      <c r="AV100" s="20"/>
      <c r="AW100" s="20"/>
      <c r="AX100" s="20"/>
      <c r="AY100" s="20"/>
      <c r="AZ100" s="20"/>
      <c r="BD100" s="1182" t="s">
        <v>2522</v>
      </c>
      <c r="BE100" s="1183" t="str">
        <f>Application!L288</f>
        <v>william@kingdomdevelopment.net</v>
      </c>
    </row>
    <row r="101" spans="1:57" ht="12.95" customHeight="1">
      <c r="A101" s="1798"/>
      <c r="B101" s="1798"/>
      <c r="C101" s="1798"/>
      <c r="D101" s="1798"/>
      <c r="E101" s="1798"/>
      <c r="F101" s="1798"/>
      <c r="G101" s="1798"/>
      <c r="H101" s="1798"/>
      <c r="I101" s="1798"/>
      <c r="J101" s="1798"/>
      <c r="K101" s="1798"/>
      <c r="L101" s="1798"/>
      <c r="M101" s="1798"/>
      <c r="N101" s="1798"/>
      <c r="O101" s="1798"/>
      <c r="P101" s="1798"/>
      <c r="Q101" s="1798"/>
      <c r="R101" s="1798"/>
      <c r="S101" s="1798"/>
      <c r="T101" s="1798"/>
      <c r="U101" s="1798"/>
      <c r="V101" s="1798"/>
      <c r="W101" s="1798"/>
      <c r="X101" s="1798"/>
      <c r="Y101" s="1798"/>
      <c r="Z101" s="1798"/>
      <c r="AA101" s="1798"/>
      <c r="AB101" s="1798"/>
      <c r="AC101" s="1798"/>
      <c r="AD101" s="1798"/>
      <c r="AE101" s="1798"/>
      <c r="AF101" s="1798"/>
      <c r="AG101" s="1798"/>
      <c r="AH101" s="1798"/>
      <c r="AI101" s="1798"/>
      <c r="AJ101" s="1798"/>
      <c r="AK101" s="1798"/>
      <c r="AL101" s="1798"/>
      <c r="AM101" s="1798"/>
      <c r="AN101" s="1798"/>
      <c r="AO101" s="1798"/>
      <c r="AP101" s="1798"/>
      <c r="AQ101" s="1798"/>
      <c r="AR101" s="1798"/>
      <c r="AS101" s="1798"/>
      <c r="AT101" s="1798"/>
      <c r="AU101" s="20"/>
      <c r="AV101" s="20"/>
      <c r="AW101" s="20"/>
      <c r="AX101" s="20"/>
      <c r="AY101" s="20"/>
      <c r="AZ101" s="20"/>
      <c r="BD101" s="3" t="s">
        <v>2527</v>
      </c>
      <c r="BE101">
        <f>'Sources and Uses Budget'!C105</f>
        <v>30086112</v>
      </c>
    </row>
    <row r="102" spans="1:57" ht="12.95" customHeight="1">
      <c r="A102" s="1798"/>
      <c r="B102" s="1798"/>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W102" s="1798"/>
      <c r="X102" s="1798"/>
      <c r="Y102" s="1798"/>
      <c r="Z102" s="1798"/>
      <c r="AA102" s="1798"/>
      <c r="AB102" s="1798"/>
      <c r="AC102" s="1798"/>
      <c r="AD102" s="1798"/>
      <c r="AE102" s="1798"/>
      <c r="AF102" s="1798"/>
      <c r="AG102" s="1798"/>
      <c r="AH102" s="1798"/>
      <c r="AI102" s="1798"/>
      <c r="AJ102" s="1798"/>
      <c r="AK102" s="1798"/>
      <c r="AL102" s="1798"/>
      <c r="AM102" s="1798"/>
      <c r="AN102" s="1798"/>
      <c r="AO102" s="1798"/>
      <c r="AP102" s="1798"/>
      <c r="AQ102" s="1798"/>
      <c r="AR102" s="1798"/>
      <c r="AS102" s="1798"/>
      <c r="AT102" s="1798"/>
      <c r="AU102" s="20"/>
      <c r="AV102" s="20"/>
      <c r="AW102" s="20"/>
      <c r="AX102" s="20"/>
      <c r="AY102" s="20"/>
      <c r="AZ102" s="20"/>
      <c r="BD102" s="3" t="s">
        <v>2528</v>
      </c>
      <c r="BE102" t="b">
        <f>T197="Yes"</f>
        <v>0</v>
      </c>
    </row>
    <row r="103" spans="1:57" ht="12.95" customHeight="1">
      <c r="A103" s="1798"/>
      <c r="B103" s="1798"/>
      <c r="C103" s="1798"/>
      <c r="D103" s="1798"/>
      <c r="E103" s="1798"/>
      <c r="F103" s="1798"/>
      <c r="G103" s="1798"/>
      <c r="H103" s="1798"/>
      <c r="I103" s="1798"/>
      <c r="J103" s="1798"/>
      <c r="K103" s="1798"/>
      <c r="L103" s="1798"/>
      <c r="M103" s="1798"/>
      <c r="N103" s="1798"/>
      <c r="O103" s="1798"/>
      <c r="P103" s="1798"/>
      <c r="Q103" s="1798"/>
      <c r="R103" s="1798"/>
      <c r="S103" s="1798"/>
      <c r="T103" s="1798"/>
      <c r="U103" s="1798"/>
      <c r="V103" s="1798"/>
      <c r="W103" s="1798"/>
      <c r="X103" s="1798"/>
      <c r="Y103" s="1798"/>
      <c r="Z103" s="1798"/>
      <c r="AA103" s="1798"/>
      <c r="AB103" s="1798"/>
      <c r="AC103" s="1798"/>
      <c r="AD103" s="1798"/>
      <c r="AE103" s="1798"/>
      <c r="AF103" s="1798"/>
      <c r="AG103" s="1798"/>
      <c r="AH103" s="1798"/>
      <c r="AI103" s="1798"/>
      <c r="AJ103" s="1798"/>
      <c r="AK103" s="1798"/>
      <c r="AL103" s="1798"/>
      <c r="AM103" s="1798"/>
      <c r="AN103" s="1798"/>
      <c r="AO103" s="1798"/>
      <c r="AP103" s="1798"/>
      <c r="AQ103" s="1798"/>
      <c r="AR103" s="1798"/>
      <c r="AS103" s="1798"/>
      <c r="AT103" s="1798"/>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8" t="s">
        <v>2122</v>
      </c>
      <c r="B105" s="1798"/>
      <c r="C105" s="1798"/>
      <c r="D105" s="1798"/>
      <c r="E105" s="1798"/>
      <c r="F105" s="1798"/>
      <c r="G105" s="1798"/>
      <c r="H105" s="1798"/>
      <c r="I105" s="1798"/>
      <c r="J105" s="1798"/>
      <c r="K105" s="1798"/>
      <c r="L105" s="1798"/>
      <c r="M105" s="1798"/>
      <c r="N105" s="1798"/>
      <c r="O105" s="1798"/>
      <c r="P105" s="1798"/>
      <c r="Q105" s="1798"/>
      <c r="R105" s="1798"/>
      <c r="S105" s="1798"/>
      <c r="T105" s="1798"/>
      <c r="U105" s="1798"/>
      <c r="V105" s="1798"/>
      <c r="W105" s="1798"/>
      <c r="X105" s="1798"/>
      <c r="Y105" s="1798"/>
      <c r="Z105" s="1798"/>
      <c r="AA105" s="1798"/>
      <c r="AB105" s="1798"/>
      <c r="AC105" s="1798"/>
      <c r="AD105" s="1798"/>
      <c r="AE105" s="1798"/>
      <c r="AF105" s="1798"/>
      <c r="AG105" s="1798"/>
      <c r="AH105" s="1798"/>
      <c r="AI105" s="1798"/>
      <c r="AJ105" s="1798"/>
      <c r="AK105" s="1798"/>
      <c r="AL105" s="1798"/>
      <c r="AM105" s="1798"/>
      <c r="AN105" s="1798"/>
      <c r="AO105" s="1798"/>
      <c r="AP105" s="1798"/>
      <c r="AQ105" s="1798"/>
      <c r="AR105" s="1798"/>
      <c r="AS105" s="1798"/>
      <c r="AT105" s="1798"/>
      <c r="AU105" s="20"/>
      <c r="AV105" s="20"/>
      <c r="AW105" s="20"/>
      <c r="AX105" s="20"/>
      <c r="AY105" s="20"/>
      <c r="BD105" s="3" t="s">
        <v>2544</v>
      </c>
      <c r="BE105" s="1183" t="b">
        <f>V224="Yes"</f>
        <v>0</v>
      </c>
    </row>
    <row r="106" spans="1:57" ht="12.95" customHeight="1">
      <c r="A106" s="1798"/>
      <c r="B106" s="1798"/>
      <c r="C106" s="1798"/>
      <c r="D106" s="1798"/>
      <c r="E106" s="1798"/>
      <c r="F106" s="1798"/>
      <c r="G106" s="1798"/>
      <c r="H106" s="1798"/>
      <c r="I106" s="1798"/>
      <c r="J106" s="1798"/>
      <c r="K106" s="1798"/>
      <c r="L106" s="1798"/>
      <c r="M106" s="1798"/>
      <c r="N106" s="1798"/>
      <c r="O106" s="1798"/>
      <c r="P106" s="1798"/>
      <c r="Q106" s="1798"/>
      <c r="R106" s="1798"/>
      <c r="S106" s="1798"/>
      <c r="T106" s="1798"/>
      <c r="U106" s="1798"/>
      <c r="V106" s="1798"/>
      <c r="W106" s="1798"/>
      <c r="X106" s="1798"/>
      <c r="Y106" s="1798"/>
      <c r="Z106" s="1798"/>
      <c r="AA106" s="1798"/>
      <c r="AB106" s="1798"/>
      <c r="AC106" s="1798"/>
      <c r="AD106" s="1798"/>
      <c r="AE106" s="1798"/>
      <c r="AF106" s="1798"/>
      <c r="AG106" s="1798"/>
      <c r="AH106" s="1798"/>
      <c r="AI106" s="1798"/>
      <c r="AJ106" s="1798"/>
      <c r="AK106" s="1798"/>
      <c r="AL106" s="1798"/>
      <c r="AM106" s="1798"/>
      <c r="AN106" s="1798"/>
      <c r="AO106" s="1798"/>
      <c r="AP106" s="1798"/>
      <c r="AQ106" s="1798"/>
      <c r="AR106" s="1798"/>
      <c r="AS106" s="1798"/>
      <c r="AT106" s="1798"/>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9">
        <v>21</v>
      </c>
      <c r="H113" s="1799"/>
      <c r="I113" s="3" t="s">
        <v>182</v>
      </c>
      <c r="L113" s="1799" t="s">
        <v>2659</v>
      </c>
      <c r="M113" s="1799"/>
      <c r="N113" s="1799"/>
      <c r="O113" s="1799"/>
      <c r="P113" s="1806" t="s">
        <v>2612</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0" t="s">
        <v>494</v>
      </c>
      <c r="D115" s="1810"/>
      <c r="E115" s="1810"/>
      <c r="F115" s="1810"/>
      <c r="G115" s="1810"/>
      <c r="H115" s="1810"/>
      <c r="I115" s="1810"/>
      <c r="J115" s="1810"/>
      <c r="K115" s="181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9"/>
      <c r="Z117" s="1799"/>
      <c r="AA117" s="1799"/>
      <c r="AB117" s="1799"/>
      <c r="AC117" s="1799"/>
      <c r="AD117" s="1799"/>
      <c r="AE117" s="1799"/>
      <c r="AF117" s="1799"/>
      <c r="AG117" s="1799"/>
      <c r="AH117" s="1799"/>
      <c r="AI117" s="1799"/>
      <c r="AJ117" s="1799"/>
      <c r="AK117" s="179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9" t="s">
        <v>2648</v>
      </c>
      <c r="Z120" s="1799"/>
      <c r="AA120" s="1799"/>
      <c r="AB120" s="1799"/>
      <c r="AC120" s="1799"/>
      <c r="AD120" s="1799"/>
      <c r="AE120" s="1799"/>
      <c r="AF120" s="1799"/>
      <c r="AG120" s="1799"/>
      <c r="AH120" s="1799"/>
      <c r="AI120" s="1799"/>
      <c r="AJ120" s="1799"/>
      <c r="AK120" s="179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0" t="s">
        <v>469</v>
      </c>
      <c r="CV122" s="1691"/>
      <c r="CW122" s="14"/>
      <c r="CX122" s="14" t="s">
        <v>634</v>
      </c>
      <c r="CY122" s="14"/>
      <c r="CZ122" s="14"/>
      <c r="DA122" s="14"/>
      <c r="DB122" s="14"/>
      <c r="DC122" s="14"/>
      <c r="DD122" s="14"/>
      <c r="DE122" s="14"/>
      <c r="DF122" s="14"/>
      <c r="DG122" s="1687" t="str">
        <f>T189</f>
        <v>Los Angeles</v>
      </c>
      <c r="DH122" s="1688"/>
      <c r="DI122" s="1688"/>
      <c r="DJ122" s="1688"/>
      <c r="DK122" s="1688"/>
      <c r="DL122" s="1688"/>
      <c r="DM122" s="1689"/>
    </row>
    <row r="123" spans="1:117" ht="12.95" customHeight="1">
      <c r="A123" s="3"/>
      <c r="B123" s="3"/>
      <c r="T123" s="3"/>
      <c r="U123" s="3"/>
      <c r="V123" s="3"/>
      <c r="W123" s="3"/>
      <c r="X123" s="3"/>
      <c r="Y123" s="1799" t="s">
        <v>2705</v>
      </c>
      <c r="Z123" s="1799"/>
      <c r="AA123" s="1799"/>
      <c r="AB123" s="1799"/>
      <c r="AC123" s="1799"/>
      <c r="AD123" s="1799"/>
      <c r="AE123" s="1799"/>
      <c r="AF123" s="1799"/>
      <c r="AG123" s="1799"/>
      <c r="AH123" s="1799"/>
      <c r="AI123" s="1799"/>
      <c r="AJ123" s="1799"/>
      <c r="AK123" s="179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2"/>
      <c r="G150" s="1342"/>
      <c r="H150" s="1342"/>
      <c r="I150" s="1342"/>
      <c r="J150" s="1342"/>
      <c r="K150" s="1342"/>
      <c r="L150" s="1342"/>
      <c r="M150" s="1342"/>
      <c r="N150" s="1342"/>
      <c r="O150" s="1342"/>
      <c r="P150" s="1342"/>
      <c r="Q150" s="1342"/>
      <c r="R150" s="1342"/>
      <c r="S150" s="1342"/>
      <c r="T150" s="134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98" t="s">
        <v>2666</v>
      </c>
      <c r="P153" s="1498"/>
      <c r="Q153" s="1498"/>
      <c r="R153" s="1498"/>
      <c r="S153" s="1498"/>
      <c r="T153" s="1498"/>
      <c r="U153" s="1498"/>
      <c r="V153" s="1498"/>
      <c r="W153" s="1498"/>
      <c r="X153" s="1498"/>
      <c r="Y153" s="1498"/>
      <c r="Z153" s="1498"/>
      <c r="AA153" s="1498"/>
      <c r="AB153" s="1498"/>
      <c r="AC153" s="1498"/>
      <c r="AD153" s="1498"/>
      <c r="AE153" s="1498"/>
      <c r="AF153" s="1498"/>
      <c r="AG153" s="1498"/>
      <c r="AH153" s="1498"/>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519" t="s">
        <v>2667</v>
      </c>
      <c r="P154" s="1519"/>
      <c r="Q154" s="1519"/>
      <c r="R154" s="1519"/>
      <c r="S154" s="1519"/>
      <c r="T154" s="1519"/>
      <c r="U154" s="1519"/>
      <c r="V154" s="1519"/>
      <c r="W154" s="1519"/>
      <c r="X154" s="1519"/>
      <c r="Y154" s="1519"/>
      <c r="Z154" s="1519"/>
      <c r="AA154" s="1519"/>
      <c r="AB154" s="1519"/>
      <c r="AC154" s="1519"/>
      <c r="AD154" s="1519"/>
      <c r="AE154" s="1519"/>
      <c r="AF154" s="1519"/>
      <c r="AG154" s="1519"/>
      <c r="AH154" s="1519"/>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7" t="s">
        <v>440</v>
      </c>
      <c r="P155" s="1817"/>
      <c r="Q155" s="1817"/>
      <c r="R155" s="1817"/>
      <c r="S155" s="1817"/>
      <c r="T155" s="1817"/>
      <c r="U155" s="1817"/>
      <c r="V155" s="1817"/>
      <c r="W155" s="1817"/>
      <c r="X155" s="1817"/>
      <c r="Y155" s="1817"/>
      <c r="Z155" s="1817"/>
      <c r="AA155" s="1817"/>
      <c r="AB155" s="1817"/>
      <c r="AC155" s="1817"/>
      <c r="AD155" s="1817"/>
      <c r="AE155" s="1817"/>
      <c r="AF155" s="1817"/>
      <c r="AG155" s="1817"/>
      <c r="AH155" s="181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504" t="s">
        <v>2668</v>
      </c>
      <c r="P156" s="1504"/>
      <c r="Q156" s="1504"/>
      <c r="R156" s="1504"/>
      <c r="S156" s="1504"/>
      <c r="T156" s="1504"/>
      <c r="U156" s="1504"/>
      <c r="V156" s="1504"/>
      <c r="W156" s="1504"/>
      <c r="X156" s="1504"/>
      <c r="Y156" s="1504"/>
      <c r="Z156" s="1504"/>
      <c r="AA156" s="1504"/>
      <c r="AB156" s="1504"/>
      <c r="AC156" s="1504"/>
      <c r="AD156" s="1504"/>
      <c r="AE156" s="1504"/>
      <c r="AF156" s="1504"/>
      <c r="AG156" s="1504"/>
      <c r="AH156" s="1504"/>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8" t="s">
        <v>2669</v>
      </c>
      <c r="P157" s="1498"/>
      <c r="Q157" s="1498"/>
      <c r="R157" s="1498"/>
      <c r="S157" s="1498"/>
      <c r="T157" s="1498"/>
      <c r="U157" s="1498"/>
      <c r="V157" s="1498"/>
      <c r="W157" s="1498"/>
      <c r="X157" s="149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2">
        <v>91801</v>
      </c>
      <c r="P158" s="1802"/>
      <c r="Q158" s="1802"/>
      <c r="R158" s="180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815" t="s">
        <v>2670</v>
      </c>
      <c r="P159" s="1815"/>
      <c r="Q159" s="1815"/>
      <c r="R159" s="1815"/>
      <c r="S159" s="1815"/>
      <c r="T159" s="1815"/>
      <c r="V159" s="97" t="s">
        <v>271</v>
      </c>
      <c r="W159" s="1803"/>
      <c r="X159" s="180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815" t="s">
        <v>2671</v>
      </c>
      <c r="P160" s="1815"/>
      <c r="Q160" s="1815"/>
      <c r="R160" s="1815"/>
      <c r="S160" s="1815"/>
      <c r="T160" s="181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0" t="s">
        <v>2672</v>
      </c>
      <c r="P161" s="1790"/>
      <c r="Q161" s="1790"/>
      <c r="R161" s="1790"/>
      <c r="S161" s="1790"/>
      <c r="T161" s="1790"/>
      <c r="U161" s="1790"/>
      <c r="V161" s="1790"/>
      <c r="W161" s="1790"/>
      <c r="X161" s="1790"/>
      <c r="Y161" s="1790"/>
      <c r="Z161" s="1790"/>
      <c r="AA161" s="1790"/>
      <c r="AB161" s="1790"/>
      <c r="AC161" s="1790"/>
      <c r="AD161" s="1790"/>
      <c r="AE161" s="1790"/>
      <c r="AF161" s="1790"/>
      <c r="AG161" s="1790"/>
      <c r="AH161" s="1790"/>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11" t="s">
        <v>2172</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11" t="s">
        <v>539</v>
      </c>
      <c r="B169" s="1411"/>
      <c r="C169" s="1411"/>
      <c r="D169" s="1411"/>
      <c r="E169" s="1411"/>
      <c r="F169" s="1411"/>
      <c r="G169" s="1411"/>
      <c r="H169" s="1411"/>
      <c r="I169" s="1411"/>
      <c r="J169" s="1411"/>
      <c r="K169" s="1411"/>
      <c r="L169" s="1411"/>
      <c r="M169" s="1411"/>
      <c r="N169" s="1411"/>
      <c r="O169" s="1411"/>
      <c r="P169" s="1411"/>
      <c r="Q169" s="1411"/>
      <c r="R169" s="1411"/>
      <c r="S169" s="1411"/>
      <c r="T169" s="1411"/>
      <c r="U169" s="1411"/>
      <c r="V169" s="1411"/>
      <c r="W169" s="1411"/>
      <c r="X169" s="1411"/>
      <c r="Y169" s="1411"/>
      <c r="Z169" s="1411"/>
      <c r="AA169" s="1411"/>
      <c r="AB169" s="1411"/>
      <c r="AC169" s="1411"/>
      <c r="AD169" s="1411"/>
      <c r="AE169" s="1411"/>
      <c r="AF169" s="1411"/>
      <c r="AG169" s="1411"/>
      <c r="AH169" s="1411"/>
      <c r="AI169" s="1411"/>
      <c r="AJ169" s="1411"/>
      <c r="AK169" s="1411"/>
      <c r="AL169" s="1411"/>
      <c r="AM169" s="1411"/>
      <c r="AN169" s="1411"/>
      <c r="AO169" s="1411"/>
      <c r="AP169" s="1411"/>
      <c r="AQ169" s="1411"/>
      <c r="AR169" s="1411"/>
      <c r="AS169" s="1411"/>
      <c r="AT169" s="141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c r="AS170" s="1411"/>
      <c r="AT170" s="141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6" t="s">
        <v>371</v>
      </c>
      <c r="K173" s="1816"/>
      <c r="L173" s="1816"/>
      <c r="M173" s="1816"/>
      <c r="N173" s="1816"/>
      <c r="O173" s="1816"/>
      <c r="P173" s="1816"/>
      <c r="Q173" s="1816"/>
      <c r="R173" s="1816"/>
      <c r="S173" s="181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504" t="s">
        <v>2058</v>
      </c>
      <c r="K174" s="1504"/>
      <c r="L174" s="1504"/>
      <c r="M174" s="1504"/>
      <c r="N174" s="1504"/>
      <c r="O174" s="1504"/>
      <c r="P174" s="1504"/>
      <c r="Q174" s="1504"/>
      <c r="R174" s="1504"/>
      <c r="S174" s="1504"/>
      <c r="T174" s="1504"/>
      <c r="U174" s="1504"/>
      <c r="V174" s="1504"/>
      <c r="W174" s="1504"/>
      <c r="X174" s="1504"/>
      <c r="Y174" s="1504"/>
      <c r="Z174" s="1504"/>
      <c r="AA174" s="1504"/>
      <c r="AB174" s="1504"/>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0" t="s">
        <v>669</v>
      </c>
      <c r="V175" s="1340"/>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506"/>
      <c r="V176" s="1506"/>
      <c r="W176" s="1" t="s">
        <v>306</v>
      </c>
      <c r="X176" s="1795"/>
      <c r="Y176" s="179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0" t="s">
        <v>669</v>
      </c>
      <c r="S177" s="1340"/>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94"/>
      <c r="AG178" s="1794"/>
      <c r="AH178" s="1" t="s">
        <v>306</v>
      </c>
      <c r="AI178" s="1771"/>
      <c r="AJ178" s="1771"/>
      <c r="AK178" s="1771"/>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0" t="s">
        <v>669</v>
      </c>
      <c r="Y180" s="1340"/>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84" t="str">
        <f>H18</f>
        <v>U.S.VETS - WLAVA Buildling 13</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664" t="s">
        <v>2657</v>
      </c>
      <c r="J185" s="1485"/>
      <c r="K185" s="1485"/>
      <c r="L185" s="1485"/>
      <c r="M185" s="1485"/>
      <c r="N185" s="1485"/>
      <c r="O185" s="1485"/>
      <c r="P185" s="1485"/>
      <c r="Q185" s="1485"/>
      <c r="R185" s="1485"/>
      <c r="S185" s="1485"/>
      <c r="T185" s="1485"/>
      <c r="U185" s="1485"/>
      <c r="V185" s="1485"/>
      <c r="W185" s="1485"/>
      <c r="X185" s="1485"/>
      <c r="Y185" s="1485"/>
      <c r="Z185" s="1485"/>
      <c r="AA185" s="1485"/>
      <c r="AB185" s="1485"/>
      <c r="AC185" s="1485"/>
      <c r="AD185" s="1485"/>
      <c r="AE185" s="1485"/>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97" t="s">
        <v>494</v>
      </c>
      <c r="J189" s="1504"/>
      <c r="K189" s="1504"/>
      <c r="L189" s="1504"/>
      <c r="M189" s="1504"/>
      <c r="N189" s="1504"/>
      <c r="O189" s="1504"/>
      <c r="P189" s="1504"/>
      <c r="Q189" t="s">
        <v>582</v>
      </c>
      <c r="T189" s="1504" t="s">
        <v>494</v>
      </c>
      <c r="U189" s="1504"/>
      <c r="V189" s="1504"/>
      <c r="W189" s="1504"/>
      <c r="X189" s="1504"/>
      <c r="Y189" s="1504"/>
      <c r="Z189" s="1504"/>
      <c r="AA189" s="1504"/>
      <c r="AB189" s="1504"/>
      <c r="AC189" s="1504"/>
      <c r="AD189" s="1504"/>
      <c r="AE189" s="1504"/>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85">
        <v>90049</v>
      </c>
      <c r="J190" s="1485"/>
      <c r="K190" s="1485"/>
      <c r="L190" s="1485"/>
      <c r="M190" s="1485"/>
      <c r="N190" s="1485"/>
      <c r="O190" t="s">
        <v>585</v>
      </c>
      <c r="T190" s="1800" t="str">
        <f>"06037980017"</f>
        <v>06037980017</v>
      </c>
      <c r="U190" s="1800"/>
      <c r="V190" s="1800"/>
      <c r="W190" s="1800"/>
      <c r="X190" s="1800"/>
      <c r="Y190" s="1800"/>
      <c r="Z190" s="1800"/>
      <c r="AA190" s="1800"/>
      <c r="AB190" s="1800"/>
      <c r="AC190" s="1800"/>
      <c r="AD190" s="1800"/>
      <c r="AE190" s="180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4" t="s">
        <v>2660</v>
      </c>
      <c r="O191" s="1814"/>
      <c r="P191" s="1814"/>
      <c r="Q191" s="1814"/>
      <c r="R191" s="1814"/>
      <c r="S191" s="1814"/>
      <c r="T191" s="1814"/>
      <c r="U191" s="1814"/>
      <c r="V191" s="1814"/>
      <c r="W191" s="1814"/>
      <c r="X191" s="1814"/>
      <c r="Y191" s="1814"/>
      <c r="Z191" s="1814"/>
      <c r="AA191" s="1814"/>
      <c r="AB191" s="1814"/>
      <c r="AC191" s="1814"/>
      <c r="AD191" s="1814"/>
      <c r="AE191" s="181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t="s">
        <v>2661</v>
      </c>
      <c r="O193" s="890"/>
      <c r="P193" s="890"/>
      <c r="Q193" s="890"/>
      <c r="R193" s="890"/>
      <c r="S193" s="890"/>
      <c r="T193" s="1804" t="s">
        <v>1943</v>
      </c>
      <c r="U193" s="1804"/>
      <c r="V193" s="1804"/>
      <c r="W193" s="1804"/>
      <c r="X193" s="1804"/>
      <c r="Y193" s="1804"/>
      <c r="Z193" s="1804"/>
      <c r="AA193" s="1804"/>
      <c r="AB193" s="1804"/>
      <c r="AC193" s="1804"/>
      <c r="AD193" s="1804"/>
      <c r="AE193" s="1804"/>
      <c r="AF193" s="1804"/>
      <c r="AG193" s="1804"/>
      <c r="AH193" s="1804"/>
      <c r="AI193" s="1804"/>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0" t="s">
        <v>669</v>
      </c>
      <c r="AI194" s="1340"/>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0" t="s">
        <v>545</v>
      </c>
      <c r="U195" s="1340"/>
      <c r="W195" t="s">
        <v>684</v>
      </c>
      <c r="AH195" s="1340">
        <v>32</v>
      </c>
      <c r="AI195" s="1340"/>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97" t="s">
        <v>669</v>
      </c>
      <c r="U196" s="1397"/>
      <c r="W196" t="s">
        <v>685</v>
      </c>
      <c r="AH196" s="1340">
        <v>42</v>
      </c>
      <c r="AI196" s="1340"/>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97" t="s">
        <v>669</v>
      </c>
      <c r="U197" s="1397"/>
      <c r="W197" t="s">
        <v>686</v>
      </c>
      <c r="AH197" s="1340">
        <v>24</v>
      </c>
      <c r="AI197" s="1340"/>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97">
        <v>0</v>
      </c>
      <c r="U198" s="1397"/>
      <c r="V198"/>
      <c r="X198" s="1494" t="s">
        <v>2446</v>
      </c>
      <c r="Y198" s="1494"/>
      <c r="Z198" s="1494"/>
      <c r="AA198" s="1494"/>
      <c r="AB198" s="1494"/>
      <c r="AC198" s="1494"/>
      <c r="AD198" s="1494"/>
      <c r="AE198" s="1494"/>
      <c r="AF198" s="1494"/>
      <c r="AG198" s="1494"/>
      <c r="AH198" s="1494"/>
      <c r="AI198" s="1494"/>
      <c r="AJ198" s="1494"/>
      <c r="AK198" s="1494"/>
      <c r="AL198" s="1494"/>
      <c r="AM198" s="1494"/>
      <c r="AN198" s="1494"/>
      <c r="AO198" s="1494"/>
      <c r="AP198" s="1494"/>
      <c r="AQ198" s="1494"/>
      <c r="AR198" s="1494"/>
      <c r="AS198" s="1494"/>
      <c r="AT198" s="1494"/>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0" t="s">
        <v>669</v>
      </c>
      <c r="U199" s="1340"/>
      <c r="V199"/>
      <c r="W199"/>
      <c r="X199" s="1494"/>
      <c r="Y199" s="1494"/>
      <c r="Z199" s="1494"/>
      <c r="AA199" s="1494"/>
      <c r="AB199" s="1494"/>
      <c r="AC199" s="1494"/>
      <c r="AD199" s="1494"/>
      <c r="AE199" s="1494"/>
      <c r="AF199" s="1494"/>
      <c r="AG199" s="1494"/>
      <c r="AH199" s="1494"/>
      <c r="AI199" s="1494"/>
      <c r="AJ199" s="1494"/>
      <c r="AK199" s="1494"/>
      <c r="AL199" s="1494"/>
      <c r="AM199" s="1494"/>
      <c r="AN199" s="1494"/>
      <c r="AO199" s="1494"/>
      <c r="AP199" s="1494"/>
      <c r="AQ199" s="1494"/>
      <c r="AR199" s="1494"/>
      <c r="AS199" s="1494"/>
      <c r="AT199" s="149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0" t="s">
        <v>669</v>
      </c>
      <c r="U200" s="1340"/>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84" t="s">
        <v>385</v>
      </c>
      <c r="E204" s="1484"/>
      <c r="F204" s="1484"/>
      <c r="G204" s="1484"/>
      <c r="H204" s="1484"/>
      <c r="I204" s="1484"/>
      <c r="J204" s="1484"/>
      <c r="K204" s="1484"/>
      <c r="L204" s="1484"/>
      <c r="M204" s="1484"/>
      <c r="P204" s="1812">
        <f>M26</f>
        <v>981191</v>
      </c>
      <c r="Q204" s="1813"/>
      <c r="R204" s="1813"/>
      <c r="S204" s="1813"/>
      <c r="T204" s="1813"/>
      <c r="U204" s="181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20" t="s">
        <v>1247</v>
      </c>
      <c r="E205" s="1484"/>
      <c r="F205" s="1484"/>
      <c r="G205" s="1484"/>
      <c r="H205" s="1484"/>
      <c r="I205" s="1484"/>
      <c r="J205" s="1484"/>
      <c r="K205" s="1484"/>
      <c r="L205" s="1484"/>
      <c r="M205" s="1484"/>
      <c r="P205" s="1813">
        <f>M27</f>
        <v>0</v>
      </c>
      <c r="Q205" s="1813"/>
      <c r="R205" s="1813"/>
      <c r="S205" s="1813"/>
      <c r="T205" s="1813"/>
      <c r="U205" s="1813"/>
      <c r="V205" s="28"/>
      <c r="W205" s="3" t="s">
        <v>1709</v>
      </c>
      <c r="Z205" s="1818" t="s">
        <v>1184</v>
      </c>
      <c r="AA205" s="1818"/>
      <c r="AB205" s="1818"/>
      <c r="AC205" s="1818"/>
      <c r="AD205" s="1818"/>
      <c r="AE205" s="1818"/>
      <c r="AF205" s="1818"/>
      <c r="AG205" s="1818"/>
      <c r="AH205" s="1818"/>
      <c r="AI205" s="1818"/>
      <c r="AJ205" s="1818"/>
      <c r="AK205" s="1818"/>
      <c r="AL205" s="1818"/>
      <c r="AM205" s="1818"/>
      <c r="AN205" s="1818"/>
      <c r="AP205" s="1342"/>
      <c r="AQ205" s="1342"/>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8" t="s">
        <v>2649</v>
      </c>
      <c r="E208" s="1498"/>
      <c r="F208" s="1498"/>
      <c r="G208" s="1498"/>
      <c r="H208" s="1498"/>
      <c r="I208" s="1498"/>
      <c r="J208" s="1498"/>
      <c r="K208" s="1498"/>
      <c r="L208" s="1498"/>
      <c r="M208" s="149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8" t="s">
        <v>1043</v>
      </c>
      <c r="E211" s="1498"/>
      <c r="F211" s="1498"/>
      <c r="G211" s="1498"/>
      <c r="H211" s="1498"/>
      <c r="I211" s="1498"/>
      <c r="J211" s="1498"/>
      <c r="K211" s="1498"/>
      <c r="L211" s="1498"/>
      <c r="M211" s="149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0">
        <v>23</v>
      </c>
      <c r="R212" s="1340"/>
      <c r="T212" s="1807">
        <f>IFERROR(Q212/AG449,0)</f>
        <v>1</v>
      </c>
      <c r="U212" s="180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9" t="s">
        <v>591</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86"/>
      <c r="AC215" s="1786"/>
      <c r="AD215" s="1786"/>
      <c r="AE215" s="1786"/>
      <c r="AF215" s="1786"/>
      <c r="AG215" s="1786"/>
      <c r="AH215" s="1786"/>
      <c r="AI215" s="1786"/>
      <c r="AJ215" s="1786"/>
      <c r="AK215" s="1786"/>
      <c r="AL215" s="1786"/>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86"/>
      <c r="AC216" s="1786"/>
      <c r="AD216" s="1786"/>
      <c r="AE216" s="1786"/>
      <c r="AF216" s="1786"/>
      <c r="AG216" s="1786"/>
      <c r="AH216" s="1786"/>
      <c r="AI216" s="1786"/>
      <c r="AJ216" s="1786"/>
      <c r="AK216" s="1786"/>
      <c r="AL216" s="1786"/>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498" t="s">
        <v>874</v>
      </c>
      <c r="E220" s="1498"/>
      <c r="F220" s="1498"/>
      <c r="G220" s="1498"/>
      <c r="H220" s="1498"/>
      <c r="I220" s="1498"/>
      <c r="J220" s="1498"/>
      <c r="K220" s="1498"/>
      <c r="L220" s="1498"/>
      <c r="M220" s="1498"/>
      <c r="N220" s="1498"/>
      <c r="O220" s="1498"/>
      <c r="P220" s="1498"/>
      <c r="Q220" s="1498"/>
      <c r="R220" s="1498"/>
      <c r="S220" s="1498"/>
      <c r="T220" s="1498"/>
      <c r="U220" s="1498"/>
      <c r="V220" s="1498"/>
      <c r="W220" s="1498"/>
      <c r="X220" s="1498"/>
      <c r="Y220" s="1498"/>
      <c r="Z220" s="1498"/>
      <c r="AC220" s="1819" t="s">
        <v>591</v>
      </c>
      <c r="AD220" s="1819"/>
      <c r="AE220" s="1819"/>
      <c r="AF220" s="1819"/>
      <c r="AG220" s="1819"/>
      <c r="AH220" s="1819"/>
      <c r="AI220" s="1819"/>
      <c r="AJ220" s="1819"/>
      <c r="AK220" s="1819"/>
      <c r="AL220" s="1819"/>
      <c r="AM220" s="1819"/>
      <c r="AN220" s="1819"/>
      <c r="AO220" s="1819"/>
      <c r="AP220" s="1819"/>
      <c r="AQ220" s="1819"/>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0" t="s">
        <v>669</v>
      </c>
      <c r="W224" s="1340"/>
      <c r="Y224" s="1193"/>
      <c r="BA224" s="3"/>
    </row>
    <row r="225" spans="1:69" ht="12.95" customHeight="1">
      <c r="A225" s="2"/>
      <c r="B225" s="14"/>
      <c r="C225" s="2"/>
      <c r="E225" s="3" t="s">
        <v>2545</v>
      </c>
      <c r="V225" s="1340" t="s">
        <v>669</v>
      </c>
      <c r="W225" s="134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97" t="s">
        <v>669</v>
      </c>
      <c r="W226" s="1397"/>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97" t="s">
        <v>545</v>
      </c>
      <c r="W227" s="1397"/>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97" t="s">
        <v>545</v>
      </c>
      <c r="W228" s="1397"/>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97" t="s">
        <v>669</v>
      </c>
      <c r="W229" s="1397"/>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11" t="s">
        <v>540</v>
      </c>
      <c r="B231" s="1411"/>
      <c r="C231" s="1411"/>
      <c r="D231" s="1411"/>
      <c r="E231" s="1411"/>
      <c r="F231" s="1411"/>
      <c r="G231" s="1411"/>
      <c r="H231" s="1411"/>
      <c r="I231" s="1411"/>
      <c r="J231" s="1411"/>
      <c r="K231" s="1411"/>
      <c r="L231" s="1411"/>
      <c r="M231" s="1411"/>
      <c r="N231" s="1411"/>
      <c r="O231" s="1411"/>
      <c r="P231" s="1411"/>
      <c r="Q231" s="1411"/>
      <c r="R231" s="1411"/>
      <c r="S231" s="1411"/>
      <c r="T231" s="1411"/>
      <c r="U231" s="1411"/>
      <c r="V231" s="1411"/>
      <c r="W231" s="1411"/>
      <c r="X231" s="1411"/>
      <c r="Y231" s="1411"/>
      <c r="Z231" s="1411"/>
      <c r="AA231" s="1411"/>
      <c r="AB231" s="1411"/>
      <c r="AC231" s="1411"/>
      <c r="AD231" s="1411"/>
      <c r="AE231" s="1411"/>
      <c r="AF231" s="1411"/>
      <c r="AG231" s="1411"/>
      <c r="AH231" s="1411"/>
      <c r="AI231" s="1411"/>
      <c r="AJ231" s="1411"/>
      <c r="AK231" s="1411"/>
      <c r="AL231" s="1411"/>
      <c r="AM231" s="1411"/>
      <c r="AN231" s="1411"/>
      <c r="AO231" s="1411"/>
      <c r="AP231" s="1411"/>
      <c r="AQ231" s="1411"/>
      <c r="AR231" s="1411"/>
      <c r="AS231" s="1411"/>
      <c r="AT231" s="1411"/>
      <c r="AU231" s="95"/>
      <c r="AV231" s="95"/>
      <c r="AW231" s="95"/>
      <c r="AX231" s="95"/>
      <c r="AY231" s="95"/>
      <c r="AZ231" s="3"/>
      <c r="BA231" s="3"/>
      <c r="BP231" s="34"/>
    </row>
    <row r="232" spans="1:69" ht="12.95" customHeight="1">
      <c r="A232" s="1411"/>
      <c r="B232" s="1411"/>
      <c r="C232" s="1411"/>
      <c r="D232" s="1411"/>
      <c r="E232" s="1411"/>
      <c r="F232" s="1411"/>
      <c r="G232" s="1411"/>
      <c r="H232" s="1411"/>
      <c r="I232" s="1411"/>
      <c r="J232" s="1411"/>
      <c r="K232" s="1411"/>
      <c r="L232" s="1411"/>
      <c r="M232" s="1411"/>
      <c r="N232" s="1411"/>
      <c r="O232" s="1411"/>
      <c r="P232" s="1411"/>
      <c r="Q232" s="1411"/>
      <c r="R232" s="1411"/>
      <c r="S232" s="1411"/>
      <c r="T232" s="1411"/>
      <c r="U232" s="1411"/>
      <c r="V232" s="1411"/>
      <c r="W232" s="1411"/>
      <c r="X232" s="1411"/>
      <c r="Y232" s="1411"/>
      <c r="Z232" s="1411"/>
      <c r="AA232" s="1411"/>
      <c r="AB232" s="1411"/>
      <c r="AC232" s="1411"/>
      <c r="AD232" s="1411"/>
      <c r="AE232" s="1411"/>
      <c r="AF232" s="1411"/>
      <c r="AG232" s="1411"/>
      <c r="AH232" s="1411"/>
      <c r="AI232" s="1411"/>
      <c r="AJ232" s="1411"/>
      <c r="AK232" s="1411"/>
      <c r="AL232" s="1411"/>
      <c r="AM232" s="1411"/>
      <c r="AN232" s="1411"/>
      <c r="AO232" s="1411"/>
      <c r="AP232" s="1411"/>
      <c r="AQ232" s="1411"/>
      <c r="AR232" s="1411"/>
      <c r="AS232" s="1411"/>
      <c r="AT232" s="1411"/>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0" t="s">
        <v>591</v>
      </c>
      <c r="AJ235" s="1340"/>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0" t="s">
        <v>545</v>
      </c>
      <c r="AJ236" s="1340"/>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0" t="s">
        <v>545</v>
      </c>
      <c r="AJ237" s="1340"/>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0" t="s">
        <v>591</v>
      </c>
      <c r="AJ238" s="1340"/>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801" t="str">
        <f>H16</f>
        <v>U.S.VETS Housing Corporation</v>
      </c>
      <c r="N241" s="1801"/>
      <c r="O241" s="1801"/>
      <c r="P241" s="1801"/>
      <c r="Q241" s="1801"/>
      <c r="R241" s="1801"/>
      <c r="S241" s="1801"/>
      <c r="T241" s="1801"/>
      <c r="U241" s="1801"/>
      <c r="V241" s="1801"/>
      <c r="W241" s="1801"/>
      <c r="X241" s="1801"/>
      <c r="Y241" s="1801"/>
      <c r="Z241" s="1801"/>
      <c r="AA241" s="1801"/>
      <c r="AB241" s="1801"/>
      <c r="AC241" s="1801"/>
      <c r="AD241" s="1801"/>
      <c r="AE241" s="1801"/>
      <c r="AF241" s="1801"/>
      <c r="AG241" s="1801"/>
      <c r="AH241" s="1801"/>
      <c r="AI241" s="1801"/>
      <c r="AJ241" s="1801"/>
      <c r="AK241" s="1801"/>
      <c r="AZ241" s="4"/>
      <c r="BA241" s="3"/>
      <c r="BB241" s="205" t="s">
        <v>538</v>
      </c>
      <c r="BG241" s="241">
        <f>IF(AND(AND($M$258="nonprofit",$M$266="nonprofit",$M$274="for profit")),2,0)</f>
        <v>0</v>
      </c>
    </row>
    <row r="242" spans="1:67" ht="12.95" customHeight="1">
      <c r="D242" s="4" t="s">
        <v>85</v>
      </c>
      <c r="E242" s="4"/>
      <c r="F242" s="4"/>
      <c r="G242" s="4"/>
      <c r="H242" s="4"/>
      <c r="I242" s="4"/>
      <c r="J242" s="4"/>
      <c r="K242" s="4"/>
      <c r="M242" s="1498" t="s">
        <v>2673</v>
      </c>
      <c r="N242" s="1498"/>
      <c r="O242" s="1498"/>
      <c r="P242" s="1498"/>
      <c r="Q242" s="1498"/>
      <c r="R242" s="1498"/>
      <c r="S242" s="1498"/>
      <c r="T242" s="1498"/>
      <c r="U242" s="1498"/>
      <c r="V242" s="1498"/>
      <c r="W242" s="1498"/>
      <c r="X242" s="1498"/>
      <c r="Y242" s="1498"/>
      <c r="Z242" s="1498"/>
      <c r="AA242" s="1498"/>
      <c r="AB242" s="1498"/>
      <c r="AC242" s="1498"/>
      <c r="AD242" s="1498"/>
      <c r="AE242" s="1498"/>
      <c r="BB242" s="205" t="s">
        <v>538</v>
      </c>
      <c r="BG242" s="241">
        <f>IF(AND(AND($M$258="nonprofit",$M$266="for profit",$M$274="nonprofit")),2,0)</f>
        <v>0</v>
      </c>
    </row>
    <row r="243" spans="1:67" ht="12.95" customHeight="1">
      <c r="D243" s="4" t="s">
        <v>580</v>
      </c>
      <c r="E243" s="4"/>
      <c r="M243" s="1498" t="s">
        <v>494</v>
      </c>
      <c r="N243" s="1498"/>
      <c r="O243" s="1498"/>
      <c r="P243" s="1498"/>
      <c r="Q243" s="1498"/>
      <c r="R243" s="1498"/>
      <c r="S243" s="1498"/>
      <c r="T243" s="1498"/>
      <c r="V243" s="33" t="s">
        <v>86</v>
      </c>
      <c r="W243" s="1519" t="s">
        <v>2674</v>
      </c>
      <c r="X243" s="1519"/>
      <c r="Y243" s="4" t="s">
        <v>583</v>
      </c>
      <c r="AC243" s="1498">
        <v>90017</v>
      </c>
      <c r="AD243" s="1498"/>
      <c r="AE243" s="149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98" t="s">
        <v>2648</v>
      </c>
      <c r="N244" s="1498"/>
      <c r="O244" s="1498"/>
      <c r="P244" s="1498"/>
      <c r="Q244" s="1498"/>
      <c r="R244" s="1498"/>
      <c r="S244" s="1498"/>
      <c r="T244" s="1498"/>
      <c r="U244" s="1498"/>
      <c r="V244" s="1498"/>
      <c r="W244" s="1498"/>
      <c r="X244" s="1498"/>
      <c r="Y244" s="1498"/>
      <c r="Z244" s="1498"/>
      <c r="AA244" s="1498"/>
      <c r="AB244" s="1498"/>
      <c r="AC244" s="1498"/>
      <c r="AD244" s="1498"/>
      <c r="AE244" s="1498"/>
      <c r="AI244" s="4"/>
      <c r="AJ244" s="4"/>
      <c r="AK244" s="4"/>
      <c r="AL244" s="4"/>
      <c r="AM244" s="4"/>
      <c r="AN244" s="4"/>
      <c r="AO244" s="4"/>
      <c r="AP244" s="4"/>
      <c r="AQ244" s="4"/>
      <c r="AR244" s="4"/>
      <c r="AS244" s="4"/>
      <c r="AT244" s="4"/>
      <c r="BB244" s="205"/>
      <c r="BG244" s="204"/>
    </row>
    <row r="245" spans="1:67" ht="12.95" customHeight="1">
      <c r="D245" s="4" t="s">
        <v>88</v>
      </c>
      <c r="E245" s="4"/>
      <c r="F245" s="4"/>
      <c r="M245" s="1529" t="s">
        <v>2675</v>
      </c>
      <c r="N245" s="1529"/>
      <c r="O245" s="1529"/>
      <c r="P245" s="1529"/>
      <c r="Q245" s="1529"/>
      <c r="R245" s="1529"/>
      <c r="S245" s="4" t="s">
        <v>206</v>
      </c>
      <c r="T245" s="4"/>
      <c r="U245" s="1519"/>
      <c r="V245" s="1519"/>
      <c r="W245" s="1519"/>
      <c r="X245" s="4" t="s">
        <v>89</v>
      </c>
      <c r="Z245" s="1529"/>
      <c r="AA245" s="1529"/>
      <c r="AB245" s="1529"/>
      <c r="AC245" s="1529"/>
      <c r="AD245" s="1529"/>
      <c r="AE245" s="1529"/>
      <c r="AU245" s="4"/>
      <c r="AV245" s="4"/>
      <c r="AW245" s="4"/>
      <c r="AX245" s="4"/>
      <c r="AY245" s="4"/>
      <c r="AZ245" s="4"/>
      <c r="BB245" s="204" t="s">
        <v>537</v>
      </c>
      <c r="BG245" s="241">
        <f>IF(AND(AND($M$258="nonprofit",$M$266="nonprofit",$M$274="(select one)")),1,0)</f>
        <v>0</v>
      </c>
    </row>
    <row r="246" spans="1:67" ht="12.95" customHeight="1">
      <c r="D246" s="4" t="s">
        <v>90</v>
      </c>
      <c r="E246" s="4"/>
      <c r="F246" s="4"/>
      <c r="M246" s="1790" t="s">
        <v>2676</v>
      </c>
      <c r="N246" s="1790"/>
      <c r="O246" s="1790"/>
      <c r="P246" s="1790"/>
      <c r="Q246" s="1790"/>
      <c r="R246" s="1790"/>
      <c r="S246" s="1790"/>
      <c r="T246" s="1790"/>
      <c r="U246" s="1790"/>
      <c r="V246" s="1790"/>
      <c r="W246" s="1790"/>
      <c r="X246" s="1790"/>
      <c r="Y246" s="1790"/>
      <c r="Z246" s="1790"/>
      <c r="AA246" s="1790"/>
      <c r="AB246" s="1790"/>
      <c r="AC246" s="1790"/>
      <c r="AD246" s="1790"/>
      <c r="AE246" s="1790"/>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85" t="s">
        <v>377</v>
      </c>
      <c r="N247" s="1485"/>
      <c r="O247" s="1485"/>
      <c r="P247" s="1485"/>
      <c r="Q247" s="1485"/>
      <c r="R247" s="1485"/>
      <c r="S247" s="1485"/>
      <c r="T247" s="1485"/>
      <c r="U247" s="204" t="s">
        <v>906</v>
      </c>
      <c r="V247" s="204"/>
      <c r="W247" s="204"/>
      <c r="X247" s="204"/>
      <c r="Y247" s="204"/>
      <c r="Z247" s="204"/>
      <c r="AA247" s="1788"/>
      <c r="AB247" s="1788"/>
      <c r="AC247" s="1788"/>
      <c r="AD247" s="1788"/>
      <c r="AE247" s="1788"/>
      <c r="AF247" s="1788"/>
      <c r="AG247" s="1788"/>
      <c r="AH247" s="1788"/>
      <c r="AI247" s="1788"/>
      <c r="AJ247" s="1788"/>
      <c r="AK247" s="1788"/>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504"/>
      <c r="N248" s="1504"/>
      <c r="O248" s="1504"/>
      <c r="P248" s="1504"/>
      <c r="Q248" s="1504"/>
      <c r="R248" s="1504"/>
      <c r="S248" s="1504"/>
      <c r="T248" s="1504"/>
      <c r="U248" s="1504"/>
      <c r="V248" s="1504"/>
      <c r="W248" s="1504"/>
      <c r="X248" s="1504"/>
      <c r="Y248" s="1504"/>
      <c r="Z248" s="1504"/>
      <c r="AA248" s="1504"/>
      <c r="AB248" s="1504"/>
      <c r="AC248" s="1504"/>
      <c r="AD248" s="1504"/>
      <c r="AE248" s="1504"/>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0" t="s">
        <v>2658</v>
      </c>
      <c r="N252" s="1501"/>
      <c r="O252" s="1501"/>
      <c r="P252" s="1501"/>
      <c r="Q252" s="1501"/>
      <c r="R252" s="1501"/>
      <c r="S252" s="1501"/>
      <c r="T252" s="1501"/>
      <c r="U252" s="1501"/>
      <c r="V252" s="1501"/>
      <c r="W252" s="1501"/>
      <c r="X252" s="1501"/>
      <c r="Y252" s="1501"/>
      <c r="Z252" s="1501"/>
      <c r="AA252" s="1501"/>
      <c r="AB252" s="1501"/>
      <c r="AC252" s="1501"/>
      <c r="AD252" s="1501"/>
      <c r="AE252" s="1501"/>
      <c r="AF252" s="1501" t="s">
        <v>2677</v>
      </c>
      <c r="AG252" s="1501"/>
      <c r="AH252" s="1501"/>
      <c r="AI252" s="1501"/>
      <c r="AJ252" s="1501"/>
      <c r="AK252" s="1501"/>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498" t="s">
        <v>2673</v>
      </c>
      <c r="N253" s="1498"/>
      <c r="O253" s="1498"/>
      <c r="P253" s="1498"/>
      <c r="Q253" s="1498"/>
      <c r="R253" s="1498"/>
      <c r="S253" s="1498"/>
      <c r="T253" s="1498"/>
      <c r="U253" s="1498"/>
      <c r="V253" s="1498"/>
      <c r="W253" s="1498"/>
      <c r="X253" s="1498"/>
      <c r="Y253" s="1498"/>
      <c r="Z253" s="1498"/>
      <c r="AA253" s="1498"/>
      <c r="AB253" s="1498"/>
      <c r="AC253" s="1498"/>
      <c r="AD253" s="1498"/>
      <c r="AE253" s="149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98" t="s">
        <v>494</v>
      </c>
      <c r="N254" s="1498"/>
      <c r="O254" s="1498"/>
      <c r="P254" s="1498"/>
      <c r="Q254" s="1498"/>
      <c r="R254" s="1498"/>
      <c r="S254" s="1498"/>
      <c r="T254" s="1498"/>
      <c r="V254" s="33" t="s">
        <v>86</v>
      </c>
      <c r="W254" s="1519" t="s">
        <v>2674</v>
      </c>
      <c r="X254" s="1519"/>
      <c r="Y254" s="4" t="s">
        <v>583</v>
      </c>
      <c r="AC254" s="1498">
        <v>90017</v>
      </c>
      <c r="AD254" s="1498"/>
      <c r="AE254" s="1498"/>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498" t="s">
        <v>2648</v>
      </c>
      <c r="N255" s="1498"/>
      <c r="O255" s="1498"/>
      <c r="P255" s="1498"/>
      <c r="Q255" s="1498"/>
      <c r="R255" s="1498"/>
      <c r="S255" s="1498"/>
      <c r="T255" s="1498"/>
      <c r="U255" s="1498"/>
      <c r="V255" s="1498"/>
      <c r="W255" s="1498"/>
      <c r="X255" s="1498"/>
      <c r="Y255" s="1498"/>
      <c r="Z255" s="1498"/>
      <c r="AA255" s="1498"/>
      <c r="AB255" s="1498"/>
      <c r="AC255" s="1498"/>
      <c r="AD255" s="1498"/>
      <c r="AE255" s="1498"/>
      <c r="AH255" s="1792">
        <v>8.9999999999999993E-3</v>
      </c>
      <c r="AI255" s="1792"/>
      <c r="AJ255" s="1792"/>
      <c r="AK255" s="1792"/>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529" t="s">
        <v>2675</v>
      </c>
      <c r="N256" s="1529"/>
      <c r="O256" s="1529"/>
      <c r="P256" s="1529"/>
      <c r="Q256" s="1529"/>
      <c r="R256" s="1529"/>
      <c r="S256" s="4" t="s">
        <v>206</v>
      </c>
      <c r="T256" s="4"/>
      <c r="U256" s="1519"/>
      <c r="V256" s="1519"/>
      <c r="W256" s="1519"/>
      <c r="X256" s="4" t="s">
        <v>89</v>
      </c>
      <c r="Z256" s="1529"/>
      <c r="AA256" s="1529"/>
      <c r="AB256" s="1529"/>
      <c r="AC256" s="1529"/>
      <c r="AD256" s="1529"/>
      <c r="AE256" s="1529"/>
      <c r="AU256" s="4"/>
      <c r="AV256" s="4"/>
      <c r="AW256" s="4"/>
      <c r="AX256" s="4"/>
      <c r="AY256" s="4"/>
      <c r="BG256">
        <v>0</v>
      </c>
      <c r="BH256" s="3" t="str">
        <f>""</f>
        <v/>
      </c>
      <c r="BN256" s="34"/>
    </row>
    <row r="257" spans="1:66" ht="12.95" customHeight="1">
      <c r="A257" s="19"/>
      <c r="B257" s="4"/>
      <c r="C257" s="4"/>
      <c r="D257" s="4" t="s">
        <v>90</v>
      </c>
      <c r="E257" s="4"/>
      <c r="F257" s="4"/>
      <c r="M257" s="1790" t="s">
        <v>2676</v>
      </c>
      <c r="N257" s="1790"/>
      <c r="O257" s="1790"/>
      <c r="P257" s="1790"/>
      <c r="Q257" s="1790"/>
      <c r="R257" s="1790"/>
      <c r="S257" s="1790"/>
      <c r="T257" s="1790"/>
      <c r="U257" s="1790"/>
      <c r="V257" s="1790"/>
      <c r="W257" s="1790"/>
      <c r="X257" s="1790"/>
      <c r="Y257" s="1790"/>
      <c r="Z257" s="1790"/>
      <c r="AA257" s="1790"/>
      <c r="AB257" s="1790"/>
      <c r="AC257" s="1790"/>
      <c r="AD257" s="1790"/>
      <c r="AE257" s="1790"/>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85" t="s">
        <v>534</v>
      </c>
      <c r="N258" s="1485"/>
      <c r="O258" s="1485"/>
      <c r="P258" s="1485"/>
      <c r="Q258" s="1485"/>
      <c r="R258" s="1485"/>
      <c r="S258" s="1485"/>
      <c r="T258" s="1485"/>
      <c r="U258" s="204" t="s">
        <v>906</v>
      </c>
      <c r="V258" s="204"/>
      <c r="W258" s="204"/>
      <c r="X258" s="204"/>
      <c r="Y258" s="204"/>
      <c r="Z258" s="204"/>
      <c r="AA258" s="1805" t="s">
        <v>2645</v>
      </c>
      <c r="AB258" s="1788"/>
      <c r="AC258" s="1788"/>
      <c r="AD258" s="1788"/>
      <c r="AE258" s="1788"/>
      <c r="AF258" s="1788"/>
      <c r="AG258" s="1788"/>
      <c r="AH258" s="1788"/>
      <c r="AI258" s="1788"/>
      <c r="AJ258" s="1788"/>
      <c r="AK258" s="178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0"/>
      <c r="N260" s="1501"/>
      <c r="O260" s="1501"/>
      <c r="P260" s="1501"/>
      <c r="Q260" s="1501"/>
      <c r="R260" s="1501"/>
      <c r="S260" s="1501"/>
      <c r="T260" s="1501"/>
      <c r="U260" s="1501"/>
      <c r="V260" s="1501"/>
      <c r="W260" s="1501"/>
      <c r="X260" s="1501"/>
      <c r="Y260" s="1501"/>
      <c r="Z260" s="1501"/>
      <c r="AA260" s="1501"/>
      <c r="AB260" s="1501"/>
      <c r="AC260" s="1501"/>
      <c r="AD260" s="1501"/>
      <c r="AE260" s="1501"/>
      <c r="AF260" s="1501"/>
      <c r="AG260" s="1501"/>
      <c r="AH260" s="1501"/>
      <c r="AI260" s="1501"/>
      <c r="AJ260" s="1501"/>
      <c r="AK260" s="1501"/>
      <c r="AU260" s="4"/>
      <c r="AV260" s="4"/>
      <c r="AW260" s="4"/>
      <c r="AX260" s="4"/>
      <c r="AY260" s="4"/>
      <c r="BN260" s="34"/>
    </row>
    <row r="261" spans="1:66" ht="12.95" customHeight="1">
      <c r="A261" s="19"/>
      <c r="B261" s="4"/>
      <c r="C261" s="4"/>
      <c r="D261" s="4" t="s">
        <v>85</v>
      </c>
      <c r="E261" s="4"/>
      <c r="F261" s="4"/>
      <c r="G261" s="4"/>
      <c r="H261" s="4"/>
      <c r="I261" s="4"/>
      <c r="J261" s="4"/>
      <c r="K261" s="4"/>
      <c r="L261" s="4"/>
      <c r="M261" s="1498"/>
      <c r="N261" s="1498"/>
      <c r="O261" s="1498"/>
      <c r="P261" s="1498"/>
      <c r="Q261" s="1498"/>
      <c r="R261" s="1498"/>
      <c r="S261" s="1498"/>
      <c r="T261" s="1498"/>
      <c r="U261" s="1498"/>
      <c r="V261" s="1498"/>
      <c r="W261" s="1498"/>
      <c r="X261" s="1498"/>
      <c r="Y261" s="1498"/>
      <c r="Z261" s="1498"/>
      <c r="AA261" s="1498"/>
      <c r="AB261" s="1498"/>
      <c r="AC261" s="1498"/>
      <c r="AD261" s="1498"/>
      <c r="AE261" s="1498"/>
      <c r="AF261" s="3" t="s">
        <v>1179</v>
      </c>
      <c r="AL261" s="4"/>
      <c r="AM261" s="4"/>
      <c r="AN261" s="4"/>
      <c r="AO261" s="4"/>
      <c r="AP261" s="4"/>
      <c r="AQ261" s="4"/>
      <c r="AR261" s="4"/>
      <c r="AS261" s="4"/>
      <c r="AT261" s="4"/>
      <c r="BN261" s="34"/>
    </row>
    <row r="262" spans="1:66" ht="12.95" customHeight="1">
      <c r="A262" s="19"/>
      <c r="B262" s="4"/>
      <c r="C262" s="4"/>
      <c r="D262" s="4" t="s">
        <v>580</v>
      </c>
      <c r="E262" s="4"/>
      <c r="M262" s="1498"/>
      <c r="N262" s="1498"/>
      <c r="O262" s="1498"/>
      <c r="P262" s="1498"/>
      <c r="Q262" s="1498"/>
      <c r="R262" s="1498"/>
      <c r="S262" s="1498"/>
      <c r="T262" s="1498"/>
      <c r="V262" s="33" t="s">
        <v>86</v>
      </c>
      <c r="W262" s="1519"/>
      <c r="X262" s="1519"/>
      <c r="Y262" s="4" t="s">
        <v>583</v>
      </c>
      <c r="AC262" s="1498"/>
      <c r="AD262" s="1498"/>
      <c r="AE262" s="149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98"/>
      <c r="N263" s="1498"/>
      <c r="O263" s="1498"/>
      <c r="P263" s="1498"/>
      <c r="Q263" s="1498"/>
      <c r="R263" s="1498"/>
      <c r="S263" s="1498"/>
      <c r="T263" s="1498"/>
      <c r="U263" s="1498"/>
      <c r="V263" s="1498"/>
      <c r="W263" s="1498"/>
      <c r="X263" s="1498"/>
      <c r="Y263" s="1498"/>
      <c r="Z263" s="1498"/>
      <c r="AA263" s="1498"/>
      <c r="AB263" s="1498"/>
      <c r="AC263" s="1498"/>
      <c r="AD263" s="1498"/>
      <c r="AE263" s="1498"/>
      <c r="AH263" s="1792"/>
      <c r="AI263" s="1792"/>
      <c r="AJ263" s="1792"/>
      <c r="AK263" s="1792"/>
      <c r="AL263" s="4"/>
      <c r="AM263" s="4"/>
      <c r="AN263" s="4"/>
      <c r="AO263" s="4"/>
      <c r="AP263" s="4"/>
      <c r="AQ263" s="4"/>
      <c r="AR263" s="4"/>
      <c r="AS263" s="4"/>
      <c r="AT263" s="4"/>
    </row>
    <row r="264" spans="1:66" ht="12.95" customHeight="1">
      <c r="A264" s="19"/>
      <c r="B264" s="4"/>
      <c r="C264" s="4"/>
      <c r="D264" s="4" t="s">
        <v>88</v>
      </c>
      <c r="E264" s="4"/>
      <c r="F264" s="4"/>
      <c r="M264" s="1529"/>
      <c r="N264" s="1529"/>
      <c r="O264" s="1529"/>
      <c r="P264" s="1529"/>
      <c r="Q264" s="1529"/>
      <c r="R264" s="1529"/>
      <c r="S264" s="4" t="s">
        <v>206</v>
      </c>
      <c r="T264" s="4"/>
      <c r="U264" s="1519"/>
      <c r="V264" s="1519"/>
      <c r="W264" s="1519"/>
      <c r="X264" s="4" t="s">
        <v>89</v>
      </c>
      <c r="Z264" s="1529"/>
      <c r="AA264" s="1529"/>
      <c r="AB264" s="1529"/>
      <c r="AC264" s="1529"/>
      <c r="AD264" s="1529"/>
      <c r="AE264" s="1529"/>
      <c r="AU264" s="4"/>
      <c r="AV264" s="4"/>
      <c r="AW264" s="4"/>
      <c r="AX264" s="4"/>
      <c r="AY264" s="4"/>
      <c r="BN264" s="34"/>
    </row>
    <row r="265" spans="1:66" ht="12.95" customHeight="1">
      <c r="A265" s="19"/>
      <c r="B265" s="4"/>
      <c r="C265" s="4"/>
      <c r="D265" s="4" t="s">
        <v>90</v>
      </c>
      <c r="E265" s="4"/>
      <c r="F265" s="4"/>
      <c r="M265" s="1790"/>
      <c r="N265" s="1790"/>
      <c r="O265" s="1790"/>
      <c r="P265" s="1790"/>
      <c r="Q265" s="1790"/>
      <c r="R265" s="1790"/>
      <c r="S265" s="1790"/>
      <c r="T265" s="1790"/>
      <c r="U265" s="1790"/>
      <c r="V265" s="1790"/>
      <c r="W265" s="1790"/>
      <c r="X265" s="1790"/>
      <c r="Y265" s="1790"/>
      <c r="Z265" s="1790"/>
      <c r="AA265" s="1790"/>
      <c r="AB265" s="1790"/>
      <c r="AC265" s="1790"/>
      <c r="AD265" s="1790"/>
      <c r="AE265" s="1790"/>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85" t="s">
        <v>307</v>
      </c>
      <c r="N266" s="1485"/>
      <c r="O266" s="1485"/>
      <c r="P266" s="1485"/>
      <c r="Q266" s="1485"/>
      <c r="R266" s="1485"/>
      <c r="S266" s="1485"/>
      <c r="T266" s="1485"/>
      <c r="U266" s="204" t="s">
        <v>906</v>
      </c>
      <c r="V266" s="204"/>
      <c r="W266" s="204"/>
      <c r="X266" s="204"/>
      <c r="Y266" s="204"/>
      <c r="Z266" s="204"/>
      <c r="AA266" s="1788"/>
      <c r="AB266" s="1788"/>
      <c r="AC266" s="1788"/>
      <c r="AD266" s="1788"/>
      <c r="AE266" s="1788"/>
      <c r="AF266" s="1788"/>
      <c r="AG266" s="1788"/>
      <c r="AH266" s="1788"/>
      <c r="AI266" s="1788"/>
      <c r="AJ266" s="1788"/>
      <c r="AK266" s="178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1"/>
      <c r="N268" s="1501"/>
      <c r="O268" s="1501"/>
      <c r="P268" s="1501"/>
      <c r="Q268" s="1501"/>
      <c r="R268" s="1501"/>
      <c r="S268" s="1501"/>
      <c r="T268" s="1501"/>
      <c r="U268" s="1501"/>
      <c r="V268" s="1501"/>
      <c r="W268" s="1501"/>
      <c r="X268" s="1501"/>
      <c r="Y268" s="1501"/>
      <c r="Z268" s="1501"/>
      <c r="AA268" s="1501"/>
      <c r="AB268" s="1501"/>
      <c r="AC268" s="1501"/>
      <c r="AD268" s="1501"/>
      <c r="AE268" s="1501"/>
      <c r="AF268" s="1501" t="s">
        <v>307</v>
      </c>
      <c r="AG268" s="1501"/>
      <c r="AH268" s="1501"/>
      <c r="AI268" s="1501"/>
      <c r="AJ268" s="1501"/>
      <c r="AK268" s="150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8"/>
      <c r="N269" s="1498"/>
      <c r="O269" s="1498"/>
      <c r="P269" s="1498"/>
      <c r="Q269" s="1498"/>
      <c r="R269" s="1498"/>
      <c r="S269" s="1498"/>
      <c r="T269" s="1498"/>
      <c r="U269" s="1498"/>
      <c r="V269" s="1498"/>
      <c r="W269" s="1498"/>
      <c r="X269" s="1498"/>
      <c r="Y269" s="1498"/>
      <c r="Z269" s="1498"/>
      <c r="AA269" s="1498"/>
      <c r="AB269" s="1498"/>
      <c r="AC269" s="1498"/>
      <c r="AD269" s="1498"/>
      <c r="AE269" s="149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98"/>
      <c r="N270" s="1498"/>
      <c r="O270" s="1498"/>
      <c r="P270" s="1498"/>
      <c r="Q270" s="1498"/>
      <c r="R270" s="1498"/>
      <c r="S270" s="1498"/>
      <c r="T270" s="1498"/>
      <c r="V270" s="33" t="s">
        <v>86</v>
      </c>
      <c r="W270" s="1519"/>
      <c r="X270" s="1519"/>
      <c r="Y270" s="4" t="s">
        <v>583</v>
      </c>
      <c r="AC270" s="1498"/>
      <c r="AD270" s="1498"/>
      <c r="AE270" s="149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8"/>
      <c r="N271" s="1498"/>
      <c r="O271" s="1498"/>
      <c r="P271" s="1498"/>
      <c r="Q271" s="1498"/>
      <c r="R271" s="1498"/>
      <c r="S271" s="1498"/>
      <c r="T271" s="1498"/>
      <c r="U271" s="1498"/>
      <c r="V271" s="1498"/>
      <c r="W271" s="1498"/>
      <c r="X271" s="1498"/>
      <c r="Y271" s="1498"/>
      <c r="Z271" s="1498"/>
      <c r="AA271" s="1498"/>
      <c r="AB271" s="1498"/>
      <c r="AC271" s="1498"/>
      <c r="AD271" s="1498"/>
      <c r="AE271" s="1498"/>
      <c r="AH271" s="1792"/>
      <c r="AI271" s="1792"/>
      <c r="AJ271" s="1792"/>
      <c r="AK271" s="1792"/>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529"/>
      <c r="N272" s="1529"/>
      <c r="O272" s="1529"/>
      <c r="P272" s="1529"/>
      <c r="Q272" s="1529"/>
      <c r="R272" s="1529"/>
      <c r="S272" s="4" t="s">
        <v>206</v>
      </c>
      <c r="T272" s="4"/>
      <c r="U272" s="1519"/>
      <c r="V272" s="1519"/>
      <c r="W272" s="1519"/>
      <c r="X272" s="4" t="s">
        <v>89</v>
      </c>
      <c r="Z272" s="1529"/>
      <c r="AA272" s="1529"/>
      <c r="AB272" s="1529"/>
      <c r="AC272" s="1529"/>
      <c r="AD272" s="1529"/>
      <c r="AE272" s="1529"/>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0"/>
      <c r="N273" s="1790"/>
      <c r="O273" s="1790"/>
      <c r="P273" s="1790"/>
      <c r="Q273" s="1790"/>
      <c r="R273" s="1790"/>
      <c r="S273" s="1790"/>
      <c r="T273" s="1790"/>
      <c r="U273" s="1790"/>
      <c r="V273" s="1790"/>
      <c r="W273" s="1790"/>
      <c r="X273" s="1790"/>
      <c r="Y273" s="1790"/>
      <c r="Z273" s="1790"/>
      <c r="AA273" s="1791"/>
      <c r="AB273" s="1791"/>
      <c r="AC273" s="1791"/>
      <c r="AD273" s="1791"/>
      <c r="AE273" s="1791"/>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85" t="s">
        <v>307</v>
      </c>
      <c r="N274" s="1485"/>
      <c r="O274" s="1485"/>
      <c r="P274" s="1485"/>
      <c r="Q274" s="1485"/>
      <c r="R274" s="1485"/>
      <c r="S274" s="1485"/>
      <c r="T274" s="1485"/>
      <c r="U274" s="204" t="s">
        <v>906</v>
      </c>
      <c r="V274" s="204"/>
      <c r="W274" s="204"/>
      <c r="X274" s="204"/>
      <c r="Y274" s="204"/>
      <c r="Z274" s="204"/>
      <c r="AA274" s="1789"/>
      <c r="AB274" s="1789"/>
      <c r="AC274" s="1789"/>
      <c r="AD274" s="1789"/>
      <c r="AE274" s="1789"/>
      <c r="AF274" s="1789"/>
      <c r="AG274" s="1789"/>
      <c r="AH274" s="1789"/>
      <c r="AI274" s="1789"/>
      <c r="AJ274" s="1789"/>
      <c r="AK274" s="178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3" t="str">
        <f>IFERROR(BO254,"")</f>
        <v>Nonprofit</v>
      </c>
      <c r="U276" s="1793"/>
      <c r="V276" s="1793"/>
      <c r="W276" s="1793"/>
      <c r="X276" s="1793"/>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8" t="s">
        <v>173</v>
      </c>
      <c r="E279" s="1498"/>
      <c r="F279" s="1498"/>
      <c r="G279" s="1498"/>
      <c r="H279" s="1498"/>
      <c r="J279" t="s">
        <v>279</v>
      </c>
      <c r="X279" s="1723">
        <v>46296</v>
      </c>
      <c r="Y279" s="1723"/>
      <c r="Z279" s="1723"/>
      <c r="AA279" s="1723"/>
      <c r="AB279" s="1723"/>
      <c r="AC279" s="1723"/>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1" t="s">
        <v>2678</v>
      </c>
      <c r="M283" s="1501"/>
      <c r="N283" s="1501"/>
      <c r="O283" s="1501"/>
      <c r="P283" s="1501"/>
      <c r="Q283" s="1501"/>
      <c r="R283" s="1501"/>
      <c r="S283" s="1501"/>
      <c r="T283" s="1501"/>
      <c r="U283" s="1501"/>
      <c r="V283" s="1501"/>
      <c r="W283" s="1501"/>
      <c r="X283" s="1501"/>
      <c r="Y283" s="1501"/>
      <c r="Z283" s="1501"/>
      <c r="AA283" s="1501"/>
      <c r="AB283" s="1501"/>
      <c r="AC283" s="1501"/>
      <c r="AD283" s="1501"/>
      <c r="AE283" s="1501"/>
      <c r="AF283" s="1501"/>
      <c r="AG283" s="1501"/>
      <c r="AH283" s="1501"/>
      <c r="AI283" s="1501"/>
      <c r="AJ283" s="150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8" t="s">
        <v>2679</v>
      </c>
      <c r="M284" s="1498"/>
      <c r="N284" s="1498"/>
      <c r="O284" s="1498"/>
      <c r="P284" s="1498"/>
      <c r="Q284" s="1498"/>
      <c r="R284" s="1498"/>
      <c r="S284" s="1498"/>
      <c r="T284" s="1498"/>
      <c r="U284" s="1498"/>
      <c r="V284" s="1498"/>
      <c r="W284" s="1498"/>
      <c r="X284" s="1498"/>
      <c r="Y284" s="1498"/>
      <c r="Z284" s="1498"/>
      <c r="AA284" s="1498"/>
      <c r="AB284" s="1498"/>
      <c r="AC284" s="1498"/>
      <c r="AD284" s="1498"/>
      <c r="AK284" s="3"/>
      <c r="AL284" s="3"/>
      <c r="AM284" s="3"/>
      <c r="AN284" s="3"/>
      <c r="AO284" s="3"/>
      <c r="AP284" s="3"/>
      <c r="AQ284" s="3"/>
      <c r="AR284" s="3"/>
      <c r="AS284" s="3"/>
      <c r="AT284" s="3"/>
      <c r="AU284" s="3"/>
      <c r="AV284" s="3"/>
      <c r="AW284" s="3"/>
      <c r="AX284" s="3"/>
      <c r="AY284" s="3"/>
    </row>
    <row r="285" spans="1:51" ht="12.95" customHeight="1">
      <c r="D285" s="4" t="s">
        <v>580</v>
      </c>
      <c r="E285" s="4"/>
      <c r="L285" s="1498" t="s">
        <v>67</v>
      </c>
      <c r="M285" s="1498"/>
      <c r="N285" s="1498"/>
      <c r="O285" s="1498"/>
      <c r="P285" s="1498"/>
      <c r="Q285" s="1498"/>
      <c r="R285" s="1498"/>
      <c r="S285" s="1498"/>
      <c r="U285" s="33" t="s">
        <v>86</v>
      </c>
      <c r="V285" s="1519" t="s">
        <v>2674</v>
      </c>
      <c r="W285" s="1519"/>
      <c r="X285" s="4" t="s">
        <v>583</v>
      </c>
      <c r="AB285" s="1498">
        <v>92507</v>
      </c>
      <c r="AC285" s="1498"/>
      <c r="AD285" s="149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7" t="s">
        <v>2664</v>
      </c>
      <c r="M286" s="1498"/>
      <c r="N286" s="1498"/>
      <c r="O286" s="1498"/>
      <c r="P286" s="1498"/>
      <c r="Q286" s="1498"/>
      <c r="R286" s="1498"/>
      <c r="S286" s="1498"/>
      <c r="T286" s="1498"/>
      <c r="U286" s="1498"/>
      <c r="V286" s="1498"/>
      <c r="W286" s="1498"/>
      <c r="X286" s="1498"/>
      <c r="Y286" s="1498"/>
      <c r="Z286" s="1498"/>
      <c r="AA286" s="1498"/>
      <c r="AB286" s="1498"/>
      <c r="AC286" s="1498"/>
      <c r="AD286" s="1498"/>
      <c r="AI286" s="4"/>
      <c r="AJ286" s="4"/>
      <c r="AK286" s="3"/>
      <c r="AL286" s="3"/>
      <c r="AM286" s="3"/>
      <c r="AN286" s="3"/>
      <c r="AO286" s="3"/>
      <c r="AP286" s="3"/>
      <c r="AQ286" s="3"/>
      <c r="AR286" s="3"/>
      <c r="AS286" s="3"/>
      <c r="AT286" s="3"/>
    </row>
    <row r="287" spans="1:51" ht="12.95" customHeight="1">
      <c r="D287" s="4" t="s">
        <v>88</v>
      </c>
      <c r="E287" s="4"/>
      <c r="F287" s="4"/>
      <c r="L287" s="1529" t="s">
        <v>2680</v>
      </c>
      <c r="M287" s="1529"/>
      <c r="N287" s="1529"/>
      <c r="O287" s="1529"/>
      <c r="P287" s="1529"/>
      <c r="Q287" s="1529"/>
      <c r="R287" s="4" t="s">
        <v>206</v>
      </c>
      <c r="S287" s="4"/>
      <c r="T287" s="1519"/>
      <c r="U287" s="1519"/>
      <c r="V287" s="1519"/>
      <c r="W287" s="4" t="s">
        <v>89</v>
      </c>
      <c r="Y287" s="1529"/>
      <c r="Z287" s="1529"/>
      <c r="AA287" s="1529"/>
      <c r="AB287" s="1529"/>
      <c r="AC287" s="1529"/>
      <c r="AD287" s="1529"/>
    </row>
    <row r="288" spans="1:51" ht="12.95" customHeight="1">
      <c r="D288" s="4" t="s">
        <v>90</v>
      </c>
      <c r="E288" s="4"/>
      <c r="F288" s="4"/>
      <c r="L288" s="1790" t="s">
        <v>2681</v>
      </c>
      <c r="M288" s="1790"/>
      <c r="N288" s="1790"/>
      <c r="O288" s="1790"/>
      <c r="P288" s="1790"/>
      <c r="Q288" s="1790"/>
      <c r="R288" s="1790"/>
      <c r="S288" s="1790"/>
      <c r="T288" s="1790"/>
      <c r="U288" s="1790"/>
      <c r="V288" s="1790"/>
      <c r="W288" s="1790"/>
      <c r="X288" s="1790"/>
      <c r="Y288" s="1790"/>
      <c r="Z288" s="1790"/>
      <c r="AA288" s="1790"/>
      <c r="AB288" s="1790"/>
      <c r="AC288" s="1790"/>
      <c r="AD288" s="1790"/>
      <c r="AF288" s="4"/>
      <c r="AG288" s="4"/>
      <c r="AH288" s="4"/>
      <c r="AI288" s="4"/>
      <c r="AJ288" s="4"/>
      <c r="AU288" s="3"/>
      <c r="AV288" s="3"/>
      <c r="AW288" s="3"/>
      <c r="AX288" s="3"/>
      <c r="AY288" s="3"/>
    </row>
    <row r="289" spans="1:51" ht="12.95" customHeight="1">
      <c r="D289" s="3" t="s">
        <v>623</v>
      </c>
      <c r="E289" s="3"/>
      <c r="F289" s="3"/>
      <c r="G289" s="3"/>
      <c r="H289" s="3"/>
      <c r="I289" s="3"/>
      <c r="L289" s="1664" t="s">
        <v>2682</v>
      </c>
      <c r="M289" s="1664"/>
      <c r="N289" s="1664"/>
      <c r="O289" s="1664"/>
      <c r="P289" s="1664"/>
      <c r="Q289" s="1664"/>
      <c r="R289" s="1664"/>
      <c r="S289" s="1664"/>
      <c r="T289" s="1664"/>
      <c r="U289" s="1664"/>
      <c r="V289" s="1664"/>
      <c r="W289" s="1664"/>
      <c r="X289" s="1664"/>
      <c r="Y289" s="1664"/>
      <c r="Z289" s="1664"/>
      <c r="AA289" s="1664"/>
      <c r="AB289" s="1664"/>
      <c r="AC289" s="1664"/>
      <c r="AD289" s="166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11" t="s">
        <v>541</v>
      </c>
      <c r="B291" s="1411"/>
      <c r="C291" s="1411"/>
      <c r="D291" s="1411"/>
      <c r="E291" s="1411"/>
      <c r="F291" s="1411"/>
      <c r="G291" s="1411"/>
      <c r="H291" s="1411"/>
      <c r="I291" s="1411"/>
      <c r="J291" s="1411"/>
      <c r="K291" s="1411"/>
      <c r="L291" s="1411"/>
      <c r="M291" s="1411"/>
      <c r="N291" s="1411"/>
      <c r="O291" s="1411"/>
      <c r="P291" s="1411"/>
      <c r="Q291" s="1411"/>
      <c r="R291" s="1411"/>
      <c r="S291" s="1411"/>
      <c r="T291" s="1411"/>
      <c r="U291" s="1411"/>
      <c r="V291" s="1411"/>
      <c r="W291" s="1411"/>
      <c r="X291" s="1411"/>
      <c r="Y291" s="1411"/>
      <c r="Z291" s="1411"/>
      <c r="AA291" s="1411"/>
      <c r="AB291" s="1411"/>
      <c r="AC291" s="1411"/>
      <c r="AD291" s="1411"/>
      <c r="AE291" s="1411"/>
      <c r="AF291" s="1411"/>
      <c r="AG291" s="1411"/>
      <c r="AH291" s="1411"/>
      <c r="AI291" s="1411"/>
      <c r="AJ291" s="1411"/>
      <c r="AK291" s="1411"/>
      <c r="AL291" s="1411"/>
      <c r="AM291" s="1411"/>
      <c r="AN291" s="1411"/>
      <c r="AO291" s="1411"/>
      <c r="AP291" s="1411"/>
      <c r="AQ291" s="1411"/>
      <c r="AR291" s="1411"/>
      <c r="AS291" s="1411"/>
      <c r="AT291" s="1411"/>
      <c r="AU291" s="95"/>
      <c r="AV291" s="95"/>
      <c r="AW291" s="95"/>
      <c r="AX291" s="95"/>
      <c r="AY291" s="95"/>
    </row>
    <row r="292" spans="1:51" ht="12.95" customHeight="1">
      <c r="A292" s="1411"/>
      <c r="B292" s="1411"/>
      <c r="C292" s="1411"/>
      <c r="D292" s="1411"/>
      <c r="E292" s="1411"/>
      <c r="F292" s="1411"/>
      <c r="G292" s="1411"/>
      <c r="H292" s="1411"/>
      <c r="I292" s="1411"/>
      <c r="J292" s="1411"/>
      <c r="K292" s="1411"/>
      <c r="L292" s="1411"/>
      <c r="M292" s="1411"/>
      <c r="N292" s="1411"/>
      <c r="O292" s="1411"/>
      <c r="P292" s="1411"/>
      <c r="Q292" s="1411"/>
      <c r="R292" s="1411"/>
      <c r="S292" s="1411"/>
      <c r="T292" s="1411"/>
      <c r="U292" s="1411"/>
      <c r="V292" s="1411"/>
      <c r="W292" s="1411"/>
      <c r="X292" s="1411"/>
      <c r="Y292" s="1411"/>
      <c r="Z292" s="1411"/>
      <c r="AA292" s="1411"/>
      <c r="AB292" s="1411"/>
      <c r="AC292" s="1411"/>
      <c r="AD292" s="1411"/>
      <c r="AE292" s="1411"/>
      <c r="AF292" s="1411"/>
      <c r="AG292" s="1411"/>
      <c r="AH292" s="1411"/>
      <c r="AI292" s="1411"/>
      <c r="AJ292" s="1411"/>
      <c r="AK292" s="1411"/>
      <c r="AL292" s="1411"/>
      <c r="AM292" s="1411"/>
      <c r="AN292" s="1411"/>
      <c r="AO292" s="1411"/>
      <c r="AP292" s="1411"/>
      <c r="AQ292" s="1411"/>
      <c r="AR292" s="1411"/>
      <c r="AS292" s="1411"/>
      <c r="AT292" s="141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97" t="s">
        <v>2645</v>
      </c>
      <c r="I296" s="1504"/>
      <c r="J296" s="1504"/>
      <c r="K296" s="1504"/>
      <c r="L296" s="1504"/>
      <c r="M296" s="1504"/>
      <c r="N296" s="1504"/>
      <c r="O296" s="1504"/>
      <c r="P296" s="1504"/>
      <c r="Q296" s="1504"/>
      <c r="R296" s="1504"/>
      <c r="T296" s="3" t="s">
        <v>567</v>
      </c>
      <c r="V296" s="3"/>
      <c r="W296" s="3"/>
      <c r="X296" s="3"/>
      <c r="Y296" s="3"/>
      <c r="AA296" s="1497" t="s">
        <v>2656</v>
      </c>
      <c r="AB296" s="1504"/>
      <c r="AC296" s="1504"/>
      <c r="AD296" s="1504"/>
      <c r="AE296" s="1504"/>
      <c r="AF296" s="1504"/>
      <c r="AG296" s="1504"/>
      <c r="AH296" s="1504"/>
      <c r="AI296" s="1504"/>
      <c r="AJ296" s="1504"/>
      <c r="AK296" s="1504"/>
    </row>
    <row r="297" spans="1:51" ht="12.95" customHeight="1">
      <c r="B297" s="3" t="s">
        <v>471</v>
      </c>
      <c r="C297" s="3"/>
      <c r="D297" s="3"/>
      <c r="E297" s="3"/>
      <c r="F297" s="3"/>
      <c r="H297" s="1664" t="s">
        <v>2646</v>
      </c>
      <c r="I297" s="1485"/>
      <c r="J297" s="1485"/>
      <c r="K297" s="1485"/>
      <c r="L297" s="1485"/>
      <c r="M297" s="1485"/>
      <c r="N297" s="1485"/>
      <c r="O297" s="1485"/>
      <c r="P297" s="1485"/>
      <c r="Q297" s="1485"/>
      <c r="R297" s="1485"/>
      <c r="T297" s="3" t="s">
        <v>471</v>
      </c>
      <c r="V297" s="3"/>
      <c r="W297" s="3"/>
      <c r="X297" s="3"/>
      <c r="Y297" s="3"/>
      <c r="AA297" s="1485" t="s">
        <v>2695</v>
      </c>
      <c r="AB297" s="1485"/>
      <c r="AC297" s="1485"/>
      <c r="AD297" s="1485"/>
      <c r="AE297" s="1485"/>
      <c r="AF297" s="1485"/>
      <c r="AG297" s="1485"/>
      <c r="AH297" s="1485"/>
      <c r="AI297" s="1485"/>
      <c r="AJ297" s="1485"/>
      <c r="AK297" s="1485"/>
    </row>
    <row r="298" spans="1:51" ht="12.95" customHeight="1">
      <c r="B298" s="3" t="s">
        <v>472</v>
      </c>
      <c r="C298" s="3"/>
      <c r="D298" s="3"/>
      <c r="E298" s="3"/>
      <c r="F298" s="3"/>
      <c r="H298" s="1664" t="s">
        <v>2647</v>
      </c>
      <c r="I298" s="1485"/>
      <c r="J298" s="1485"/>
      <c r="K298" s="1485"/>
      <c r="L298" s="1485"/>
      <c r="M298" s="1485"/>
      <c r="N298" s="1485"/>
      <c r="O298" s="1485"/>
      <c r="P298" s="1485"/>
      <c r="Q298" s="1485"/>
      <c r="R298" s="1485"/>
      <c r="T298" s="3" t="s">
        <v>75</v>
      </c>
      <c r="V298" s="3"/>
      <c r="W298" s="3"/>
      <c r="X298" s="3"/>
      <c r="Y298" s="3"/>
      <c r="AA298" s="1485" t="s">
        <v>2696</v>
      </c>
      <c r="AB298" s="1485"/>
      <c r="AC298" s="1485"/>
      <c r="AD298" s="1485"/>
      <c r="AE298" s="1485"/>
      <c r="AF298" s="1485"/>
      <c r="AG298" s="1485"/>
      <c r="AH298" s="1485"/>
      <c r="AI298" s="1485"/>
      <c r="AJ298" s="1485"/>
      <c r="AK298" s="1485"/>
    </row>
    <row r="299" spans="1:51" ht="12.95" customHeight="1">
      <c r="B299" s="3" t="s">
        <v>87</v>
      </c>
      <c r="C299" s="3"/>
      <c r="D299" s="3"/>
      <c r="E299" s="3"/>
      <c r="F299" s="3"/>
      <c r="H299" s="1664" t="s">
        <v>2648</v>
      </c>
      <c r="I299" s="1485"/>
      <c r="J299" s="1485"/>
      <c r="K299" s="1485"/>
      <c r="L299" s="1485"/>
      <c r="M299" s="1485"/>
      <c r="N299" s="1485"/>
      <c r="O299" s="1485"/>
      <c r="P299" s="1485"/>
      <c r="Q299" s="1485"/>
      <c r="R299" s="1485"/>
      <c r="T299" s="3" t="s">
        <v>87</v>
      </c>
      <c r="V299" s="3"/>
      <c r="W299" s="3"/>
      <c r="X299" s="3"/>
      <c r="Y299" s="3"/>
      <c r="AA299" s="1485" t="s">
        <v>2697</v>
      </c>
      <c r="AB299" s="1485"/>
      <c r="AC299" s="1485"/>
      <c r="AD299" s="1485"/>
      <c r="AE299" s="1485"/>
      <c r="AF299" s="1485"/>
      <c r="AG299" s="1485"/>
      <c r="AH299" s="1485"/>
      <c r="AI299" s="1485"/>
      <c r="AJ299" s="1485"/>
      <c r="AK299" s="1485"/>
    </row>
    <row r="300" spans="1:51" ht="12.95" customHeight="1">
      <c r="B300" s="3" t="s">
        <v>88</v>
      </c>
      <c r="C300" s="3"/>
      <c r="D300" s="3"/>
      <c r="E300" s="3"/>
      <c r="F300" s="3"/>
      <c r="G300" s="3"/>
      <c r="H300" s="1503">
        <v>2136107649</v>
      </c>
      <c r="I300" s="1503"/>
      <c r="J300" s="1503"/>
      <c r="K300" s="1503"/>
      <c r="L300" s="1503"/>
      <c r="M300" s="1503"/>
      <c r="N300" s="4" t="s">
        <v>206</v>
      </c>
      <c r="O300" s="4"/>
      <c r="P300" s="1498"/>
      <c r="Q300" s="1498"/>
      <c r="R300" s="1498"/>
      <c r="S300" s="3"/>
      <c r="T300" s="3" t="s">
        <v>88</v>
      </c>
      <c r="V300" s="3"/>
      <c r="W300" s="3"/>
      <c r="X300" s="3"/>
      <c r="Y300" s="3"/>
      <c r="AA300" s="1503">
        <v>2133273918</v>
      </c>
      <c r="AB300" s="1503"/>
      <c r="AC300" s="1503"/>
      <c r="AD300" s="1503"/>
      <c r="AE300" s="1503"/>
      <c r="AF300" s="1503"/>
      <c r="AG300" s="4" t="s">
        <v>206</v>
      </c>
      <c r="AH300" s="4"/>
      <c r="AI300" s="1498"/>
      <c r="AJ300" s="1498"/>
      <c r="AK300" s="1498"/>
    </row>
    <row r="301" spans="1:51" ht="12.95" customHeight="1">
      <c r="B301" s="3" t="s">
        <v>89</v>
      </c>
      <c r="C301" s="3"/>
      <c r="D301" s="3"/>
      <c r="E301" s="3"/>
      <c r="F301" s="3"/>
      <c r="G301" s="3"/>
      <c r="H301" s="1529"/>
      <c r="I301" s="1529"/>
      <c r="J301" s="1529"/>
      <c r="K301" s="1529"/>
      <c r="L301" s="1529"/>
      <c r="M301" s="1529"/>
      <c r="N301" s="4"/>
      <c r="O301" s="4"/>
      <c r="P301" s="35"/>
      <c r="Q301" s="35"/>
      <c r="R301" s="35"/>
      <c r="S301" s="3"/>
      <c r="T301" s="3" t="s">
        <v>89</v>
      </c>
      <c r="V301" s="3"/>
      <c r="W301" s="3"/>
      <c r="X301" s="3"/>
      <c r="Y301" s="3"/>
      <c r="AA301" s="1529"/>
      <c r="AB301" s="1529"/>
      <c r="AC301" s="1529"/>
      <c r="AD301" s="1529"/>
      <c r="AE301" s="1529"/>
      <c r="AF301" s="1529"/>
      <c r="AG301" s="4"/>
      <c r="AH301" s="4"/>
      <c r="AI301" s="35"/>
      <c r="AJ301" s="35"/>
      <c r="AK301" s="35"/>
    </row>
    <row r="302" spans="1:51" ht="12.95" customHeight="1">
      <c r="B302" s="3" t="s">
        <v>76</v>
      </c>
      <c r="C302" s="3"/>
      <c r="D302" s="3"/>
      <c r="E302" s="3"/>
      <c r="F302" s="3"/>
      <c r="G302" s="3"/>
      <c r="H302" s="1485" t="s">
        <v>2683</v>
      </c>
      <c r="I302" s="1485"/>
      <c r="J302" s="1485"/>
      <c r="K302" s="1485"/>
      <c r="L302" s="1485"/>
      <c r="M302" s="1485"/>
      <c r="N302" s="1504"/>
      <c r="O302" s="1504"/>
      <c r="P302" s="1504"/>
      <c r="Q302" s="1504"/>
      <c r="R302" s="1504"/>
      <c r="S302" s="3"/>
      <c r="T302" s="3" t="s">
        <v>76</v>
      </c>
      <c r="V302" s="3"/>
      <c r="W302" s="3"/>
      <c r="X302" s="3"/>
      <c r="Y302" s="3"/>
      <c r="AA302" s="1485" t="s">
        <v>2698</v>
      </c>
      <c r="AB302" s="1485"/>
      <c r="AC302" s="1485"/>
      <c r="AD302" s="1485"/>
      <c r="AE302" s="1485"/>
      <c r="AF302" s="1485"/>
      <c r="AG302" s="1504"/>
      <c r="AH302" s="1504"/>
      <c r="AI302" s="1504"/>
      <c r="AJ302" s="1504"/>
      <c r="AK302" s="1504"/>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504" t="s">
        <v>2721</v>
      </c>
      <c r="I304" s="1504"/>
      <c r="J304" s="1504"/>
      <c r="K304" s="1504"/>
      <c r="L304" s="1504"/>
      <c r="M304" s="1504"/>
      <c r="N304" s="1504"/>
      <c r="O304" s="1504"/>
      <c r="P304" s="1504"/>
      <c r="Q304" s="1504"/>
      <c r="R304" s="1504"/>
      <c r="T304" s="3" t="s">
        <v>364</v>
      </c>
      <c r="V304" s="3"/>
      <c r="W304" s="3"/>
      <c r="X304" s="3"/>
      <c r="Y304" s="3"/>
      <c r="AA304" s="1504" t="s">
        <v>2761</v>
      </c>
      <c r="AB304" s="1504"/>
      <c r="AC304" s="1504"/>
      <c r="AD304" s="1504"/>
      <c r="AE304" s="1504"/>
      <c r="AF304" s="1504"/>
      <c r="AG304" s="1504"/>
      <c r="AH304" s="1504"/>
      <c r="AI304" s="1504"/>
      <c r="AJ304" s="1504"/>
      <c r="AK304" s="1504"/>
    </row>
    <row r="305" spans="2:72" ht="12.95" customHeight="1">
      <c r="B305" s="3" t="s">
        <v>471</v>
      </c>
      <c r="C305" s="3"/>
      <c r="D305" s="3"/>
      <c r="E305" s="3"/>
      <c r="F305" s="3"/>
      <c r="H305" s="1485" t="s">
        <v>2722</v>
      </c>
      <c r="I305" s="1485"/>
      <c r="J305" s="1485"/>
      <c r="K305" s="1485"/>
      <c r="L305" s="1485"/>
      <c r="M305" s="1485"/>
      <c r="N305" s="1485"/>
      <c r="O305" s="1485"/>
      <c r="P305" s="1485"/>
      <c r="Q305" s="1485"/>
      <c r="R305" s="1485"/>
      <c r="T305" s="3" t="s">
        <v>471</v>
      </c>
      <c r="V305" s="3"/>
      <c r="W305" s="3"/>
      <c r="X305" s="3"/>
      <c r="Y305" s="3"/>
      <c r="AA305" s="1485"/>
      <c r="AB305" s="1485"/>
      <c r="AC305" s="1485"/>
      <c r="AD305" s="1485"/>
      <c r="AE305" s="1485"/>
      <c r="AF305" s="1485"/>
      <c r="AG305" s="1485"/>
      <c r="AH305" s="1485"/>
      <c r="AI305" s="1485"/>
      <c r="AJ305" s="1485"/>
      <c r="AK305" s="148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85" t="s">
        <v>2647</v>
      </c>
      <c r="I306" s="1485"/>
      <c r="J306" s="1485"/>
      <c r="K306" s="1485"/>
      <c r="L306" s="1485"/>
      <c r="M306" s="1485"/>
      <c r="N306" s="1485"/>
      <c r="O306" s="1485"/>
      <c r="P306" s="1485"/>
      <c r="Q306" s="1485"/>
      <c r="R306" s="1485"/>
      <c r="T306" s="3" t="s">
        <v>75</v>
      </c>
      <c r="V306" s="3"/>
      <c r="W306" s="3"/>
      <c r="X306" s="3"/>
      <c r="Y306" s="3"/>
      <c r="AA306" s="1485"/>
      <c r="AB306" s="1485"/>
      <c r="AC306" s="1485"/>
      <c r="AD306" s="1485"/>
      <c r="AE306" s="1485"/>
      <c r="AF306" s="1485"/>
      <c r="AG306" s="1485"/>
      <c r="AH306" s="1485"/>
      <c r="AI306" s="1485"/>
      <c r="AJ306" s="1485"/>
      <c r="AK306" s="148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85" t="s">
        <v>2723</v>
      </c>
      <c r="I307" s="1485"/>
      <c r="J307" s="1485"/>
      <c r="K307" s="1485"/>
      <c r="L307" s="1485"/>
      <c r="M307" s="1485"/>
      <c r="N307" s="1485"/>
      <c r="O307" s="1485"/>
      <c r="P307" s="1485"/>
      <c r="Q307" s="1485"/>
      <c r="R307" s="1485"/>
      <c r="T307" s="3" t="s">
        <v>87</v>
      </c>
      <c r="V307" s="3"/>
      <c r="W307" s="3"/>
      <c r="X307" s="3"/>
      <c r="Y307" s="3"/>
      <c r="AA307" s="1485"/>
      <c r="AB307" s="1485"/>
      <c r="AC307" s="1485"/>
      <c r="AD307" s="1485"/>
      <c r="AE307" s="1485"/>
      <c r="AF307" s="1485"/>
      <c r="AG307" s="1485"/>
      <c r="AH307" s="1485"/>
      <c r="AI307" s="1485"/>
      <c r="AJ307" s="1485"/>
      <c r="AK307" s="1485"/>
    </row>
    <row r="308" spans="2:72" ht="12.95" customHeight="1">
      <c r="B308" s="3" t="s">
        <v>88</v>
      </c>
      <c r="C308" s="3"/>
      <c r="D308" s="3"/>
      <c r="E308" s="3"/>
      <c r="F308" s="3"/>
      <c r="G308" s="3"/>
      <c r="H308" s="1503" t="s">
        <v>2724</v>
      </c>
      <c r="I308" s="1503"/>
      <c r="J308" s="1503"/>
      <c r="K308" s="1503"/>
      <c r="L308" s="1503"/>
      <c r="M308" s="1503"/>
      <c r="N308" s="4" t="s">
        <v>206</v>
      </c>
      <c r="O308" s="4"/>
      <c r="P308" s="1498"/>
      <c r="Q308" s="1498"/>
      <c r="R308" s="1498"/>
      <c r="S308" s="3"/>
      <c r="T308" s="3" t="s">
        <v>88</v>
      </c>
      <c r="V308" s="3"/>
      <c r="W308" s="3"/>
      <c r="X308" s="3"/>
      <c r="Y308" s="3"/>
      <c r="AA308" s="1503"/>
      <c r="AB308" s="1503"/>
      <c r="AC308" s="1503"/>
      <c r="AD308" s="1503"/>
      <c r="AE308" s="1503"/>
      <c r="AF308" s="1503"/>
      <c r="AG308" s="4" t="s">
        <v>206</v>
      </c>
      <c r="AH308" s="4"/>
      <c r="AI308" s="1498"/>
      <c r="AJ308" s="1498"/>
      <c r="AK308" s="1498"/>
    </row>
    <row r="309" spans="2:72" ht="12.95" customHeight="1">
      <c r="B309" s="3" t="s">
        <v>89</v>
      </c>
      <c r="C309" s="3"/>
      <c r="D309" s="3"/>
      <c r="E309" s="3"/>
      <c r="F309" s="3"/>
      <c r="G309" s="3"/>
      <c r="H309" s="1529"/>
      <c r="I309" s="1529"/>
      <c r="J309" s="1529"/>
      <c r="K309" s="1529"/>
      <c r="L309" s="1529"/>
      <c r="M309" s="1529"/>
      <c r="N309" s="4"/>
      <c r="O309" s="4"/>
      <c r="P309" s="35"/>
      <c r="Q309" s="35"/>
      <c r="R309" s="35"/>
      <c r="S309" s="3"/>
      <c r="T309" s="3" t="s">
        <v>89</v>
      </c>
      <c r="V309" s="3"/>
      <c r="W309" s="3"/>
      <c r="X309" s="3"/>
      <c r="Y309" s="3"/>
      <c r="AA309" s="1529"/>
      <c r="AB309" s="1529"/>
      <c r="AC309" s="1529"/>
      <c r="AD309" s="1529"/>
      <c r="AE309" s="1529"/>
      <c r="AF309" s="1529"/>
      <c r="AG309" s="4"/>
      <c r="AH309" s="4"/>
      <c r="AI309" s="35"/>
      <c r="AJ309" s="35"/>
      <c r="AK309" s="35"/>
    </row>
    <row r="310" spans="2:72" ht="12.95" customHeight="1">
      <c r="B310" s="3" t="s">
        <v>76</v>
      </c>
      <c r="C310" s="3"/>
      <c r="D310" s="3"/>
      <c r="E310" s="3"/>
      <c r="F310" s="3"/>
      <c r="G310" s="3"/>
      <c r="H310" s="1485" t="s">
        <v>2725</v>
      </c>
      <c r="I310" s="1485"/>
      <c r="J310" s="1485"/>
      <c r="K310" s="1485"/>
      <c r="L310" s="1485"/>
      <c r="M310" s="1485"/>
      <c r="N310" s="1504"/>
      <c r="O310" s="1504"/>
      <c r="P310" s="1504"/>
      <c r="Q310" s="1504"/>
      <c r="R310" s="1504"/>
      <c r="S310" s="3"/>
      <c r="T310" s="3" t="s">
        <v>76</v>
      </c>
      <c r="V310" s="3"/>
      <c r="W310" s="3"/>
      <c r="X310" s="3"/>
      <c r="Y310" s="3"/>
      <c r="AA310" s="1485"/>
      <c r="AB310" s="1485"/>
      <c r="AC310" s="1485"/>
      <c r="AD310" s="1485"/>
      <c r="AE310" s="1485"/>
      <c r="AF310" s="1485"/>
      <c r="AG310" s="1504"/>
      <c r="AH310" s="1504"/>
      <c r="AI310" s="1504"/>
      <c r="AJ310" s="1504"/>
      <c r="AK310" s="1504"/>
    </row>
    <row r="311" spans="2:72" ht="12.95" customHeight="1"/>
    <row r="312" spans="2:72" ht="12.95" customHeight="1">
      <c r="B312" s="3" t="s">
        <v>77</v>
      </c>
      <c r="C312" s="3"/>
      <c r="D312" s="3"/>
      <c r="E312" s="3"/>
      <c r="F312" s="3"/>
      <c r="H312" s="1504" t="s">
        <v>2684</v>
      </c>
      <c r="I312" s="1504"/>
      <c r="J312" s="1504"/>
      <c r="K312" s="1504"/>
      <c r="L312" s="1504"/>
      <c r="M312" s="1504"/>
      <c r="N312" s="1504"/>
      <c r="O312" s="1504"/>
      <c r="P312" s="1504"/>
      <c r="Q312" s="1504"/>
      <c r="R312" s="1504"/>
      <c r="T312" s="4" t="s">
        <v>878</v>
      </c>
      <c r="V312" s="3"/>
      <c r="W312" s="3"/>
      <c r="X312" s="3"/>
      <c r="Y312" s="3"/>
      <c r="AA312" s="1497" t="s">
        <v>2726</v>
      </c>
      <c r="AB312" s="1504"/>
      <c r="AC312" s="1504"/>
      <c r="AD312" s="1504"/>
      <c r="AE312" s="1504"/>
      <c r="AF312" s="1504"/>
      <c r="AG312" s="1504"/>
      <c r="AH312" s="1504"/>
      <c r="AI312" s="1504"/>
      <c r="AJ312" s="1504"/>
      <c r="AK312" s="1504"/>
    </row>
    <row r="313" spans="2:72" ht="12.95" customHeight="1">
      <c r="B313" s="3" t="s">
        <v>471</v>
      </c>
      <c r="C313" s="3"/>
      <c r="D313" s="3"/>
      <c r="E313" s="3"/>
      <c r="F313" s="3"/>
      <c r="H313" s="1485" t="s">
        <v>2691</v>
      </c>
      <c r="I313" s="1485"/>
      <c r="J313" s="1485"/>
      <c r="K313" s="1485"/>
      <c r="L313" s="1485"/>
      <c r="M313" s="1485"/>
      <c r="N313" s="1485"/>
      <c r="O313" s="1485"/>
      <c r="P313" s="1485"/>
      <c r="Q313" s="1485"/>
      <c r="R313" s="1485"/>
      <c r="T313" s="3" t="s">
        <v>471</v>
      </c>
      <c r="V313" s="3"/>
      <c r="W313" s="3"/>
      <c r="X313" s="3"/>
      <c r="Y313" s="3"/>
      <c r="AA313" s="1485" t="s">
        <v>2727</v>
      </c>
      <c r="AB313" s="1485"/>
      <c r="AC313" s="1485"/>
      <c r="AD313" s="1485"/>
      <c r="AE313" s="1485"/>
      <c r="AF313" s="1485"/>
      <c r="AG313" s="1485"/>
      <c r="AH313" s="1485"/>
      <c r="AI313" s="1485"/>
      <c r="AJ313" s="1485"/>
      <c r="AK313" s="1485"/>
    </row>
    <row r="314" spans="2:72" ht="12.95" customHeight="1">
      <c r="B314" s="3" t="s">
        <v>472</v>
      </c>
      <c r="C314" s="3"/>
      <c r="D314" s="3"/>
      <c r="E314" s="3"/>
      <c r="F314" s="3"/>
      <c r="H314" s="1485" t="s">
        <v>2692</v>
      </c>
      <c r="I314" s="1485"/>
      <c r="J314" s="1485"/>
      <c r="K314" s="1485"/>
      <c r="L314" s="1485"/>
      <c r="M314" s="1485"/>
      <c r="N314" s="1485"/>
      <c r="O314" s="1485"/>
      <c r="P314" s="1485"/>
      <c r="Q314" s="1485"/>
      <c r="R314" s="1485"/>
      <c r="T314" s="3" t="s">
        <v>75</v>
      </c>
      <c r="V314" s="3"/>
      <c r="W314" s="3"/>
      <c r="X314" s="3"/>
      <c r="Y314" s="3"/>
      <c r="AA314" s="1485" t="s">
        <v>2728</v>
      </c>
      <c r="AB314" s="1485"/>
      <c r="AC314" s="1485"/>
      <c r="AD314" s="1485"/>
      <c r="AE314" s="1485"/>
      <c r="AF314" s="1485"/>
      <c r="AG314" s="1485"/>
      <c r="AH314" s="1485"/>
      <c r="AI314" s="1485"/>
      <c r="AJ314" s="1485"/>
      <c r="AK314" s="1485"/>
    </row>
    <row r="315" spans="2:72" ht="12.95" customHeight="1">
      <c r="B315" s="3" t="s">
        <v>87</v>
      </c>
      <c r="C315" s="3"/>
      <c r="D315" s="3"/>
      <c r="E315" s="3"/>
      <c r="F315" s="3"/>
      <c r="H315" s="1485" t="s">
        <v>2693</v>
      </c>
      <c r="I315" s="1485"/>
      <c r="J315" s="1485"/>
      <c r="K315" s="1485"/>
      <c r="L315" s="1485"/>
      <c r="M315" s="1485"/>
      <c r="N315" s="1485"/>
      <c r="O315" s="1485"/>
      <c r="P315" s="1485"/>
      <c r="Q315" s="1485"/>
      <c r="R315" s="1485"/>
      <c r="T315" s="3" t="s">
        <v>87</v>
      </c>
      <c r="V315" s="3"/>
      <c r="W315" s="3"/>
      <c r="X315" s="3"/>
      <c r="Y315" s="3"/>
      <c r="AA315" s="1485" t="s">
        <v>2729</v>
      </c>
      <c r="AB315" s="1485"/>
      <c r="AC315" s="1485"/>
      <c r="AD315" s="1485"/>
      <c r="AE315" s="1485"/>
      <c r="AF315" s="1485"/>
      <c r="AG315" s="1485"/>
      <c r="AH315" s="1485"/>
      <c r="AI315" s="1485"/>
      <c r="AJ315" s="1485"/>
      <c r="AK315" s="1485"/>
    </row>
    <row r="316" spans="2:72" ht="12.95" customHeight="1">
      <c r="B316" s="3" t="s">
        <v>88</v>
      </c>
      <c r="C316" s="3"/>
      <c r="D316" s="3"/>
      <c r="E316" s="3"/>
      <c r="F316" s="3"/>
      <c r="G316" s="3"/>
      <c r="H316" s="1503">
        <v>9133124624</v>
      </c>
      <c r="I316" s="1503"/>
      <c r="J316" s="1503"/>
      <c r="K316" s="1503"/>
      <c r="L316" s="1503"/>
      <c r="M316" s="1503"/>
      <c r="N316" s="4" t="s">
        <v>206</v>
      </c>
      <c r="O316" s="4"/>
      <c r="P316" s="1498"/>
      <c r="Q316" s="1498"/>
      <c r="R316" s="1498"/>
      <c r="S316" s="3"/>
      <c r="T316" s="3" t="s">
        <v>88</v>
      </c>
      <c r="V316" s="3"/>
      <c r="W316" s="3"/>
      <c r="X316" s="3"/>
      <c r="Y316" s="3"/>
      <c r="AA316" s="1503" t="s">
        <v>2730</v>
      </c>
      <c r="AB316" s="1503"/>
      <c r="AC316" s="1503"/>
      <c r="AD316" s="1503"/>
      <c r="AE316" s="1503"/>
      <c r="AF316" s="1503"/>
      <c r="AG316" s="4" t="s">
        <v>206</v>
      </c>
      <c r="AH316" s="4"/>
      <c r="AI316" s="1498">
        <v>7005</v>
      </c>
      <c r="AJ316" s="1498"/>
      <c r="AK316" s="1498"/>
    </row>
    <row r="317" spans="2:72" ht="12.95" customHeight="1">
      <c r="B317" s="3" t="s">
        <v>89</v>
      </c>
      <c r="C317" s="3"/>
      <c r="D317" s="3"/>
      <c r="E317" s="3"/>
      <c r="F317" s="3"/>
      <c r="G317" s="3"/>
      <c r="H317" s="1529"/>
      <c r="I317" s="1529"/>
      <c r="J317" s="1529"/>
      <c r="K317" s="1529"/>
      <c r="L317" s="1529"/>
      <c r="M317" s="1529"/>
      <c r="N317" s="4"/>
      <c r="O317" s="4"/>
      <c r="P317" s="35"/>
      <c r="Q317" s="35"/>
      <c r="R317" s="35"/>
      <c r="S317" s="3"/>
      <c r="T317" s="3" t="s">
        <v>89</v>
      </c>
      <c r="V317" s="3"/>
      <c r="W317" s="3"/>
      <c r="X317" s="3"/>
      <c r="Y317" s="3"/>
      <c r="AA317" s="1529"/>
      <c r="AB317" s="1529"/>
      <c r="AC317" s="1529"/>
      <c r="AD317" s="1529"/>
      <c r="AE317" s="1529"/>
      <c r="AF317" s="1529"/>
      <c r="AG317" s="4"/>
      <c r="AH317" s="4"/>
      <c r="AI317" s="35"/>
      <c r="AJ317" s="35"/>
      <c r="AK317" s="35"/>
    </row>
    <row r="318" spans="2:72" ht="12.95" customHeight="1">
      <c r="B318" s="3" t="s">
        <v>76</v>
      </c>
      <c r="C318" s="3"/>
      <c r="D318" s="3"/>
      <c r="E318" s="3"/>
      <c r="F318" s="3"/>
      <c r="G318" s="3"/>
      <c r="H318" s="1485" t="s">
        <v>2699</v>
      </c>
      <c r="I318" s="1485"/>
      <c r="J318" s="1485"/>
      <c r="K318" s="1485"/>
      <c r="L318" s="1485"/>
      <c r="M318" s="1485"/>
      <c r="N318" s="1504"/>
      <c r="O318" s="1504"/>
      <c r="P318" s="1504"/>
      <c r="Q318" s="1504"/>
      <c r="R318" s="1504"/>
      <c r="S318" s="3"/>
      <c r="T318" s="3" t="s">
        <v>76</v>
      </c>
      <c r="V318" s="3"/>
      <c r="W318" s="3"/>
      <c r="X318" s="3"/>
      <c r="Y318" s="3"/>
      <c r="AA318" s="1485" t="s">
        <v>2731</v>
      </c>
      <c r="AB318" s="1485"/>
      <c r="AC318" s="1485"/>
      <c r="AD318" s="1485"/>
      <c r="AE318" s="1485"/>
      <c r="AF318" s="1485"/>
      <c r="AG318" s="1504"/>
      <c r="AH318" s="1504"/>
      <c r="AI318" s="1504"/>
      <c r="AJ318" s="1504"/>
      <c r="AK318" s="1504"/>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97" t="s">
        <v>2684</v>
      </c>
      <c r="I320" s="1504"/>
      <c r="J320" s="1504"/>
      <c r="K320" s="1504"/>
      <c r="L320" s="1504"/>
      <c r="M320" s="1504"/>
      <c r="N320" s="1504"/>
      <c r="O320" s="1504"/>
      <c r="P320" s="1504"/>
      <c r="Q320" s="1504"/>
      <c r="R320" s="1504"/>
      <c r="S320" s="3"/>
      <c r="T320" s="3" t="s">
        <v>365</v>
      </c>
      <c r="V320" s="3"/>
      <c r="W320" s="3"/>
      <c r="X320" s="3"/>
      <c r="Y320" s="3"/>
      <c r="AA320" s="1504" t="s">
        <v>2732</v>
      </c>
      <c r="AB320" s="1504"/>
      <c r="AC320" s="1504"/>
      <c r="AD320" s="1504"/>
      <c r="AE320" s="1504"/>
      <c r="AF320" s="1504"/>
      <c r="AG320" s="1504"/>
      <c r="AH320" s="1504"/>
      <c r="AI320" s="1504"/>
      <c r="AJ320" s="1504"/>
      <c r="AK320" s="1504"/>
    </row>
    <row r="321" spans="2:37" ht="12.95" customHeight="1">
      <c r="B321" s="3" t="s">
        <v>471</v>
      </c>
      <c r="C321" s="3"/>
      <c r="D321" s="3"/>
      <c r="E321" s="3"/>
      <c r="F321" s="3"/>
      <c r="H321" s="1485" t="s">
        <v>2685</v>
      </c>
      <c r="I321" s="1485"/>
      <c r="J321" s="1485"/>
      <c r="K321" s="1485"/>
      <c r="L321" s="1485"/>
      <c r="M321" s="1485"/>
      <c r="N321" s="1485"/>
      <c r="O321" s="1485"/>
      <c r="P321" s="1485"/>
      <c r="Q321" s="1485"/>
      <c r="R321" s="1485"/>
      <c r="S321" s="3"/>
      <c r="T321" s="3" t="s">
        <v>471</v>
      </c>
      <c r="V321" s="3"/>
      <c r="W321" s="3"/>
      <c r="X321" s="3"/>
      <c r="Y321" s="3"/>
      <c r="AA321" s="1485" t="s">
        <v>2738</v>
      </c>
      <c r="AB321" s="1485"/>
      <c r="AC321" s="1485"/>
      <c r="AD321" s="1485"/>
      <c r="AE321" s="1485"/>
      <c r="AF321" s="1485"/>
      <c r="AG321" s="1485"/>
      <c r="AH321" s="1485"/>
      <c r="AI321" s="1485"/>
      <c r="AJ321" s="1485"/>
      <c r="AK321" s="1485"/>
    </row>
    <row r="322" spans="2:37" ht="12.95" customHeight="1">
      <c r="B322" s="3" t="s">
        <v>472</v>
      </c>
      <c r="C322" s="3"/>
      <c r="D322" s="3"/>
      <c r="E322" s="3"/>
      <c r="F322" s="3"/>
      <c r="H322" s="1485" t="s">
        <v>2686</v>
      </c>
      <c r="I322" s="1485"/>
      <c r="J322" s="1485"/>
      <c r="K322" s="1485"/>
      <c r="L322" s="1485"/>
      <c r="M322" s="1485"/>
      <c r="N322" s="1485"/>
      <c r="O322" s="1485"/>
      <c r="P322" s="1485"/>
      <c r="Q322" s="1485"/>
      <c r="R322" s="1485"/>
      <c r="S322" s="3"/>
      <c r="T322" s="3" t="s">
        <v>75</v>
      </c>
      <c r="V322" s="3"/>
      <c r="W322" s="3"/>
      <c r="X322" s="3"/>
      <c r="Y322" s="3"/>
      <c r="AA322" s="1485" t="s">
        <v>2739</v>
      </c>
      <c r="AB322" s="1485"/>
      <c r="AC322" s="1485"/>
      <c r="AD322" s="1485"/>
      <c r="AE322" s="1485"/>
      <c r="AF322" s="1485"/>
      <c r="AG322" s="1485"/>
      <c r="AH322" s="1485"/>
      <c r="AI322" s="1485"/>
      <c r="AJ322" s="1485"/>
      <c r="AK322" s="1485"/>
    </row>
    <row r="323" spans="2:37" ht="12.95" customHeight="1">
      <c r="B323" s="3" t="s">
        <v>87</v>
      </c>
      <c r="C323" s="3"/>
      <c r="D323" s="3"/>
      <c r="E323" s="3"/>
      <c r="F323" s="3"/>
      <c r="H323" s="1485" t="s">
        <v>2687</v>
      </c>
      <c r="I323" s="1485"/>
      <c r="J323" s="1485"/>
      <c r="K323" s="1485"/>
      <c r="L323" s="1485"/>
      <c r="M323" s="1485"/>
      <c r="N323" s="1485"/>
      <c r="O323" s="1485"/>
      <c r="P323" s="1485"/>
      <c r="Q323" s="1485"/>
      <c r="R323" s="1485"/>
      <c r="S323" s="3"/>
      <c r="T323" s="3" t="s">
        <v>87</v>
      </c>
      <c r="V323" s="3"/>
      <c r="W323" s="3"/>
      <c r="X323" s="3"/>
      <c r="Y323" s="3"/>
      <c r="AA323" s="1485" t="s">
        <v>2733</v>
      </c>
      <c r="AB323" s="1485"/>
      <c r="AC323" s="1485"/>
      <c r="AD323" s="1485"/>
      <c r="AE323" s="1485"/>
      <c r="AF323" s="1485"/>
      <c r="AG323" s="1485"/>
      <c r="AH323" s="1485"/>
      <c r="AI323" s="1485"/>
      <c r="AJ323" s="1485"/>
      <c r="AK323" s="1485"/>
    </row>
    <row r="324" spans="2:37" ht="12.95" customHeight="1">
      <c r="B324" s="3" t="s">
        <v>88</v>
      </c>
      <c r="C324" s="3"/>
      <c r="D324" s="3"/>
      <c r="E324" s="3"/>
      <c r="F324" s="3"/>
      <c r="G324" s="3"/>
      <c r="H324" s="1503">
        <v>2067760855</v>
      </c>
      <c r="I324" s="1503"/>
      <c r="J324" s="1503"/>
      <c r="K324" s="1503"/>
      <c r="L324" s="1503"/>
      <c r="M324" s="1503"/>
      <c r="N324" s="4" t="s">
        <v>206</v>
      </c>
      <c r="O324" s="4"/>
      <c r="P324" s="1498"/>
      <c r="Q324" s="1498"/>
      <c r="R324" s="1498"/>
      <c r="S324" s="3"/>
      <c r="T324" s="3" t="s">
        <v>88</v>
      </c>
      <c r="V324" s="3"/>
      <c r="W324" s="3"/>
      <c r="X324" s="3"/>
      <c r="Y324" s="3"/>
      <c r="AA324" s="1503">
        <v>9494381056</v>
      </c>
      <c r="AB324" s="1503"/>
      <c r="AC324" s="1503"/>
      <c r="AD324" s="1503"/>
      <c r="AE324" s="1503"/>
      <c r="AF324" s="1503"/>
      <c r="AG324" s="4" t="s">
        <v>206</v>
      </c>
      <c r="AH324" s="4"/>
      <c r="AI324" s="1498"/>
      <c r="AJ324" s="1498"/>
      <c r="AK324" s="1498"/>
    </row>
    <row r="325" spans="2:37" ht="12.95" customHeight="1">
      <c r="B325" s="3" t="s">
        <v>89</v>
      </c>
      <c r="C325" s="3"/>
      <c r="D325" s="3"/>
      <c r="E325" s="3"/>
      <c r="F325" s="3"/>
      <c r="G325" s="3"/>
      <c r="H325" s="1529"/>
      <c r="I325" s="1529"/>
      <c r="J325" s="1529"/>
      <c r="K325" s="1529"/>
      <c r="L325" s="1529"/>
      <c r="M325" s="1529"/>
      <c r="N325" s="4"/>
      <c r="O325" s="4"/>
      <c r="P325" s="35"/>
      <c r="Q325" s="35"/>
      <c r="R325" s="35"/>
      <c r="S325" s="3"/>
      <c r="T325" s="3" t="s">
        <v>89</v>
      </c>
      <c r="V325" s="3"/>
      <c r="W325" s="3"/>
      <c r="X325" s="3"/>
      <c r="Y325" s="3"/>
      <c r="AA325" s="1529"/>
      <c r="AB325" s="1529"/>
      <c r="AC325" s="1529"/>
      <c r="AD325" s="1529"/>
      <c r="AE325" s="1529"/>
      <c r="AF325" s="1529"/>
      <c r="AG325" s="4"/>
      <c r="AH325" s="4"/>
      <c r="AI325" s="35"/>
      <c r="AJ325" s="35"/>
      <c r="AK325" s="35"/>
    </row>
    <row r="326" spans="2:37" ht="12.95" customHeight="1">
      <c r="B326" s="3" t="s">
        <v>76</v>
      </c>
      <c r="C326" s="3"/>
      <c r="D326" s="3"/>
      <c r="E326" s="3"/>
      <c r="F326" s="3"/>
      <c r="G326" s="3"/>
      <c r="H326" s="1485" t="s">
        <v>2688</v>
      </c>
      <c r="I326" s="1485"/>
      <c r="J326" s="1485"/>
      <c r="K326" s="1485"/>
      <c r="L326" s="1485"/>
      <c r="M326" s="1485"/>
      <c r="N326" s="1504"/>
      <c r="O326" s="1504"/>
      <c r="P326" s="1504"/>
      <c r="Q326" s="1504"/>
      <c r="R326" s="1504"/>
      <c r="S326" s="3"/>
      <c r="T326" s="3" t="s">
        <v>76</v>
      </c>
      <c r="V326" s="3"/>
      <c r="W326" s="3"/>
      <c r="X326" s="3"/>
      <c r="Y326" s="3"/>
      <c r="AA326" s="1485" t="s">
        <v>2734</v>
      </c>
      <c r="AB326" s="1485"/>
      <c r="AC326" s="1485"/>
      <c r="AD326" s="1485"/>
      <c r="AE326" s="1485"/>
      <c r="AF326" s="1485"/>
      <c r="AG326" s="1504"/>
      <c r="AH326" s="1504"/>
      <c r="AI326" s="1504"/>
      <c r="AJ326" s="1504"/>
      <c r="AK326" s="1504"/>
    </row>
    <row r="327" spans="2:37" ht="12.95" customHeight="1"/>
    <row r="328" spans="2:37" ht="12.95" customHeight="1">
      <c r="B328" s="4" t="s">
        <v>908</v>
      </c>
      <c r="C328" s="3"/>
      <c r="D328" s="3"/>
      <c r="E328" s="3"/>
      <c r="F328" s="3"/>
      <c r="H328" s="1497" t="s">
        <v>2655</v>
      </c>
      <c r="I328" s="1504"/>
      <c r="J328" s="1504"/>
      <c r="K328" s="1504"/>
      <c r="L328" s="1504"/>
      <c r="M328" s="1504"/>
      <c r="N328" s="1504"/>
      <c r="O328" s="1504"/>
      <c r="P328" s="1504"/>
      <c r="Q328" s="1504"/>
      <c r="R328" s="1504"/>
      <c r="T328" s="3" t="s">
        <v>366</v>
      </c>
      <c r="V328" s="3"/>
      <c r="W328" s="3"/>
      <c r="X328" s="3"/>
      <c r="Y328" s="3"/>
      <c r="AA328" s="1497" t="s">
        <v>2684</v>
      </c>
      <c r="AB328" s="1504"/>
      <c r="AC328" s="1504"/>
      <c r="AD328" s="1504"/>
      <c r="AE328" s="1504"/>
      <c r="AF328" s="1504"/>
      <c r="AG328" s="1504"/>
      <c r="AH328" s="1504"/>
      <c r="AI328" s="1504"/>
      <c r="AJ328" s="1504"/>
      <c r="AK328" s="1504"/>
    </row>
    <row r="329" spans="2:37" ht="12.95" customHeight="1">
      <c r="B329" s="3" t="s">
        <v>471</v>
      </c>
      <c r="C329" s="3"/>
      <c r="D329" s="3"/>
      <c r="E329" s="3"/>
      <c r="F329" s="3"/>
      <c r="H329" s="1485" t="s">
        <v>2689</v>
      </c>
      <c r="I329" s="1485"/>
      <c r="J329" s="1485"/>
      <c r="K329" s="1485"/>
      <c r="L329" s="1485"/>
      <c r="M329" s="1485"/>
      <c r="N329" s="1485"/>
      <c r="O329" s="1485"/>
      <c r="P329" s="1485"/>
      <c r="Q329" s="1485"/>
      <c r="R329" s="1485"/>
      <c r="T329" s="3" t="s">
        <v>471</v>
      </c>
      <c r="V329" s="3"/>
      <c r="W329" s="3"/>
      <c r="X329" s="3"/>
      <c r="Y329" s="3"/>
      <c r="AA329" s="1485" t="s">
        <v>2691</v>
      </c>
      <c r="AB329" s="1485"/>
      <c r="AC329" s="1485"/>
      <c r="AD329" s="1485"/>
      <c r="AE329" s="1485"/>
      <c r="AF329" s="1485"/>
      <c r="AG329" s="1485"/>
      <c r="AH329" s="1485"/>
      <c r="AI329" s="1485"/>
      <c r="AJ329" s="1485"/>
      <c r="AK329" s="1485"/>
    </row>
    <row r="330" spans="2:37" ht="12.95" customHeight="1">
      <c r="B330" s="3" t="s">
        <v>472</v>
      </c>
      <c r="C330" s="3"/>
      <c r="D330" s="3"/>
      <c r="E330" s="3"/>
      <c r="F330" s="3"/>
      <c r="H330" s="1485" t="s">
        <v>2690</v>
      </c>
      <c r="I330" s="1485"/>
      <c r="J330" s="1485"/>
      <c r="K330" s="1485"/>
      <c r="L330" s="1485"/>
      <c r="M330" s="1485"/>
      <c r="N330" s="1485"/>
      <c r="O330" s="1485"/>
      <c r="P330" s="1485"/>
      <c r="Q330" s="1485"/>
      <c r="R330" s="1485"/>
      <c r="T330" s="3" t="s">
        <v>75</v>
      </c>
      <c r="V330" s="3"/>
      <c r="W330" s="3"/>
      <c r="X330" s="3"/>
      <c r="Y330" s="3"/>
      <c r="AA330" s="1485" t="s">
        <v>2692</v>
      </c>
      <c r="AB330" s="1485"/>
      <c r="AC330" s="1485"/>
      <c r="AD330" s="1485"/>
      <c r="AE330" s="1485"/>
      <c r="AF330" s="1485"/>
      <c r="AG330" s="1485"/>
      <c r="AH330" s="1485"/>
      <c r="AI330" s="1485"/>
      <c r="AJ330" s="1485"/>
      <c r="AK330" s="1485"/>
    </row>
    <row r="331" spans="2:37" ht="12.95" customHeight="1">
      <c r="B331" s="3" t="s">
        <v>87</v>
      </c>
      <c r="C331" s="3"/>
      <c r="D331" s="3"/>
      <c r="E331" s="3"/>
      <c r="F331" s="3"/>
      <c r="H331" s="1485" t="s">
        <v>2664</v>
      </c>
      <c r="I331" s="1485"/>
      <c r="J331" s="1485"/>
      <c r="K331" s="1485"/>
      <c r="L331" s="1485"/>
      <c r="M331" s="1485"/>
      <c r="N331" s="1485"/>
      <c r="O331" s="1485"/>
      <c r="P331" s="1485"/>
      <c r="Q331" s="1485"/>
      <c r="R331" s="1485"/>
      <c r="T331" s="3" t="s">
        <v>87</v>
      </c>
      <c r="V331" s="3"/>
      <c r="W331" s="3"/>
      <c r="X331" s="3"/>
      <c r="Y331" s="3"/>
      <c r="AA331" s="1485" t="s">
        <v>2693</v>
      </c>
      <c r="AB331" s="1485"/>
      <c r="AC331" s="1485"/>
      <c r="AD331" s="1485"/>
      <c r="AE331" s="1485"/>
      <c r="AF331" s="1485"/>
      <c r="AG331" s="1485"/>
      <c r="AH331" s="1485"/>
      <c r="AI331" s="1485"/>
      <c r="AJ331" s="1485"/>
      <c r="AK331" s="1485"/>
    </row>
    <row r="332" spans="2:37" ht="12.95" customHeight="1">
      <c r="B332" s="3" t="s">
        <v>88</v>
      </c>
      <c r="C332" s="3"/>
      <c r="D332" s="3"/>
      <c r="E332" s="3"/>
      <c r="F332" s="3"/>
      <c r="G332" s="3"/>
      <c r="H332" s="1503">
        <v>9515386244</v>
      </c>
      <c r="I332" s="1503"/>
      <c r="J332" s="1503"/>
      <c r="K332" s="1503"/>
      <c r="L332" s="1503"/>
      <c r="M332" s="1503"/>
      <c r="N332" s="4" t="s">
        <v>206</v>
      </c>
      <c r="O332" s="4"/>
      <c r="P332" s="1498"/>
      <c r="Q332" s="1498"/>
      <c r="R332" s="1498"/>
      <c r="S332" s="3"/>
      <c r="T332" s="3" t="s">
        <v>88</v>
      </c>
      <c r="V332" s="3"/>
      <c r="W332" s="3"/>
      <c r="X332" s="3"/>
      <c r="Y332" s="3"/>
      <c r="AA332" s="1503">
        <v>9133124615</v>
      </c>
      <c r="AB332" s="1503"/>
      <c r="AC332" s="1503"/>
      <c r="AD332" s="1503"/>
      <c r="AE332" s="1503"/>
      <c r="AF332" s="1503"/>
      <c r="AG332" s="4" t="s">
        <v>206</v>
      </c>
      <c r="AH332" s="4"/>
      <c r="AI332" s="1498"/>
      <c r="AJ332" s="1498"/>
      <c r="AK332" s="1498"/>
    </row>
    <row r="333" spans="2:37" ht="12.95" customHeight="1">
      <c r="B333" s="3" t="s">
        <v>89</v>
      </c>
      <c r="C333" s="3"/>
      <c r="D333" s="3"/>
      <c r="E333" s="3"/>
      <c r="F333" s="3"/>
      <c r="G333" s="3"/>
      <c r="H333" s="1529"/>
      <c r="I333" s="1529"/>
      <c r="J333" s="1529"/>
      <c r="K333" s="1529"/>
      <c r="L333" s="1529"/>
      <c r="M333" s="1529"/>
      <c r="N333" s="4"/>
      <c r="O333" s="4"/>
      <c r="P333" s="35"/>
      <c r="Q333" s="35"/>
      <c r="R333" s="35"/>
      <c r="S333" s="3"/>
      <c r="T333" s="3" t="s">
        <v>89</v>
      </c>
      <c r="V333" s="3"/>
      <c r="W333" s="3"/>
      <c r="X333" s="3"/>
      <c r="Y333" s="3"/>
      <c r="AA333" s="1529"/>
      <c r="AB333" s="1529"/>
      <c r="AC333" s="1529"/>
      <c r="AD333" s="1529"/>
      <c r="AE333" s="1529"/>
      <c r="AF333" s="1529"/>
      <c r="AG333" s="4"/>
      <c r="AH333" s="4"/>
      <c r="AI333" s="35"/>
      <c r="AJ333" s="35"/>
      <c r="AK333" s="35"/>
    </row>
    <row r="334" spans="2:37" ht="12.95" customHeight="1">
      <c r="B334" s="3" t="s">
        <v>76</v>
      </c>
      <c r="C334" s="3"/>
      <c r="D334" s="3"/>
      <c r="E334" s="3"/>
      <c r="F334" s="3"/>
      <c r="G334" s="3"/>
      <c r="H334" s="1485" t="s">
        <v>2681</v>
      </c>
      <c r="I334" s="1485"/>
      <c r="J334" s="1485"/>
      <c r="K334" s="1485"/>
      <c r="L334" s="1485"/>
      <c r="M334" s="1485"/>
      <c r="N334" s="1504"/>
      <c r="O334" s="1504"/>
      <c r="P334" s="1504"/>
      <c r="Q334" s="1504"/>
      <c r="R334" s="1504"/>
      <c r="S334" s="3"/>
      <c r="T334" s="3" t="s">
        <v>76</v>
      </c>
      <c r="V334" s="3"/>
      <c r="W334" s="3"/>
      <c r="X334" s="3"/>
      <c r="Y334" s="3"/>
      <c r="AA334" s="1485" t="s">
        <v>2694</v>
      </c>
      <c r="AB334" s="1485"/>
      <c r="AC334" s="1485"/>
      <c r="AD334" s="1485"/>
      <c r="AE334" s="1485"/>
      <c r="AF334" s="1485"/>
      <c r="AG334" s="1504"/>
      <c r="AH334" s="1504"/>
      <c r="AI334" s="1504"/>
      <c r="AJ334" s="1504"/>
      <c r="AK334" s="1504"/>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97" t="s">
        <v>2684</v>
      </c>
      <c r="I336" s="1504"/>
      <c r="J336" s="1504"/>
      <c r="K336" s="1504"/>
      <c r="L336" s="1504"/>
      <c r="M336" s="1504"/>
      <c r="N336" s="1504"/>
      <c r="O336" s="1504"/>
      <c r="P336" s="1504"/>
      <c r="Q336" s="1504"/>
      <c r="R336" s="1504"/>
      <c r="T336" s="3" t="s">
        <v>368</v>
      </c>
      <c r="V336" s="3"/>
      <c r="W336" s="3"/>
      <c r="X336" s="3"/>
      <c r="Y336" s="3"/>
      <c r="AA336" s="1497" t="s">
        <v>591</v>
      </c>
      <c r="AB336" s="1504"/>
      <c r="AC336" s="1504"/>
      <c r="AD336" s="1504"/>
      <c r="AE336" s="1504"/>
      <c r="AF336" s="1504"/>
      <c r="AG336" s="1504"/>
      <c r="AH336" s="1504"/>
      <c r="AI336" s="1504"/>
      <c r="AJ336" s="1504"/>
      <c r="AK336" s="1504"/>
    </row>
    <row r="337" spans="2:66" ht="12.95" customHeight="1">
      <c r="B337" s="3" t="s">
        <v>471</v>
      </c>
      <c r="C337" s="3"/>
      <c r="D337" s="3"/>
      <c r="E337" s="3"/>
      <c r="F337" s="3"/>
      <c r="H337" s="1485" t="s">
        <v>2691</v>
      </c>
      <c r="I337" s="1485"/>
      <c r="J337" s="1485"/>
      <c r="K337" s="1485"/>
      <c r="L337" s="1485"/>
      <c r="M337" s="1485"/>
      <c r="N337" s="1485"/>
      <c r="O337" s="1485"/>
      <c r="P337" s="1485"/>
      <c r="Q337" s="1485"/>
      <c r="R337" s="1485"/>
      <c r="T337" s="3" t="s">
        <v>471</v>
      </c>
      <c r="V337" s="3"/>
      <c r="W337" s="3"/>
      <c r="X337" s="3"/>
      <c r="Y337" s="3"/>
      <c r="AA337" s="1485"/>
      <c r="AB337" s="1485"/>
      <c r="AC337" s="1485"/>
      <c r="AD337" s="1485"/>
      <c r="AE337" s="1485"/>
      <c r="AF337" s="1485"/>
      <c r="AG337" s="1485"/>
      <c r="AH337" s="1485"/>
      <c r="AI337" s="1485"/>
      <c r="AJ337" s="1485"/>
      <c r="AK337" s="1485"/>
    </row>
    <row r="338" spans="2:66" ht="12.95" customHeight="1">
      <c r="B338" s="3" t="s">
        <v>472</v>
      </c>
      <c r="C338" s="3"/>
      <c r="D338" s="3"/>
      <c r="E338" s="3"/>
      <c r="F338" s="3"/>
      <c r="H338" s="1485" t="s">
        <v>2692</v>
      </c>
      <c r="I338" s="1485"/>
      <c r="J338" s="1485"/>
      <c r="K338" s="1485"/>
      <c r="L338" s="1485"/>
      <c r="M338" s="1485"/>
      <c r="N338" s="1485"/>
      <c r="O338" s="1485"/>
      <c r="P338" s="1485"/>
      <c r="Q338" s="1485"/>
      <c r="R338" s="1485"/>
      <c r="T338" s="3" t="s">
        <v>75</v>
      </c>
      <c r="V338" s="3"/>
      <c r="W338" s="3"/>
      <c r="X338" s="3"/>
      <c r="Y338" s="3"/>
      <c r="AA338" s="1485"/>
      <c r="AB338" s="1485"/>
      <c r="AC338" s="1485"/>
      <c r="AD338" s="1485"/>
      <c r="AE338" s="1485"/>
      <c r="AF338" s="1485"/>
      <c r="AG338" s="1485"/>
      <c r="AH338" s="1485"/>
      <c r="AI338" s="1485"/>
      <c r="AJ338" s="1485"/>
      <c r="AK338" s="1485"/>
    </row>
    <row r="339" spans="2:66" ht="12.95" customHeight="1">
      <c r="B339" s="3" t="s">
        <v>87</v>
      </c>
      <c r="C339" s="3"/>
      <c r="D339" s="3"/>
      <c r="E339" s="3"/>
      <c r="F339" s="3"/>
      <c r="H339" s="1485" t="s">
        <v>2693</v>
      </c>
      <c r="I339" s="1485"/>
      <c r="J339" s="1485"/>
      <c r="K339" s="1485"/>
      <c r="L339" s="1485"/>
      <c r="M339" s="1485"/>
      <c r="N339" s="1485"/>
      <c r="O339" s="1485"/>
      <c r="P339" s="1485"/>
      <c r="Q339" s="1485"/>
      <c r="R339" s="1485"/>
      <c r="T339" s="3" t="s">
        <v>87</v>
      </c>
      <c r="V339" s="3"/>
      <c r="W339" s="3"/>
      <c r="X339" s="3"/>
      <c r="Y339" s="3"/>
      <c r="AA339" s="1485"/>
      <c r="AB339" s="1485"/>
      <c r="AC339" s="1485"/>
      <c r="AD339" s="1485"/>
      <c r="AE339" s="1485"/>
      <c r="AF339" s="1485"/>
      <c r="AG339" s="1485"/>
      <c r="AH339" s="1485"/>
      <c r="AI339" s="1485"/>
      <c r="AJ339" s="1485"/>
      <c r="AK339" s="1485"/>
    </row>
    <row r="340" spans="2:66" ht="12.95" customHeight="1">
      <c r="B340" s="3" t="s">
        <v>88</v>
      </c>
      <c r="C340" s="3"/>
      <c r="D340" s="3"/>
      <c r="E340" s="3"/>
      <c r="F340" s="3"/>
      <c r="G340" s="3"/>
      <c r="H340" s="1503">
        <v>9133124615</v>
      </c>
      <c r="I340" s="1503"/>
      <c r="J340" s="1503"/>
      <c r="K340" s="1503"/>
      <c r="L340" s="1503"/>
      <c r="M340" s="1503"/>
      <c r="N340" s="4" t="s">
        <v>206</v>
      </c>
      <c r="O340" s="4"/>
      <c r="P340" s="1498"/>
      <c r="Q340" s="1498"/>
      <c r="R340" s="1498"/>
      <c r="S340" s="3"/>
      <c r="T340" s="3" t="s">
        <v>88</v>
      </c>
      <c r="V340" s="3"/>
      <c r="W340" s="3"/>
      <c r="X340" s="3"/>
      <c r="Y340" s="3"/>
      <c r="AA340" s="1503"/>
      <c r="AB340" s="1503"/>
      <c r="AC340" s="1503"/>
      <c r="AD340" s="1503"/>
      <c r="AE340" s="1503"/>
      <c r="AF340" s="1503"/>
      <c r="AG340" s="4" t="s">
        <v>206</v>
      </c>
      <c r="AH340" s="4"/>
      <c r="AI340" s="1498"/>
      <c r="AJ340" s="1498"/>
      <c r="AK340" s="1498"/>
    </row>
    <row r="341" spans="2:66" ht="12.95" customHeight="1">
      <c r="B341" s="3" t="s">
        <v>89</v>
      </c>
      <c r="C341" s="3"/>
      <c r="D341" s="3"/>
      <c r="E341" s="3"/>
      <c r="F341" s="3"/>
      <c r="G341" s="3"/>
      <c r="H341" s="1529"/>
      <c r="I341" s="1529"/>
      <c r="J341" s="1529"/>
      <c r="K341" s="1529"/>
      <c r="L341" s="1529"/>
      <c r="M341" s="1529"/>
      <c r="N341" s="4"/>
      <c r="O341" s="4"/>
      <c r="P341" s="35"/>
      <c r="Q341" s="35"/>
      <c r="R341" s="35"/>
      <c r="S341" s="3"/>
      <c r="T341" s="3" t="s">
        <v>89</v>
      </c>
      <c r="V341" s="3"/>
      <c r="W341" s="3"/>
      <c r="X341" s="3"/>
      <c r="Y341" s="3"/>
      <c r="AA341" s="1529"/>
      <c r="AB341" s="1529"/>
      <c r="AC341" s="1529"/>
      <c r="AD341" s="1529"/>
      <c r="AE341" s="1529"/>
      <c r="AF341" s="1529"/>
      <c r="AG341" s="4"/>
      <c r="AH341" s="4"/>
      <c r="AI341" s="35"/>
      <c r="AJ341" s="35"/>
      <c r="AK341" s="35"/>
    </row>
    <row r="342" spans="2:66" ht="12.95" customHeight="1">
      <c r="B342" s="3" t="s">
        <v>76</v>
      </c>
      <c r="C342" s="3"/>
      <c r="D342" s="3"/>
      <c r="E342" s="3"/>
      <c r="F342" s="3"/>
      <c r="G342" s="3"/>
      <c r="H342" s="1485" t="s">
        <v>2694</v>
      </c>
      <c r="I342" s="1485"/>
      <c r="J342" s="1485"/>
      <c r="K342" s="1485"/>
      <c r="L342" s="1485"/>
      <c r="M342" s="1485"/>
      <c r="N342" s="1504"/>
      <c r="O342" s="1504"/>
      <c r="P342" s="1504"/>
      <c r="Q342" s="1504"/>
      <c r="R342" s="1504"/>
      <c r="S342" s="3"/>
      <c r="T342" s="3" t="s">
        <v>76</v>
      </c>
      <c r="V342" s="3"/>
      <c r="W342" s="3"/>
      <c r="X342" s="3"/>
      <c r="Y342" s="3"/>
      <c r="AA342" s="1485"/>
      <c r="AB342" s="1485"/>
      <c r="AC342" s="1485"/>
      <c r="AD342" s="1485"/>
      <c r="AE342" s="1485"/>
      <c r="AF342" s="1485"/>
      <c r="AG342" s="1504"/>
      <c r="AH342" s="1504"/>
      <c r="AI342" s="1504"/>
      <c r="AJ342" s="1504"/>
      <c r="AK342" s="1504"/>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504" t="s">
        <v>2700</v>
      </c>
      <c r="I344" s="1504"/>
      <c r="J344" s="1504"/>
      <c r="K344" s="1504"/>
      <c r="L344" s="1504"/>
      <c r="M344" s="1504"/>
      <c r="N344" s="1504"/>
      <c r="O344" s="1504"/>
      <c r="P344" s="1504"/>
      <c r="Q344" s="1504"/>
      <c r="R344" s="1504"/>
      <c r="T344" s="204" t="s">
        <v>886</v>
      </c>
      <c r="V344" s="3"/>
      <c r="W344" s="3"/>
      <c r="X344" s="3"/>
      <c r="Y344" s="3"/>
      <c r="AA344" s="1497" t="s">
        <v>2650</v>
      </c>
      <c r="AB344" s="1504"/>
      <c r="AC344" s="1504"/>
      <c r="AD344" s="1504"/>
      <c r="AE344" s="1504"/>
      <c r="AF344" s="1504"/>
      <c r="AG344" s="1504"/>
      <c r="AH344" s="1504"/>
      <c r="AI344" s="1504"/>
      <c r="AJ344" s="1504"/>
      <c r="AK344" s="1504"/>
    </row>
    <row r="345" spans="2:66" ht="12.95" customHeight="1">
      <c r="B345" s="3" t="s">
        <v>471</v>
      </c>
      <c r="C345" s="3"/>
      <c r="D345" s="3"/>
      <c r="E345" s="3"/>
      <c r="F345" s="3"/>
      <c r="H345" s="1485" t="s">
        <v>2701</v>
      </c>
      <c r="I345" s="1485"/>
      <c r="J345" s="1485"/>
      <c r="K345" s="1485"/>
      <c r="L345" s="1485"/>
      <c r="M345" s="1485"/>
      <c r="N345" s="1485"/>
      <c r="O345" s="1485"/>
      <c r="P345" s="1485"/>
      <c r="Q345" s="1485"/>
      <c r="R345" s="1485"/>
      <c r="T345" s="3" t="s">
        <v>471</v>
      </c>
      <c r="V345" s="3"/>
      <c r="W345" s="3"/>
      <c r="X345" s="3"/>
      <c r="Y345" s="3"/>
      <c r="AA345" s="1664" t="s">
        <v>2651</v>
      </c>
      <c r="AB345" s="1485"/>
      <c r="AC345" s="1485"/>
      <c r="AD345" s="1485"/>
      <c r="AE345" s="1485"/>
      <c r="AF345" s="1485"/>
      <c r="AG345" s="1485"/>
      <c r="AH345" s="1485"/>
      <c r="AI345" s="1485"/>
      <c r="AJ345" s="1485"/>
      <c r="AK345" s="1485"/>
    </row>
    <row r="346" spans="2:66" ht="12.95" customHeight="1">
      <c r="B346" s="3" t="s">
        <v>75</v>
      </c>
      <c r="C346" s="3"/>
      <c r="D346" s="3"/>
      <c r="E346" s="3"/>
      <c r="F346" s="3"/>
      <c r="H346" s="1485" t="s">
        <v>2702</v>
      </c>
      <c r="I346" s="1485"/>
      <c r="J346" s="1485"/>
      <c r="K346" s="1485"/>
      <c r="L346" s="1485"/>
      <c r="M346" s="1485"/>
      <c r="N346" s="1485"/>
      <c r="O346" s="1485"/>
      <c r="P346" s="1485"/>
      <c r="Q346" s="1485"/>
      <c r="R346" s="1485"/>
      <c r="T346" s="3" t="s">
        <v>75</v>
      </c>
      <c r="V346" s="3"/>
      <c r="W346" s="3"/>
      <c r="X346" s="3"/>
      <c r="Y346" s="3"/>
      <c r="AA346" s="1664" t="s">
        <v>2652</v>
      </c>
      <c r="AB346" s="1485"/>
      <c r="AC346" s="1485"/>
      <c r="AD346" s="1485"/>
      <c r="AE346" s="1485"/>
      <c r="AF346" s="1485"/>
      <c r="AG346" s="1485"/>
      <c r="AH346" s="1485"/>
      <c r="AI346" s="1485"/>
      <c r="AJ346" s="1485"/>
      <c r="AK346" s="1485"/>
    </row>
    <row r="347" spans="2:66" ht="12.95" customHeight="1">
      <c r="B347" s="3" t="s">
        <v>87</v>
      </c>
      <c r="C347" s="3"/>
      <c r="D347" s="3"/>
      <c r="E347" s="3"/>
      <c r="F347" s="3"/>
      <c r="G347" s="3"/>
      <c r="H347" s="1485" t="s">
        <v>2703</v>
      </c>
      <c r="I347" s="1485"/>
      <c r="J347" s="1485"/>
      <c r="K347" s="1485"/>
      <c r="L347" s="1485"/>
      <c r="M347" s="1485"/>
      <c r="N347" s="1485"/>
      <c r="O347" s="1485"/>
      <c r="P347" s="1485"/>
      <c r="Q347" s="1485"/>
      <c r="R347" s="1485"/>
      <c r="T347" s="3" t="s">
        <v>87</v>
      </c>
      <c r="V347" s="3"/>
      <c r="W347" s="3"/>
      <c r="X347" s="3"/>
      <c r="Y347" s="3"/>
      <c r="AA347" s="1664" t="s">
        <v>2653</v>
      </c>
      <c r="AB347" s="1485"/>
      <c r="AC347" s="1485"/>
      <c r="AD347" s="1485"/>
      <c r="AE347" s="1485"/>
      <c r="AF347" s="1485"/>
      <c r="AG347" s="1485"/>
      <c r="AH347" s="1485"/>
      <c r="AI347" s="1485"/>
      <c r="AJ347" s="1485"/>
      <c r="AK347" s="1485"/>
    </row>
    <row r="348" spans="2:66" ht="12.95" customHeight="1">
      <c r="B348" s="3" t="s">
        <v>88</v>
      </c>
      <c r="C348" s="3"/>
      <c r="D348" s="3"/>
      <c r="E348" s="3"/>
      <c r="F348" s="3"/>
      <c r="G348" s="3"/>
      <c r="H348" s="1503">
        <v>8779225432</v>
      </c>
      <c r="I348" s="1503"/>
      <c r="J348" s="1503"/>
      <c r="K348" s="1503"/>
      <c r="L348" s="1503"/>
      <c r="M348" s="1503"/>
      <c r="N348" s="4" t="s">
        <v>206</v>
      </c>
      <c r="O348" s="4"/>
      <c r="P348" s="1498"/>
      <c r="Q348" s="1498"/>
      <c r="R348" s="1498"/>
      <c r="S348" s="3"/>
      <c r="T348" s="3" t="s">
        <v>88</v>
      </c>
      <c r="V348" s="3"/>
      <c r="W348" s="3"/>
      <c r="X348" s="3"/>
      <c r="Y348" s="3"/>
      <c r="AA348" s="1503">
        <v>9512360443</v>
      </c>
      <c r="AB348" s="1503"/>
      <c r="AC348" s="1503"/>
      <c r="AD348" s="1503"/>
      <c r="AE348" s="1503"/>
      <c r="AF348" s="1503"/>
      <c r="AG348" s="4" t="s">
        <v>206</v>
      </c>
      <c r="AH348" s="4"/>
      <c r="AI348" s="1498"/>
      <c r="AJ348" s="1498"/>
      <c r="AK348" s="1498"/>
    </row>
    <row r="349" spans="2:66" ht="12.95" customHeight="1">
      <c r="B349" s="3" t="s">
        <v>89</v>
      </c>
      <c r="C349" s="3"/>
      <c r="D349" s="3"/>
      <c r="E349" s="3"/>
      <c r="F349" s="3"/>
      <c r="G349" s="3"/>
      <c r="H349" s="1529"/>
      <c r="I349" s="1529"/>
      <c r="J349" s="1529"/>
      <c r="K349" s="1529"/>
      <c r="L349" s="1529"/>
      <c r="M349" s="1529"/>
      <c r="N349" s="4"/>
      <c r="O349" s="4"/>
      <c r="P349" s="35"/>
      <c r="Q349" s="35"/>
      <c r="R349" s="35"/>
      <c r="S349" s="3"/>
      <c r="T349" s="3" t="s">
        <v>89</v>
      </c>
      <c r="V349" s="3"/>
      <c r="W349" s="3"/>
      <c r="X349" s="3"/>
      <c r="Y349" s="3"/>
      <c r="AA349" s="1529">
        <v>7605919784</v>
      </c>
      <c r="AB349" s="1529"/>
      <c r="AC349" s="1529"/>
      <c r="AD349" s="1529"/>
      <c r="AE349" s="1529"/>
      <c r="AF349" s="1529"/>
      <c r="AG349" s="4"/>
      <c r="AH349" s="4"/>
      <c r="AI349" s="35"/>
      <c r="AJ349" s="35"/>
      <c r="AK349" s="35"/>
    </row>
    <row r="350" spans="2:66" ht="12.95" customHeight="1">
      <c r="B350" s="3" t="s">
        <v>76</v>
      </c>
      <c r="C350" s="3"/>
      <c r="D350" s="3"/>
      <c r="E350" s="3"/>
      <c r="F350" s="3"/>
      <c r="G350" s="3"/>
      <c r="H350" s="1485" t="s">
        <v>2704</v>
      </c>
      <c r="I350" s="1485"/>
      <c r="J350" s="1485"/>
      <c r="K350" s="1485"/>
      <c r="L350" s="1485"/>
      <c r="M350" s="1485"/>
      <c r="N350" s="1504"/>
      <c r="O350" s="1504"/>
      <c r="P350" s="1504"/>
      <c r="Q350" s="1504"/>
      <c r="R350" s="1504"/>
      <c r="S350" s="3"/>
      <c r="T350" s="3" t="s">
        <v>76</v>
      </c>
      <c r="V350" s="3"/>
      <c r="W350" s="3"/>
      <c r="X350" s="3"/>
      <c r="Y350" s="3"/>
      <c r="AA350" s="1664" t="s">
        <v>2654</v>
      </c>
      <c r="AB350" s="1485"/>
      <c r="AC350" s="1485"/>
      <c r="AD350" s="1485"/>
      <c r="AE350" s="1485"/>
      <c r="AF350" s="1485"/>
      <c r="AG350" s="1504"/>
      <c r="AH350" s="1504"/>
      <c r="AI350" s="1504"/>
      <c r="AJ350" s="1504"/>
      <c r="AK350" s="1504"/>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97" t="s">
        <v>591</v>
      </c>
      <c r="Q352" s="1504"/>
      <c r="R352" s="1504"/>
      <c r="S352" s="1504"/>
      <c r="T352" s="1504"/>
      <c r="U352" s="1504"/>
      <c r="V352" s="1504"/>
      <c r="W352" s="1504"/>
      <c r="X352" s="1504"/>
      <c r="Y352" s="1504"/>
      <c r="Z352" s="1504"/>
      <c r="AA352" s="1504"/>
      <c r="AB352" s="1504"/>
      <c r="AC352" s="1504"/>
      <c r="AD352" s="1504"/>
      <c r="AE352" s="1504"/>
      <c r="BN352" t="s">
        <v>669</v>
      </c>
    </row>
    <row r="353" spans="1:66" ht="12.95" customHeight="1">
      <c r="B353" s="4"/>
      <c r="C353" s="4"/>
      <c r="D353" s="4"/>
      <c r="E353" s="4"/>
      <c r="F353" s="4"/>
      <c r="I353" s="4" t="s">
        <v>471</v>
      </c>
      <c r="P353" s="1485"/>
      <c r="Q353" s="1485"/>
      <c r="R353" s="1485"/>
      <c r="S353" s="1485"/>
      <c r="T353" s="1485"/>
      <c r="U353" s="1485"/>
      <c r="V353" s="1485"/>
      <c r="W353" s="1485"/>
      <c r="X353" s="1485"/>
      <c r="Y353" s="1485"/>
      <c r="Z353" s="1485"/>
      <c r="AA353" s="1485"/>
      <c r="AB353" s="1485"/>
      <c r="AC353" s="1485"/>
      <c r="AD353" s="1485"/>
      <c r="AE353" s="1485"/>
      <c r="BN353" t="s">
        <v>545</v>
      </c>
    </row>
    <row r="354" spans="1:66" ht="12.95" customHeight="1">
      <c r="B354" s="4"/>
      <c r="C354" s="4"/>
      <c r="D354" s="4"/>
      <c r="E354" s="4"/>
      <c r="F354" s="4"/>
      <c r="I354" s="4" t="s">
        <v>75</v>
      </c>
      <c r="P354" s="1485"/>
      <c r="Q354" s="1485"/>
      <c r="R354" s="1485"/>
      <c r="S354" s="1485"/>
      <c r="T354" s="1485"/>
      <c r="U354" s="1485"/>
      <c r="V354" s="1485"/>
      <c r="W354" s="1485"/>
      <c r="X354" s="1485"/>
      <c r="Y354" s="1485"/>
      <c r="Z354" s="1485"/>
      <c r="AA354" s="1485"/>
      <c r="AB354" s="1485"/>
      <c r="AC354" s="1485"/>
      <c r="AD354" s="1485"/>
      <c r="AE354" s="1485"/>
    </row>
    <row r="355" spans="1:66" ht="12.95" customHeight="1">
      <c r="B355" s="4"/>
      <c r="C355" s="4"/>
      <c r="D355" s="4"/>
      <c r="E355" s="4"/>
      <c r="F355" s="4"/>
      <c r="G355" s="4"/>
      <c r="I355" s="4" t="s">
        <v>87</v>
      </c>
      <c r="P355" s="1485"/>
      <c r="Q355" s="1485"/>
      <c r="R355" s="1485"/>
      <c r="S355" s="1485"/>
      <c r="T355" s="1485"/>
      <c r="U355" s="1485"/>
      <c r="V355" s="1485"/>
      <c r="W355" s="1485"/>
      <c r="X355" s="1485"/>
      <c r="Y355" s="1485"/>
      <c r="Z355" s="1485"/>
      <c r="AA355" s="1485"/>
      <c r="AB355" s="1485"/>
      <c r="AC355" s="1485"/>
      <c r="AD355" s="1485"/>
      <c r="AE355" s="1485"/>
    </row>
    <row r="356" spans="1:66" ht="12.95" customHeight="1">
      <c r="B356" s="4"/>
      <c r="C356" s="4"/>
      <c r="D356" s="4"/>
      <c r="E356" s="4"/>
      <c r="F356" s="4"/>
      <c r="G356" s="4"/>
      <c r="H356" s="302"/>
      <c r="I356" s="4" t="s">
        <v>88</v>
      </c>
      <c r="P356" s="1529"/>
      <c r="Q356" s="1529"/>
      <c r="R356" s="1529"/>
      <c r="S356" s="1529"/>
      <c r="T356" s="1529"/>
      <c r="U356" s="1529"/>
      <c r="V356" s="1529"/>
      <c r="W356" s="1529"/>
      <c r="X356" s="1529"/>
      <c r="Y356" s="1529"/>
      <c r="Z356" s="1529"/>
      <c r="AA356" s="4" t="s">
        <v>206</v>
      </c>
      <c r="AB356" s="4"/>
      <c r="AC356" s="1519"/>
      <c r="AD356" s="1519"/>
      <c r="AE356" s="1519"/>
      <c r="AF356" s="302"/>
      <c r="AG356" s="4"/>
      <c r="AH356" s="4"/>
      <c r="AI356" s="4"/>
      <c r="AJ356" s="4"/>
      <c r="AK356" s="4"/>
    </row>
    <row r="357" spans="1:66" ht="12.95" customHeight="1">
      <c r="B357" s="4"/>
      <c r="C357" s="4"/>
      <c r="D357" s="4"/>
      <c r="E357" s="4"/>
      <c r="F357" s="4"/>
      <c r="G357" s="4"/>
      <c r="H357" s="302"/>
      <c r="I357" s="4" t="s">
        <v>89</v>
      </c>
      <c r="P357" s="1529"/>
      <c r="Q357" s="1529"/>
      <c r="R357" s="1529"/>
      <c r="S357" s="1529"/>
      <c r="T357" s="1529"/>
      <c r="U357" s="1529"/>
      <c r="V357" s="1529"/>
      <c r="W357" s="1529"/>
      <c r="X357" s="1529"/>
      <c r="Y357" s="1529"/>
      <c r="Z357" s="1529"/>
      <c r="AF357" s="302"/>
      <c r="AG357" s="4"/>
      <c r="AH357" s="4"/>
      <c r="AI357" s="35"/>
      <c r="AJ357" s="35"/>
      <c r="AK357" s="35"/>
    </row>
    <row r="358" spans="1:66" ht="12.95" customHeight="1">
      <c r="B358" s="4"/>
      <c r="C358" s="4"/>
      <c r="D358" s="4"/>
      <c r="E358" s="4"/>
      <c r="F358" s="4"/>
      <c r="G358" s="4"/>
      <c r="I358" s="4" t="s">
        <v>76</v>
      </c>
      <c r="P358" s="1504"/>
      <c r="Q358" s="1504"/>
      <c r="R358" s="1504"/>
      <c r="S358" s="1504"/>
      <c r="T358" s="1504"/>
      <c r="U358" s="1504"/>
      <c r="V358" s="1504"/>
      <c r="W358" s="1504"/>
      <c r="X358" s="1504"/>
      <c r="Y358" s="1504"/>
      <c r="Z358" s="1504"/>
      <c r="AA358" s="1504"/>
      <c r="AB358" s="1504"/>
      <c r="AC358" s="1504"/>
      <c r="AD358" s="1504"/>
      <c r="AE358" s="1504"/>
    </row>
    <row r="359" spans="1:66" ht="12.95" customHeight="1">
      <c r="T359" s="8"/>
      <c r="U359" s="8"/>
      <c r="V359" s="8"/>
      <c r="W359" s="8"/>
      <c r="X359" s="8"/>
      <c r="Y359" s="8"/>
      <c r="Z359" s="8"/>
      <c r="AU359" s="95"/>
      <c r="AV359" s="95"/>
      <c r="AW359" s="95"/>
      <c r="AX359" s="95"/>
      <c r="AY359" s="95"/>
    </row>
    <row r="360" spans="1:66" ht="12.95" customHeight="1">
      <c r="A360" s="1411" t="s">
        <v>542</v>
      </c>
      <c r="B360" s="1411"/>
      <c r="C360" s="1411"/>
      <c r="D360" s="1411"/>
      <c r="E360" s="1411"/>
      <c r="F360" s="1411"/>
      <c r="G360" s="1411"/>
      <c r="H360" s="1411"/>
      <c r="I360" s="1411"/>
      <c r="J360" s="1411"/>
      <c r="K360" s="1411"/>
      <c r="L360" s="1411"/>
      <c r="M360" s="1411"/>
      <c r="N360" s="1411"/>
      <c r="O360" s="1411"/>
      <c r="P360" s="1411"/>
      <c r="Q360" s="1411"/>
      <c r="R360" s="1411"/>
      <c r="S360" s="1411"/>
      <c r="T360" s="1411"/>
      <c r="U360" s="1411"/>
      <c r="V360" s="1411"/>
      <c r="W360" s="1411"/>
      <c r="X360" s="1411"/>
      <c r="Y360" s="1411"/>
      <c r="Z360" s="1411"/>
      <c r="AA360" s="1411"/>
      <c r="AB360" s="1411"/>
      <c r="AC360" s="1411"/>
      <c r="AD360" s="1411"/>
      <c r="AE360" s="1411"/>
      <c r="AF360" s="1411"/>
      <c r="AG360" s="1411"/>
      <c r="AH360" s="1411"/>
      <c r="AI360" s="1411"/>
      <c r="AJ360" s="1411"/>
      <c r="AK360" s="1411"/>
      <c r="AL360" s="1411"/>
      <c r="AM360" s="1411"/>
      <c r="AN360" s="1411"/>
      <c r="AO360" s="1411"/>
      <c r="AP360" s="1411"/>
      <c r="AQ360" s="1411"/>
      <c r="AR360" s="1411"/>
      <c r="AS360" s="1411"/>
      <c r="AT360" s="1411"/>
      <c r="AU360" s="95"/>
      <c r="AV360" s="95"/>
      <c r="AW360" s="95"/>
      <c r="AX360" s="95"/>
      <c r="AY360" s="95"/>
    </row>
    <row r="361" spans="1:66" ht="12.95" customHeight="1">
      <c r="A361" s="1411"/>
      <c r="B361" s="1411"/>
      <c r="C361" s="1411"/>
      <c r="D361" s="1411"/>
      <c r="E361" s="1411"/>
      <c r="F361" s="1411"/>
      <c r="G361" s="1411"/>
      <c r="H361" s="1411"/>
      <c r="I361" s="1411"/>
      <c r="J361" s="1411"/>
      <c r="K361" s="1411"/>
      <c r="L361" s="1411"/>
      <c r="M361" s="1411"/>
      <c r="N361" s="1411"/>
      <c r="O361" s="1411"/>
      <c r="P361" s="1411"/>
      <c r="Q361" s="1411"/>
      <c r="R361" s="1411"/>
      <c r="S361" s="1411"/>
      <c r="T361" s="1411"/>
      <c r="U361" s="1411"/>
      <c r="V361" s="1411"/>
      <c r="W361" s="1411"/>
      <c r="X361" s="1411"/>
      <c r="Y361" s="1411"/>
      <c r="Z361" s="1411"/>
      <c r="AA361" s="1411"/>
      <c r="AB361" s="1411"/>
      <c r="AC361" s="1411"/>
      <c r="AD361" s="1411"/>
      <c r="AE361" s="1411"/>
      <c r="AF361" s="1411"/>
      <c r="AG361" s="1411"/>
      <c r="AH361" s="1411"/>
      <c r="AI361" s="1411"/>
      <c r="AJ361" s="1411"/>
      <c r="AK361" s="1411"/>
      <c r="AL361" s="1411"/>
      <c r="AM361" s="1411"/>
      <c r="AN361" s="1411"/>
      <c r="AO361" s="1411"/>
      <c r="AP361" s="1411"/>
      <c r="AQ361" s="1411"/>
      <c r="AR361" s="1411"/>
      <c r="AS361" s="1411"/>
      <c r="AT361" s="141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0" t="s">
        <v>545</v>
      </c>
      <c r="N364" s="1340"/>
      <c r="P364" t="s">
        <v>1639</v>
      </c>
      <c r="AJ364" s="1340" t="s">
        <v>591</v>
      </c>
      <c r="AK364" s="1340"/>
    </row>
    <row r="365" spans="1:66" ht="12.95" customHeight="1">
      <c r="D365" s="3" t="s">
        <v>1628</v>
      </c>
      <c r="M365" s="1340" t="s">
        <v>545</v>
      </c>
      <c r="N365" s="1340"/>
      <c r="P365" s="3" t="s">
        <v>1708</v>
      </c>
      <c r="AJ365" s="1535"/>
      <c r="AK365" s="1535"/>
    </row>
    <row r="366" spans="1:66" ht="12.95" customHeight="1">
      <c r="D366" s="3" t="s">
        <v>704</v>
      </c>
      <c r="M366" s="1340" t="s">
        <v>591</v>
      </c>
      <c r="N366" s="1340"/>
      <c r="P366" t="s">
        <v>1638</v>
      </c>
      <c r="AJ366" s="1340" t="s">
        <v>591</v>
      </c>
      <c r="AK366" s="1340"/>
    </row>
    <row r="367" spans="1:66" ht="12.95" customHeight="1">
      <c r="D367" s="3" t="s">
        <v>705</v>
      </c>
      <c r="M367" s="1340" t="s">
        <v>591</v>
      </c>
      <c r="N367" s="1340"/>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0" t="s">
        <v>591</v>
      </c>
      <c r="O372" s="1340"/>
      <c r="P372" s="40"/>
      <c r="Q372" s="40"/>
      <c r="R372" s="40"/>
      <c r="S372" s="40"/>
      <c r="T372" s="40"/>
      <c r="U372" s="40"/>
      <c r="V372" s="40"/>
      <c r="W372" s="40"/>
      <c r="X372" s="40"/>
      <c r="Y372" s="40"/>
      <c r="Z372" s="40"/>
      <c r="AC372" s="40"/>
      <c r="AD372" s="40"/>
      <c r="AE372" s="40"/>
    </row>
    <row r="373" spans="1:34" ht="12.95" customHeight="1">
      <c r="E373" t="s">
        <v>370</v>
      </c>
      <c r="Y373" s="1340" t="s">
        <v>591</v>
      </c>
      <c r="Z373" s="1340"/>
    </row>
    <row r="374" spans="1:34" ht="12.95" customHeight="1">
      <c r="D374" s="4" t="s">
        <v>978</v>
      </c>
      <c r="Q374" s="1504"/>
      <c r="R374" s="1504"/>
      <c r="S374" s="1504"/>
      <c r="T374" s="1504"/>
      <c r="U374" s="1504"/>
      <c r="V374" s="1504"/>
      <c r="W374" s="1504"/>
      <c r="X374" s="1504"/>
      <c r="Y374" s="1504"/>
      <c r="Z374" s="1504"/>
      <c r="AA374" s="1504"/>
      <c r="AB374" s="1504"/>
      <c r="AC374" s="1504"/>
      <c r="AD374" s="1504"/>
      <c r="AE374" s="1504"/>
      <c r="AF374" s="1504"/>
      <c r="AG374" s="1504"/>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0" t="s">
        <v>591</v>
      </c>
      <c r="K376" s="1340"/>
      <c r="L376" s="40"/>
      <c r="M376" s="40"/>
      <c r="N376" s="40"/>
      <c r="O376" s="40"/>
      <c r="P376" s="40"/>
      <c r="Q376" s="40"/>
      <c r="R376" s="40"/>
      <c r="S376" s="40"/>
      <c r="T376" s="40"/>
      <c r="U376" s="40"/>
      <c r="V376" s="40"/>
      <c r="W376" s="40"/>
      <c r="X376" s="40"/>
      <c r="Y376" s="40"/>
      <c r="Z376" s="40"/>
      <c r="AC376" s="40"/>
      <c r="AD376" s="40"/>
      <c r="AE376" s="40"/>
    </row>
    <row r="377" spans="1:34" ht="12.95" customHeight="1">
      <c r="E377" s="1496" t="s">
        <v>706</v>
      </c>
      <c r="F377" s="1496"/>
      <c r="G377" s="1496"/>
      <c r="H377" s="1496"/>
      <c r="I377" s="1496"/>
      <c r="J377" s="1496"/>
      <c r="K377" s="1496"/>
      <c r="L377" s="1496"/>
      <c r="M377" s="1496"/>
      <c r="N377" s="1496"/>
      <c r="O377" s="1496"/>
      <c r="P377" s="1496"/>
      <c r="Q377" s="1496"/>
      <c r="R377" s="1496"/>
      <c r="S377" s="1496"/>
      <c r="T377" s="1496"/>
      <c r="U377" s="1496"/>
      <c r="V377" s="1496"/>
      <c r="W377" s="1496"/>
      <c r="X377" s="1496"/>
      <c r="Y377" s="1496"/>
      <c r="Z377" s="1496"/>
      <c r="AA377" s="1496"/>
      <c r="AB377" s="1496"/>
      <c r="AC377" s="1496"/>
      <c r="AD377" s="1496"/>
      <c r="AE377" s="1496"/>
      <c r="AF377" s="1496"/>
      <c r="AG377" s="1496"/>
      <c r="AH377" s="1496"/>
    </row>
    <row r="378" spans="1:34" ht="12.95" customHeight="1">
      <c r="E378" s="1496"/>
      <c r="F378" s="1496"/>
      <c r="G378" s="1496"/>
      <c r="H378" s="1496"/>
      <c r="I378" s="1496"/>
      <c r="J378" s="1496"/>
      <c r="K378" s="1496"/>
      <c r="L378" s="1496"/>
      <c r="M378" s="1496"/>
      <c r="N378" s="1496"/>
      <c r="O378" s="1496"/>
      <c r="P378" s="1496"/>
      <c r="Q378" s="1496"/>
      <c r="R378" s="1496"/>
      <c r="S378" s="1496"/>
      <c r="T378" s="1496"/>
      <c r="U378" s="1496"/>
      <c r="V378" s="1496"/>
      <c r="W378" s="1496"/>
      <c r="X378" s="1496"/>
      <c r="Y378" s="1496"/>
      <c r="Z378" s="1496"/>
      <c r="AA378" s="1496"/>
      <c r="AB378" s="1496"/>
      <c r="AC378" s="1496"/>
      <c r="AD378" s="1496"/>
      <c r="AE378" s="1496"/>
      <c r="AF378" s="1496"/>
      <c r="AG378" s="1496"/>
      <c r="AH378" s="1496"/>
    </row>
    <row r="379" spans="1:34" ht="12.95" customHeight="1">
      <c r="E379" s="4" t="s">
        <v>448</v>
      </c>
      <c r="F379" s="4"/>
      <c r="G379" s="4"/>
      <c r="H379" s="4"/>
      <c r="I379" s="4"/>
      <c r="J379" s="4"/>
      <c r="K379" s="4"/>
      <c r="L379" s="4"/>
      <c r="N379" s="1787" t="s">
        <v>2662</v>
      </c>
      <c r="O379" s="1455"/>
      <c r="P379" s="1455"/>
      <c r="Q379" s="1455"/>
      <c r="R379" s="4"/>
      <c r="U379" s="4" t="s">
        <v>449</v>
      </c>
      <c r="V379" s="4"/>
      <c r="W379" s="4"/>
      <c r="X379" s="4"/>
      <c r="Y379" s="4"/>
      <c r="Z379" s="4"/>
      <c r="AA379" s="4"/>
      <c r="AB379" s="4"/>
      <c r="AC379" s="1455">
        <v>1</v>
      </c>
      <c r="AD379" s="1455"/>
      <c r="AE379" s="1455"/>
      <c r="AF379" s="1455"/>
    </row>
    <row r="380" spans="1:34" ht="12.95" customHeight="1">
      <c r="E380" s="4" t="s">
        <v>450</v>
      </c>
      <c r="F380" s="4"/>
      <c r="G380" s="4"/>
      <c r="H380" s="4"/>
      <c r="I380" s="4"/>
      <c r="J380" s="4"/>
      <c r="K380" s="4"/>
      <c r="L380" s="4"/>
      <c r="N380" s="1455">
        <v>0</v>
      </c>
      <c r="O380" s="1455"/>
      <c r="P380" s="1455"/>
      <c r="Q380" s="1455"/>
      <c r="R380" s="4"/>
      <c r="U380" s="4" t="s">
        <v>0</v>
      </c>
      <c r="V380" s="4"/>
      <c r="W380" s="4"/>
      <c r="X380" s="4"/>
      <c r="Y380" s="4"/>
      <c r="Z380" s="4"/>
      <c r="AA380" s="4"/>
      <c r="AB380" s="4"/>
      <c r="AC380" s="1455">
        <v>0</v>
      </c>
      <c r="AD380" s="1455"/>
      <c r="AE380" s="1455"/>
      <c r="AF380" s="1455"/>
    </row>
    <row r="381" spans="1:34" ht="12.95" customHeight="1">
      <c r="E381" s="4" t="s">
        <v>1</v>
      </c>
      <c r="F381" s="4"/>
      <c r="G381" s="4"/>
      <c r="H381" s="4"/>
      <c r="I381" s="4"/>
      <c r="J381" s="4"/>
      <c r="K381" s="4"/>
      <c r="L381" s="4"/>
      <c r="N381" s="1455">
        <v>2</v>
      </c>
      <c r="O381" s="1455"/>
      <c r="P381" s="1455"/>
      <c r="Q381" s="1455"/>
      <c r="R381" s="4"/>
      <c r="V381" s="4"/>
      <c r="W381" s="4"/>
      <c r="X381" s="4"/>
      <c r="Y381" s="4"/>
      <c r="Z381" s="4"/>
      <c r="AA381" s="4"/>
      <c r="AB381" s="4"/>
    </row>
    <row r="382" spans="1:34" ht="12.95" customHeight="1">
      <c r="E382" s="4" t="s">
        <v>2</v>
      </c>
      <c r="F382" s="4"/>
      <c r="G382" s="4"/>
      <c r="H382" s="4"/>
      <c r="I382" s="4"/>
      <c r="J382" s="4"/>
      <c r="K382" s="4"/>
      <c r="L382" s="4"/>
      <c r="N382" s="1767" t="s">
        <v>2663</v>
      </c>
      <c r="O382" s="1768"/>
      <c r="P382" s="1768"/>
      <c r="Q382" s="1768"/>
      <c r="R382" s="1768"/>
      <c r="S382" s="1768"/>
      <c r="T382" s="1768"/>
      <c r="U382" s="1768"/>
      <c r="V382" s="1768"/>
      <c r="W382" s="1768"/>
      <c r="X382" s="1768"/>
      <c r="Y382" s="1768"/>
      <c r="Z382" s="1768"/>
      <c r="AA382" s="1768"/>
      <c r="AB382" s="1768"/>
      <c r="AC382" s="1768"/>
      <c r="AD382" s="1768"/>
      <c r="AE382" s="1768"/>
      <c r="AF382" s="1768"/>
    </row>
    <row r="383" spans="1:34" ht="12.95" customHeight="1">
      <c r="E383" s="4"/>
      <c r="F383" s="4"/>
      <c r="G383" s="4"/>
      <c r="H383" s="4"/>
      <c r="I383" s="4"/>
      <c r="J383" s="4"/>
      <c r="K383" s="4"/>
      <c r="L383" s="4"/>
      <c r="N383" s="1769"/>
      <c r="O383" s="1769"/>
      <c r="P383" s="1769"/>
      <c r="Q383" s="1769"/>
      <c r="R383" s="1769"/>
      <c r="S383" s="1769"/>
      <c r="T383" s="1769"/>
      <c r="U383" s="1769"/>
      <c r="V383" s="1769"/>
      <c r="W383" s="1769"/>
      <c r="X383" s="1769"/>
      <c r="Y383" s="1769"/>
      <c r="Z383" s="1769"/>
      <c r="AA383" s="1769"/>
      <c r="AB383" s="1769"/>
      <c r="AC383" s="1769"/>
      <c r="AD383" s="1769"/>
      <c r="AE383" s="1769"/>
      <c r="AF383" s="1769"/>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81"/>
      <c r="T386" s="1781"/>
      <c r="U386" s="1" t="s">
        <v>306</v>
      </c>
      <c r="V386" s="1781"/>
      <c r="W386" s="1781"/>
      <c r="Y386" t="s">
        <v>2037</v>
      </c>
      <c r="AC386" s="27" t="s">
        <v>305</v>
      </c>
      <c r="AD386" s="1781"/>
      <c r="AE386" s="1781"/>
      <c r="AF386" s="1" t="s">
        <v>306</v>
      </c>
      <c r="AG386" s="1781"/>
      <c r="AH386" s="1781"/>
    </row>
    <row r="387" spans="1:36" ht="12.95" customHeight="1">
      <c r="E387" s="4" t="s">
        <v>987</v>
      </c>
      <c r="F387" s="4"/>
      <c r="G387" s="4"/>
      <c r="H387" s="4"/>
      <c r="I387" s="4"/>
      <c r="J387" s="4"/>
      <c r="K387" s="4"/>
      <c r="L387" s="4"/>
      <c r="N387" s="1781"/>
      <c r="O387" s="1781"/>
      <c r="P387" s="1781"/>
    </row>
    <row r="388" spans="1:36" ht="12.95" customHeight="1">
      <c r="E388" s="204" t="s">
        <v>2042</v>
      </c>
      <c r="F388" s="4"/>
      <c r="G388" s="4"/>
      <c r="H388" s="4"/>
      <c r="I388" s="4"/>
      <c r="J388" s="4"/>
      <c r="K388" s="4"/>
      <c r="L388" s="4"/>
      <c r="AG388" s="1771" t="s">
        <v>591</v>
      </c>
      <c r="AH388" s="1771"/>
    </row>
    <row r="389" spans="1:36" ht="12.95" customHeight="1">
      <c r="E389" s="4"/>
      <c r="F389" s="4"/>
      <c r="G389" s="4" t="s">
        <v>2043</v>
      </c>
      <c r="H389" s="4"/>
      <c r="I389" s="4"/>
      <c r="J389" s="4"/>
      <c r="K389" s="4"/>
      <c r="L389" s="4"/>
      <c r="AG389" s="1771" t="s">
        <v>591</v>
      </c>
      <c r="AH389" s="1771"/>
    </row>
    <row r="390" spans="1:36" ht="12.95" customHeight="1">
      <c r="E390" s="4"/>
      <c r="F390" s="4"/>
      <c r="G390" s="320" t="s">
        <v>988</v>
      </c>
      <c r="H390" s="4"/>
      <c r="I390" s="4"/>
      <c r="J390" s="4"/>
      <c r="K390" s="4"/>
      <c r="L390" s="4"/>
      <c r="V390" s="1340" t="s">
        <v>591</v>
      </c>
      <c r="W390" s="1340"/>
      <c r="Y390" s="22" t="s">
        <v>980</v>
      </c>
    </row>
    <row r="391" spans="1:36" ht="12.95" customHeight="1">
      <c r="E391" s="4" t="s">
        <v>981</v>
      </c>
      <c r="F391" s="4"/>
      <c r="G391" s="4"/>
      <c r="H391" s="4"/>
      <c r="I391" s="4"/>
      <c r="J391" s="4"/>
      <c r="K391" s="4"/>
      <c r="L391" s="4"/>
      <c r="V391" s="1340" t="s">
        <v>591</v>
      </c>
      <c r="W391" s="1340"/>
      <c r="Y391" s="4" t="s">
        <v>982</v>
      </c>
    </row>
    <row r="392" spans="1:36" ht="12.95" customHeight="1"/>
    <row r="393" spans="1:36" ht="12.95" customHeight="1">
      <c r="A393" s="2" t="s">
        <v>78</v>
      </c>
      <c r="B393" s="2"/>
    </row>
    <row r="394" spans="1:36" ht="12.95" customHeight="1">
      <c r="D394" t="s">
        <v>428</v>
      </c>
      <c r="J394" s="1504"/>
      <c r="K394" s="1504"/>
      <c r="L394" s="1504"/>
      <c r="M394" s="1504"/>
      <c r="N394" s="1504"/>
      <c r="O394" s="1504"/>
      <c r="P394" s="1504"/>
      <c r="Q394" s="1504"/>
      <c r="R394" s="1504"/>
      <c r="S394" s="1504"/>
      <c r="T394" s="1504"/>
      <c r="U394" s="1504"/>
      <c r="V394" s="8" t="s">
        <v>83</v>
      </c>
      <c r="W394" s="8"/>
      <c r="X394" s="8"/>
      <c r="Y394" s="8"/>
      <c r="Z394" s="8"/>
      <c r="AA394" s="8"/>
      <c r="AB394" s="8"/>
      <c r="AC394" s="1504"/>
      <c r="AD394" s="1504"/>
      <c r="AE394" s="1504"/>
      <c r="AF394" s="1504"/>
      <c r="AG394" s="1504"/>
      <c r="AH394" s="1504"/>
      <c r="AI394" s="1504"/>
      <c r="AJ394" s="1504"/>
    </row>
    <row r="395" spans="1:36" ht="12.95" customHeight="1">
      <c r="D395" s="3" t="s">
        <v>1182</v>
      </c>
      <c r="J395" s="1485"/>
      <c r="K395" s="1485"/>
      <c r="L395" s="1485"/>
      <c r="M395" s="1485"/>
      <c r="N395" s="1485"/>
      <c r="O395" s="1485"/>
      <c r="P395" s="1485"/>
      <c r="Q395" s="1485"/>
      <c r="R395" s="1485"/>
      <c r="S395" s="1485"/>
      <c r="T395" s="1485"/>
      <c r="U395" s="1485"/>
      <c r="V395" s="3" t="s">
        <v>1182</v>
      </c>
      <c r="W395" s="8"/>
      <c r="X395" s="8"/>
      <c r="Y395" s="8"/>
      <c r="Z395" s="8"/>
      <c r="AA395" s="8"/>
      <c r="AB395" s="8"/>
      <c r="AC395" s="1504"/>
      <c r="AD395" s="1504"/>
      <c r="AE395" s="1504"/>
      <c r="AF395" s="1504"/>
      <c r="AG395" s="1504"/>
      <c r="AH395" s="1504"/>
      <c r="AI395" s="1504"/>
      <c r="AJ395" s="1504"/>
    </row>
    <row r="396" spans="1:36" ht="12.95" customHeight="1">
      <c r="D396" s="3" t="s">
        <v>441</v>
      </c>
      <c r="J396" s="1485"/>
      <c r="K396" s="1485"/>
      <c r="L396" s="1485"/>
      <c r="M396" s="1485"/>
      <c r="N396" s="1485"/>
      <c r="O396" s="1485"/>
      <c r="P396" s="1485"/>
      <c r="Q396" s="1485"/>
      <c r="R396" s="1485"/>
      <c r="S396" s="1485"/>
      <c r="T396" s="1485"/>
      <c r="U396" s="1485"/>
      <c r="V396" s="3" t="s">
        <v>441</v>
      </c>
      <c r="W396" s="8"/>
      <c r="X396" s="8"/>
      <c r="Y396" s="8"/>
      <c r="Z396" s="8"/>
      <c r="AA396" s="8"/>
      <c r="AB396" s="8"/>
      <c r="AC396" s="1504"/>
      <c r="AD396" s="1504"/>
      <c r="AE396" s="1504"/>
      <c r="AF396" s="1504"/>
      <c r="AG396" s="1504"/>
      <c r="AH396" s="1504"/>
      <c r="AI396" s="1504"/>
      <c r="AJ396" s="1504"/>
    </row>
    <row r="397" spans="1:36" ht="12.95" customHeight="1">
      <c r="D397" t="s">
        <v>1178</v>
      </c>
      <c r="J397" s="1397"/>
      <c r="K397" s="1397"/>
      <c r="L397" s="1397"/>
      <c r="M397" s="1397"/>
      <c r="N397" s="1397"/>
      <c r="O397" s="1397"/>
      <c r="P397" s="1397"/>
      <c r="Q397" s="1397"/>
      <c r="R397" s="1397"/>
      <c r="S397" s="1397"/>
      <c r="T397" s="1397"/>
      <c r="U397" s="1397"/>
      <c r="V397" s="1504"/>
      <c r="W397" s="1504"/>
      <c r="X397" s="1504"/>
      <c r="Y397" s="1504"/>
      <c r="Z397" s="1504"/>
      <c r="AA397" s="1504"/>
      <c r="AB397" s="1504"/>
      <c r="AC397" s="1504"/>
      <c r="AD397" s="1504"/>
      <c r="AE397" s="1504"/>
      <c r="AF397" s="1504"/>
      <c r="AG397" s="1504"/>
      <c r="AH397" s="1504"/>
      <c r="AI397" s="1504"/>
      <c r="AJ397" s="1504"/>
    </row>
    <row r="398" spans="1:36" ht="12.95" customHeight="1">
      <c r="D398" t="s">
        <v>4</v>
      </c>
      <c r="Q398" s="1766"/>
      <c r="R398" s="1766"/>
      <c r="S398" s="1766"/>
      <c r="T398" s="1766"/>
      <c r="U398" s="1766"/>
      <c r="V398" t="s">
        <v>309</v>
      </c>
      <c r="AI398" s="1340" t="s">
        <v>669</v>
      </c>
      <c r="AJ398" s="1340"/>
    </row>
    <row r="399" spans="1:36" ht="12.95" customHeight="1">
      <c r="D399" t="s">
        <v>5</v>
      </c>
      <c r="Q399" s="1387"/>
      <c r="R399" s="1775"/>
      <c r="S399" s="1775"/>
      <c r="T399" s="1775"/>
      <c r="U399" s="1775"/>
      <c r="W399" s="21" t="s">
        <v>74</v>
      </c>
      <c r="AG399" s="1776"/>
      <c r="AH399" s="1776"/>
      <c r="AI399" s="1776"/>
      <c r="AJ399" s="1776"/>
    </row>
    <row r="400" spans="1:36" ht="12.95" customHeight="1">
      <c r="D400" t="s">
        <v>427</v>
      </c>
      <c r="Q400" s="1824"/>
      <c r="R400" s="1824"/>
      <c r="S400" s="1824"/>
      <c r="T400" s="1824"/>
      <c r="U400" s="1824"/>
      <c r="V400" s="3" t="s">
        <v>1181</v>
      </c>
      <c r="AG400" s="1784"/>
      <c r="AH400" s="1784"/>
      <c r="AI400" s="1784"/>
      <c r="AJ400" s="1784"/>
    </row>
    <row r="401" spans="4:36" ht="12.95" customHeight="1">
      <c r="D401" t="s">
        <v>88</v>
      </c>
      <c r="I401" s="1503"/>
      <c r="J401" s="1503"/>
      <c r="K401" s="1503"/>
      <c r="L401" s="1503"/>
      <c r="M401" s="1503"/>
      <c r="N401" s="1503"/>
      <c r="Q401" s="4" t="s">
        <v>206</v>
      </c>
      <c r="S401" s="1823"/>
      <c r="T401" s="1823"/>
      <c r="U401" s="1823"/>
      <c r="V401" t="s">
        <v>73</v>
      </c>
      <c r="AI401" s="1340" t="s">
        <v>669</v>
      </c>
      <c r="AJ401" s="1340"/>
    </row>
    <row r="402" spans="4:36" ht="12.95" customHeight="1">
      <c r="D402" t="s">
        <v>310</v>
      </c>
      <c r="Q402" s="1479"/>
      <c r="R402" s="1479"/>
      <c r="S402" s="1479"/>
      <c r="T402" s="1479"/>
      <c r="U402" s="1479"/>
      <c r="V402" t="s">
        <v>311</v>
      </c>
      <c r="AG402" s="1776"/>
      <c r="AH402" s="1776"/>
      <c r="AI402" s="1776"/>
      <c r="AJ402" s="1776"/>
    </row>
    <row r="403" spans="4:36" ht="12.95" customHeight="1">
      <c r="D403" t="s">
        <v>312</v>
      </c>
      <c r="Q403" s="1825"/>
      <c r="R403" s="1825"/>
      <c r="S403" s="1825"/>
      <c r="T403" s="1825"/>
      <c r="U403" s="1825"/>
      <c r="V403" t="s">
        <v>1163</v>
      </c>
      <c r="AG403" s="1776"/>
      <c r="AH403" s="1776"/>
      <c r="AI403" s="1776"/>
      <c r="AJ403" s="1776"/>
    </row>
    <row r="404" spans="4:36" ht="12.95" customHeight="1">
      <c r="D404" t="s">
        <v>1162</v>
      </c>
      <c r="AG404" s="1776"/>
      <c r="AH404" s="1776"/>
      <c r="AI404" s="1776"/>
      <c r="AJ404" s="1776"/>
    </row>
    <row r="405" spans="4:36" ht="12.95" customHeight="1">
      <c r="AG405" s="456"/>
      <c r="AH405" s="456"/>
      <c r="AI405" s="456"/>
      <c r="AJ405" s="456"/>
    </row>
    <row r="406" spans="4:36" ht="12.95" customHeight="1">
      <c r="D406" s="3" t="s">
        <v>2099</v>
      </c>
      <c r="AG406" s="456"/>
      <c r="AH406" s="456"/>
      <c r="AI406" s="1340" t="s">
        <v>669</v>
      </c>
      <c r="AJ406" s="1340"/>
    </row>
    <row r="407" spans="4:36" ht="12.95" customHeight="1">
      <c r="D407" s="3" t="s">
        <v>1656</v>
      </c>
      <c r="T407" s="1457"/>
      <c r="U407" s="1457"/>
      <c r="V407" s="1457"/>
      <c r="W407" s="1457"/>
      <c r="X407" s="1457"/>
      <c r="Y407" s="1457"/>
      <c r="Z407" s="1457"/>
      <c r="AA407" s="1457"/>
      <c r="AB407" s="1457"/>
      <c r="AC407" s="1457"/>
      <c r="AD407" s="1457"/>
      <c r="AE407" s="1457"/>
      <c r="AF407" s="1457"/>
      <c r="AG407" s="1457"/>
      <c r="AH407" s="1457"/>
      <c r="AI407" s="1457"/>
      <c r="AJ407" s="1457"/>
    </row>
    <row r="408" spans="4:36" ht="12.95" customHeight="1">
      <c r="D408" s="3" t="s">
        <v>1655</v>
      </c>
      <c r="T408" s="1457"/>
      <c r="U408" s="1457"/>
      <c r="V408" s="1457"/>
      <c r="W408" s="1457"/>
      <c r="X408" s="1457"/>
      <c r="Y408" s="1457"/>
      <c r="Z408" s="1457"/>
      <c r="AA408" s="1457"/>
      <c r="AB408" s="1457"/>
      <c r="AC408" s="1457"/>
      <c r="AD408" s="1457"/>
      <c r="AE408" s="1457"/>
      <c r="AF408" s="1457"/>
      <c r="AG408" s="1457"/>
      <c r="AH408" s="1457"/>
      <c r="AI408" s="1457"/>
      <c r="AJ408" s="1457"/>
    </row>
    <row r="409" spans="4:36" ht="12.95" customHeight="1">
      <c r="AG409" s="456"/>
      <c r="AH409" s="456"/>
      <c r="AI409" s="456"/>
      <c r="AJ409" s="456"/>
    </row>
    <row r="410" spans="4:36" ht="12.95" customHeight="1">
      <c r="D410" s="3" t="s">
        <v>1649</v>
      </c>
      <c r="S410" s="1457" t="s">
        <v>545</v>
      </c>
      <c r="T410" s="1457"/>
      <c r="U410" s="1457"/>
      <c r="V410" t="s">
        <v>1650</v>
      </c>
      <c r="AG410" s="1780">
        <v>99</v>
      </c>
      <c r="AH410" s="1780"/>
      <c r="AI410" s="1780"/>
      <c r="AJ410" s="1780"/>
    </row>
    <row r="411" spans="4:36" ht="12.95" customHeight="1">
      <c r="D411" s="3" t="s">
        <v>1647</v>
      </c>
      <c r="S411" s="1457" t="s">
        <v>545</v>
      </c>
      <c r="T411" s="1457"/>
      <c r="U411" s="1457"/>
      <c r="V411" t="s">
        <v>1652</v>
      </c>
      <c r="AE411" s="1822">
        <v>1</v>
      </c>
      <c r="AF411" s="1822"/>
      <c r="AG411" s="1822"/>
      <c r="AH411" s="1822"/>
      <c r="AI411" s="1822"/>
      <c r="AJ411" s="1822"/>
    </row>
    <row r="412" spans="4:36" ht="12.95" customHeight="1">
      <c r="D412" s="3" t="s">
        <v>1648</v>
      </c>
      <c r="K412" s="1786"/>
      <c r="L412" s="1786"/>
      <c r="M412" s="1786"/>
      <c r="N412" s="1786"/>
      <c r="O412" s="1786"/>
      <c r="P412" s="1786"/>
      <c r="Q412" s="1786"/>
      <c r="R412" s="1786"/>
      <c r="S412" s="1786"/>
      <c r="T412" s="1786"/>
      <c r="U412" s="1786"/>
      <c r="V412" s="1786"/>
      <c r="W412" s="1786"/>
      <c r="X412" s="1786"/>
      <c r="Y412" s="1786"/>
      <c r="Z412" s="1786"/>
      <c r="AA412" s="1786"/>
      <c r="AB412" s="1786"/>
      <c r="AC412" s="1786"/>
      <c r="AD412" s="1786"/>
      <c r="AE412" s="1786"/>
      <c r="AF412" s="1786"/>
      <c r="AG412" s="1786"/>
      <c r="AH412" s="1786"/>
      <c r="AI412" s="1786"/>
      <c r="AJ412" s="1786"/>
    </row>
    <row r="413" spans="4:36" ht="12.95" customHeight="1">
      <c r="D413" s="3" t="s">
        <v>1651</v>
      </c>
      <c r="K413" s="1785" t="s">
        <v>2735</v>
      </c>
      <c r="L413" s="1786"/>
      <c r="M413" s="1786"/>
      <c r="N413" s="1786"/>
      <c r="O413" s="1786"/>
      <c r="P413" s="1786"/>
      <c r="Q413" s="1786"/>
      <c r="R413" s="1786"/>
      <c r="S413" s="1786"/>
      <c r="T413" s="1786"/>
      <c r="U413" s="1786"/>
      <c r="V413" s="1786"/>
      <c r="W413" s="1786"/>
      <c r="X413" s="1786"/>
      <c r="Y413" s="1786"/>
      <c r="Z413" s="1786"/>
      <c r="AA413" s="1786"/>
      <c r="AB413" s="1786"/>
      <c r="AC413" s="1786"/>
      <c r="AD413" s="1786"/>
      <c r="AE413" s="1786"/>
      <c r="AF413" s="1786"/>
      <c r="AG413" s="1786"/>
      <c r="AH413" s="1786"/>
      <c r="AI413" s="1786"/>
      <c r="AJ413" s="1786"/>
    </row>
    <row r="414" spans="4:36" ht="12.95" customHeight="1">
      <c r="D414" s="3" t="s">
        <v>1654</v>
      </c>
      <c r="E414" s="477"/>
      <c r="F414" s="477"/>
      <c r="G414" s="477"/>
      <c r="H414" s="477"/>
      <c r="I414" s="477"/>
      <c r="J414" s="477"/>
      <c r="K414" s="477"/>
      <c r="L414" s="477"/>
      <c r="M414" s="477"/>
      <c r="N414" s="477"/>
      <c r="O414" s="477"/>
      <c r="P414" s="477"/>
      <c r="Q414" s="477"/>
      <c r="R414" s="477"/>
      <c r="S414" s="1821" t="s">
        <v>2736</v>
      </c>
      <c r="T414" s="1821"/>
      <c r="U414" s="1821"/>
      <c r="V414" s="1821"/>
      <c r="W414" s="1821"/>
      <c r="X414" s="1821"/>
      <c r="Y414" s="1821"/>
      <c r="Z414" s="1821"/>
      <c r="AA414" s="1821"/>
      <c r="AB414" s="1821"/>
      <c r="AC414" s="1821"/>
      <c r="AD414" s="1821"/>
      <c r="AE414" s="1821"/>
      <c r="AF414" s="1821"/>
      <c r="AG414" s="1821"/>
      <c r="AH414" s="1821"/>
      <c r="AI414" s="1821"/>
      <c r="AJ414" s="1821"/>
    </row>
    <row r="415" spans="4:36" ht="12.95" customHeight="1">
      <c r="D415" s="1274" t="s">
        <v>1653</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2.95"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97" t="s">
        <v>2737</v>
      </c>
      <c r="J419" s="1497"/>
      <c r="K419" s="1497"/>
      <c r="L419" s="1497"/>
      <c r="M419" s="1497"/>
      <c r="N419" s="1497"/>
      <c r="O419" s="1497"/>
      <c r="P419" s="1497"/>
      <c r="Q419" s="1497"/>
      <c r="R419" s="1497"/>
      <c r="S419" s="1497"/>
      <c r="T419" s="1497"/>
      <c r="U419" s="1497"/>
      <c r="V419" s="1497"/>
      <c r="W419" s="1497"/>
      <c r="X419" s="1497"/>
      <c r="Y419" s="1497"/>
      <c r="Z419" s="1497"/>
      <c r="AA419" s="1497"/>
      <c r="AB419" s="1497"/>
      <c r="AC419" s="1497"/>
      <c r="AD419" s="1497"/>
      <c r="AE419" s="1497"/>
    </row>
    <row r="420" spans="1:39" ht="12.95" customHeight="1">
      <c r="E420" t="s">
        <v>106</v>
      </c>
      <c r="R420" s="1340" t="s">
        <v>591</v>
      </c>
      <c r="S420" s="1340"/>
      <c r="AC420" s="27" t="s">
        <v>570</v>
      </c>
      <c r="AD420" s="1455"/>
      <c r="AE420" s="1455"/>
    </row>
    <row r="421" spans="1:39" ht="12.95" customHeight="1">
      <c r="E421" t="s">
        <v>107</v>
      </c>
      <c r="R421" s="1340" t="s">
        <v>545</v>
      </c>
      <c r="S421" s="1340"/>
      <c r="AC421" s="27" t="s">
        <v>570</v>
      </c>
      <c r="AD421" s="1455">
        <v>2</v>
      </c>
      <c r="AE421" s="1455"/>
    </row>
    <row r="422" spans="1:39" ht="12.95" customHeight="1">
      <c r="E422" t="s">
        <v>108</v>
      </c>
      <c r="S422" s="1340" t="s">
        <v>591</v>
      </c>
      <c r="T422" s="1340"/>
    </row>
    <row r="423" spans="1:39" ht="12.95" customHeight="1">
      <c r="E423" t="s">
        <v>170</v>
      </c>
      <c r="H423" s="1827" t="s">
        <v>2740</v>
      </c>
      <c r="I423" s="1827"/>
      <c r="J423" s="1827"/>
      <c r="K423" s="1827"/>
      <c r="L423" s="1827"/>
      <c r="M423" s="1827"/>
      <c r="N423" s="1827"/>
      <c r="O423" s="1827"/>
      <c r="P423" s="1827"/>
      <c r="Q423" s="1827"/>
      <c r="R423" s="1827"/>
      <c r="S423" s="1827"/>
      <c r="T423" s="1827"/>
      <c r="U423" s="1827"/>
      <c r="V423" s="1827"/>
      <c r="W423" s="1827"/>
      <c r="X423" s="1827"/>
      <c r="Y423" s="1827"/>
      <c r="Z423" s="1827"/>
      <c r="AA423" s="1827"/>
      <c r="AB423" s="1827"/>
      <c r="AC423" s="1827"/>
      <c r="AD423" s="1827"/>
      <c r="AE423" s="1827"/>
    </row>
    <row r="424" spans="1:39" ht="12.95" customHeight="1">
      <c r="H424" s="1828"/>
      <c r="I424" s="1828"/>
      <c r="J424" s="1828"/>
      <c r="K424" s="1828"/>
      <c r="L424" s="1828"/>
      <c r="M424" s="1828"/>
      <c r="N424" s="1828"/>
      <c r="O424" s="1828"/>
      <c r="P424" s="1828"/>
      <c r="Q424" s="1828"/>
      <c r="R424" s="1828"/>
      <c r="S424" s="1828"/>
      <c r="T424" s="1828"/>
      <c r="U424" s="1828"/>
      <c r="V424" s="1828"/>
      <c r="W424" s="1828"/>
      <c r="X424" s="1828"/>
      <c r="Y424" s="1828"/>
      <c r="Z424" s="1828"/>
      <c r="AA424" s="1828"/>
      <c r="AB424" s="1828"/>
      <c r="AC424" s="1828"/>
      <c r="AD424" s="1828"/>
      <c r="AE424" s="1828"/>
    </row>
    <row r="425" spans="1:39" ht="12.95" customHeight="1"/>
    <row r="426" spans="1:39" ht="12.95" customHeight="1">
      <c r="A426" s="2" t="s">
        <v>590</v>
      </c>
      <c r="B426" s="2"/>
      <c r="C426" s="2"/>
      <c r="D426" s="2" t="s">
        <v>114</v>
      </c>
      <c r="AF426" s="2" t="s">
        <v>957</v>
      </c>
    </row>
    <row r="427" spans="1:39" ht="12.95" customHeight="1">
      <c r="E427" s="1781"/>
      <c r="F427" s="1781"/>
      <c r="G427" s="1781"/>
      <c r="H427" s="13" t="s">
        <v>115</v>
      </c>
      <c r="I427" s="1781"/>
      <c r="J427" s="1781"/>
      <c r="K427" s="1781"/>
      <c r="L427" t="s">
        <v>116</v>
      </c>
      <c r="N427" s="27" t="s">
        <v>575</v>
      </c>
      <c r="P427" s="1772">
        <v>1.9870000000000001</v>
      </c>
      <c r="Q427" s="1772"/>
      <c r="R427" s="1772"/>
      <c r="S427" t="s">
        <v>117</v>
      </c>
      <c r="W427" s="1782">
        <f>IF(E427&gt;0,(E427*I427),(P427*43560))</f>
        <v>86553.72</v>
      </c>
      <c r="X427" s="1782"/>
      <c r="Y427" s="1782"/>
      <c r="Z427" t="s">
        <v>118</v>
      </c>
      <c r="AF427" s="1764">
        <f>IFERROR(IF(P427&gt;0,(AG446/P427),(AG446/(W427/43560))),0)</f>
        <v>12.078510317060895</v>
      </c>
      <c r="AG427" s="1764"/>
      <c r="AH427" s="1764"/>
      <c r="AM427" s="3"/>
    </row>
    <row r="428" spans="1:39" ht="12.95" customHeight="1">
      <c r="E428" t="s">
        <v>51</v>
      </c>
    </row>
    <row r="429" spans="1:39" ht="12.95" customHeight="1">
      <c r="E429" s="1833"/>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1833"/>
      <c r="AG429" s="1833"/>
      <c r="AH429" s="1833"/>
      <c r="AI429" s="1833"/>
      <c r="AJ429" s="1833"/>
    </row>
    <row r="430" spans="1:39" ht="12.95" customHeight="1">
      <c r="E430" s="118" t="s">
        <v>1725</v>
      </c>
      <c r="F430" s="1008"/>
      <c r="G430" s="1008"/>
      <c r="H430" s="1008"/>
      <c r="I430" s="1835">
        <v>1.9870000000000001</v>
      </c>
      <c r="J430" s="1835"/>
      <c r="K430" s="1835"/>
      <c r="L430" s="1008"/>
      <c r="M430" s="118"/>
      <c r="N430" s="1008"/>
      <c r="O430" s="1008"/>
      <c r="P430" s="1765">
        <f>(DU763+DU786+DU808)/I430</f>
        <v>13.085052843482636</v>
      </c>
      <c r="Q430" s="1765"/>
      <c r="R430" s="1765"/>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0">
        <v>1</v>
      </c>
      <c r="Q433" s="1340"/>
      <c r="S433" t="s">
        <v>189</v>
      </c>
      <c r="AE433" s="1340">
        <v>1</v>
      </c>
      <c r="AF433" s="1340"/>
    </row>
    <row r="434" spans="1:36" ht="12.95" customHeight="1">
      <c r="E434" t="s">
        <v>190</v>
      </c>
      <c r="P434" s="1340">
        <v>0</v>
      </c>
      <c r="Q434" s="1340"/>
      <c r="S434" t="s">
        <v>131</v>
      </c>
      <c r="AE434" s="1340" t="s">
        <v>545</v>
      </c>
      <c r="AF434" s="1340"/>
    </row>
    <row r="435" spans="1:36" ht="12.95" customHeight="1">
      <c r="F435" s="28" t="s">
        <v>132</v>
      </c>
    </row>
    <row r="436" spans="1:36" ht="12.95" customHeight="1">
      <c r="F436" s="1814" t="s">
        <v>2741</v>
      </c>
      <c r="G436" s="1814"/>
      <c r="H436" s="1814"/>
      <c r="I436" s="1814"/>
      <c r="J436" s="1814"/>
      <c r="K436" s="1814"/>
      <c r="L436" s="1814"/>
      <c r="M436" s="1814"/>
      <c r="N436" s="1814"/>
      <c r="O436" s="1814"/>
      <c r="P436" s="1814"/>
      <c r="Q436" s="1814"/>
      <c r="R436" s="1814"/>
      <c r="S436" s="1814"/>
      <c r="T436" s="1814"/>
      <c r="U436" s="1814"/>
      <c r="V436" s="1814"/>
      <c r="W436" s="1814"/>
      <c r="X436" s="1814"/>
      <c r="Y436" s="1814"/>
      <c r="Z436" s="1814"/>
      <c r="AA436" s="1814"/>
      <c r="AB436" s="1814"/>
      <c r="AC436" s="1814"/>
      <c r="AD436" s="1814"/>
      <c r="AE436" s="1814"/>
      <c r="AF436" s="1814"/>
      <c r="AG436" s="1814"/>
      <c r="AH436" s="1814"/>
    </row>
    <row r="437" spans="1:36" ht="12.95" customHeight="1">
      <c r="F437" s="1760"/>
      <c r="G437" s="1760"/>
      <c r="H437" s="1760"/>
      <c r="I437" s="1760"/>
      <c r="J437" s="1760"/>
      <c r="K437" s="1760"/>
      <c r="L437" s="1760"/>
      <c r="M437" s="1760"/>
      <c r="N437" s="1760"/>
      <c r="O437" s="1760"/>
      <c r="P437" s="1760"/>
      <c r="Q437" s="1760"/>
      <c r="R437" s="1760"/>
      <c r="S437" s="1760"/>
      <c r="T437" s="1760"/>
      <c r="U437" s="1760"/>
      <c r="V437" s="1760"/>
      <c r="W437" s="1760"/>
      <c r="X437" s="1760"/>
      <c r="Y437" s="1760"/>
      <c r="Z437" s="1760"/>
      <c r="AA437" s="1760"/>
      <c r="AB437" s="1760"/>
      <c r="AC437" s="1760"/>
      <c r="AD437" s="1760"/>
      <c r="AE437" s="1760"/>
      <c r="AF437" s="1760"/>
      <c r="AG437" s="1760"/>
      <c r="AH437" s="1760"/>
    </row>
    <row r="438" spans="1:36" ht="12.95" customHeight="1">
      <c r="E438" t="s">
        <v>608</v>
      </c>
      <c r="P438" s="1"/>
      <c r="Q438" s="1340" t="s">
        <v>545</v>
      </c>
      <c r="R438" s="1340"/>
    </row>
    <row r="439" spans="1:36" ht="12.95" customHeight="1">
      <c r="F439" t="s">
        <v>609</v>
      </c>
      <c r="P439" s="1"/>
      <c r="Q439" s="1"/>
      <c r="AF439" s="1340" t="s">
        <v>591</v>
      </c>
      <c r="AG439" s="1834"/>
    </row>
    <row r="440" spans="1:36" ht="12.95" customHeight="1"/>
    <row r="441" spans="1:36" ht="12.95" customHeight="1">
      <c r="A441" s="2"/>
      <c r="B441" s="2"/>
      <c r="C441" s="2"/>
      <c r="E441" s="4" t="s">
        <v>308</v>
      </c>
      <c r="Z441" s="1340" t="s">
        <v>669</v>
      </c>
      <c r="AA441" s="134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0" t="s">
        <v>591</v>
      </c>
      <c r="AA443" s="1340"/>
    </row>
    <row r="444" spans="1:36" ht="12.95" customHeight="1"/>
    <row r="445" spans="1:36" ht="12.95" customHeight="1">
      <c r="A445" s="2" t="s">
        <v>467</v>
      </c>
      <c r="B445" s="2"/>
      <c r="C445" s="2"/>
      <c r="D445" s="2" t="s">
        <v>764</v>
      </c>
      <c r="AF445" s="48"/>
    </row>
    <row r="446" spans="1:36" ht="12.95" customHeight="1">
      <c r="D446" s="1629" t="s">
        <v>43</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773"/>
      <c r="AG446" s="1783">
        <v>24</v>
      </c>
      <c r="AH446" s="1783"/>
      <c r="AI446" s="1783"/>
      <c r="AJ446" s="1783"/>
    </row>
    <row r="447" spans="1:36" ht="12.95" customHeight="1">
      <c r="D447" s="1751" t="s">
        <v>1222</v>
      </c>
      <c r="E447" s="1752"/>
      <c r="F447" s="1752"/>
      <c r="G447" s="1752"/>
      <c r="H447" s="1752"/>
      <c r="I447" s="1752"/>
      <c r="J447" s="1752"/>
      <c r="K447" s="1752"/>
      <c r="L447" s="1752"/>
      <c r="M447" s="1752"/>
      <c r="N447" s="1752"/>
      <c r="O447" s="1752"/>
      <c r="P447" s="1752"/>
      <c r="Q447" s="1752"/>
      <c r="R447" s="1752"/>
      <c r="S447" s="1752"/>
      <c r="T447" s="1752"/>
      <c r="U447" s="1752"/>
      <c r="V447" s="1752"/>
      <c r="W447" s="1752"/>
      <c r="X447" s="1752"/>
      <c r="Y447" s="1752"/>
      <c r="Z447" s="1752"/>
      <c r="AA447" s="1752"/>
      <c r="AB447" s="1752"/>
      <c r="AC447" s="1752"/>
      <c r="AD447" s="1752"/>
      <c r="AE447" s="1752"/>
      <c r="AF447" s="1753"/>
      <c r="AG447" s="1774">
        <v>0</v>
      </c>
      <c r="AH447" s="1385"/>
      <c r="AI447" s="1385"/>
      <c r="AJ447" s="1385"/>
    </row>
    <row r="448" spans="1:36" ht="12.95" customHeight="1">
      <c r="D448" s="1751" t="s">
        <v>1031</v>
      </c>
      <c r="E448" s="1752"/>
      <c r="F448" s="1752"/>
      <c r="G448" s="1752"/>
      <c r="H448" s="1752"/>
      <c r="I448" s="1752"/>
      <c r="J448" s="1752"/>
      <c r="K448" s="1752"/>
      <c r="L448" s="1752"/>
      <c r="M448" s="1752"/>
      <c r="N448" s="1752"/>
      <c r="O448" s="1752"/>
      <c r="P448" s="1752"/>
      <c r="Q448" s="1752"/>
      <c r="R448" s="1752"/>
      <c r="S448" s="1752"/>
      <c r="T448" s="1752"/>
      <c r="U448" s="1752"/>
      <c r="V448" s="1752"/>
      <c r="W448" s="1752"/>
      <c r="X448" s="1752"/>
      <c r="Y448" s="1752"/>
      <c r="Z448" s="1752"/>
      <c r="AA448" s="1752"/>
      <c r="AB448" s="1752"/>
      <c r="AC448" s="1752"/>
      <c r="AD448" s="1752"/>
      <c r="AE448" s="1752"/>
      <c r="AF448" s="1753"/>
      <c r="AG448" s="1783">
        <v>23</v>
      </c>
      <c r="AH448" s="1783"/>
      <c r="AI448" s="1783"/>
      <c r="AJ448" s="1783"/>
    </row>
    <row r="449" spans="4:55" ht="12.95" customHeight="1">
      <c r="D449" s="1751" t="s">
        <v>1032</v>
      </c>
      <c r="E449" s="1752"/>
      <c r="F449" s="1752"/>
      <c r="G449" s="1752"/>
      <c r="H449" s="1752"/>
      <c r="I449" s="1752"/>
      <c r="J449" s="1752"/>
      <c r="K449" s="1752"/>
      <c r="L449" s="1752"/>
      <c r="M449" s="1752"/>
      <c r="N449" s="1752"/>
      <c r="O449" s="1752"/>
      <c r="P449" s="1752"/>
      <c r="Q449" s="1752"/>
      <c r="R449" s="1752"/>
      <c r="S449" s="1752"/>
      <c r="T449" s="1752"/>
      <c r="U449" s="1752"/>
      <c r="V449" s="1752"/>
      <c r="W449" s="1752"/>
      <c r="X449" s="1752"/>
      <c r="Y449" s="1752"/>
      <c r="Z449" s="1752"/>
      <c r="AA449" s="1752"/>
      <c r="AB449" s="1752"/>
      <c r="AC449" s="1752"/>
      <c r="AD449" s="1752"/>
      <c r="AE449" s="1752"/>
      <c r="AF449" s="1753"/>
      <c r="AG449" s="1783">
        <v>23</v>
      </c>
      <c r="AH449" s="1783"/>
      <c r="AI449" s="1783"/>
      <c r="AJ449" s="1783"/>
    </row>
    <row r="450" spans="4:55" ht="12.95" customHeight="1">
      <c r="D450" s="1751" t="s">
        <v>1034</v>
      </c>
      <c r="E450" s="1752"/>
      <c r="F450" s="1752"/>
      <c r="G450" s="1752"/>
      <c r="H450" s="1752"/>
      <c r="I450" s="1752"/>
      <c r="J450" s="1752"/>
      <c r="K450" s="1752"/>
      <c r="L450" s="1752"/>
      <c r="M450" s="1752"/>
      <c r="N450" s="1752"/>
      <c r="O450" s="1752"/>
      <c r="P450" s="1752"/>
      <c r="Q450" s="1752"/>
      <c r="R450" s="1752"/>
      <c r="S450" s="1752"/>
      <c r="T450" s="1752"/>
      <c r="U450" s="1752"/>
      <c r="V450" s="1752"/>
      <c r="W450" s="1752"/>
      <c r="X450" s="1752"/>
      <c r="Y450" s="1752"/>
      <c r="Z450" s="1752"/>
      <c r="AA450" s="1752"/>
      <c r="AB450" s="1752"/>
      <c r="AC450" s="1752"/>
      <c r="AD450" s="1752"/>
      <c r="AE450" s="1752"/>
      <c r="AF450" s="1753"/>
      <c r="AG450" s="1832">
        <f>IF(ISERROR(AG449/AG448),0,AG449/AG448)</f>
        <v>1</v>
      </c>
      <c r="AH450" s="1832"/>
      <c r="AI450" s="1832"/>
      <c r="AJ450" s="1832"/>
    </row>
    <row r="451" spans="4:55" ht="12.95" customHeight="1">
      <c r="D451" s="1751" t="s">
        <v>1033</v>
      </c>
      <c r="E451" s="1752"/>
      <c r="F451" s="1752"/>
      <c r="G451" s="1752"/>
      <c r="H451" s="1752"/>
      <c r="I451" s="1752"/>
      <c r="J451" s="1752"/>
      <c r="K451" s="1752"/>
      <c r="L451" s="1752"/>
      <c r="M451" s="1752"/>
      <c r="N451" s="1752"/>
      <c r="O451" s="1752"/>
      <c r="P451" s="1752"/>
      <c r="Q451" s="1752"/>
      <c r="R451" s="1752"/>
      <c r="S451" s="1752"/>
      <c r="T451" s="1752"/>
      <c r="U451" s="1752"/>
      <c r="V451" s="1752"/>
      <c r="W451" s="1752"/>
      <c r="X451" s="1752"/>
      <c r="Y451" s="1752"/>
      <c r="Z451" s="1752"/>
      <c r="AA451" s="1752"/>
      <c r="AB451" s="1752"/>
      <c r="AC451" s="1752"/>
      <c r="AD451" s="1752"/>
      <c r="AE451" s="1752"/>
      <c r="AF451" s="1753"/>
      <c r="AG451" s="1762">
        <v>20000</v>
      </c>
      <c r="AH451" s="1762"/>
      <c r="AI451" s="1762"/>
      <c r="AJ451" s="1762"/>
    </row>
    <row r="452" spans="4:55" ht="12.95" customHeight="1">
      <c r="D452" s="1751" t="s">
        <v>1035</v>
      </c>
      <c r="E452" s="1752"/>
      <c r="F452" s="1752"/>
      <c r="G452" s="1752"/>
      <c r="H452" s="1752"/>
      <c r="I452" s="1752"/>
      <c r="J452" s="1752"/>
      <c r="K452" s="1752"/>
      <c r="L452" s="1752"/>
      <c r="M452" s="1752"/>
      <c r="N452" s="1752"/>
      <c r="O452" s="1752"/>
      <c r="P452" s="1752"/>
      <c r="Q452" s="1752"/>
      <c r="R452" s="1752"/>
      <c r="S452" s="1752"/>
      <c r="T452" s="1752"/>
      <c r="U452" s="1752"/>
      <c r="V452" s="1752"/>
      <c r="W452" s="1752"/>
      <c r="X452" s="1752"/>
      <c r="Y452" s="1752"/>
      <c r="Z452" s="1752"/>
      <c r="AA452" s="1752"/>
      <c r="AB452" s="1752"/>
      <c r="AC452" s="1752"/>
      <c r="AD452" s="1752"/>
      <c r="AE452" s="1752"/>
      <c r="AF452" s="1753"/>
      <c r="AG452" s="1762">
        <v>20000</v>
      </c>
      <c r="AH452" s="1762"/>
      <c r="AI452" s="1762"/>
      <c r="AJ452" s="1762"/>
    </row>
    <row r="453" spans="4:55" ht="12.95" customHeight="1">
      <c r="D453" s="1751" t="s">
        <v>1036</v>
      </c>
      <c r="E453" s="1752"/>
      <c r="F453" s="1752"/>
      <c r="G453" s="1752"/>
      <c r="H453" s="1752"/>
      <c r="I453" s="1752"/>
      <c r="J453" s="1752"/>
      <c r="K453" s="1752"/>
      <c r="L453" s="1752"/>
      <c r="M453" s="1752"/>
      <c r="N453" s="1752"/>
      <c r="O453" s="1752"/>
      <c r="P453" s="1752"/>
      <c r="Q453" s="1752"/>
      <c r="R453" s="1752"/>
      <c r="S453" s="1752"/>
      <c r="T453" s="1752"/>
      <c r="U453" s="1752"/>
      <c r="V453" s="1752"/>
      <c r="W453" s="1752"/>
      <c r="X453" s="1752"/>
      <c r="Y453" s="1752"/>
      <c r="Z453" s="1752"/>
      <c r="AA453" s="1752"/>
      <c r="AB453" s="1752"/>
      <c r="AC453" s="1752"/>
      <c r="AD453" s="1752"/>
      <c r="AE453" s="1752"/>
      <c r="AF453" s="1753"/>
      <c r="AG453" s="1832">
        <f>IF(ISERROR(AG452/AG451),0,AG452/AG451)</f>
        <v>1</v>
      </c>
      <c r="AH453" s="1832"/>
      <c r="AI453" s="1832"/>
      <c r="AJ453" s="1832"/>
    </row>
    <row r="454" spans="4:55" ht="12.95" customHeight="1">
      <c r="D454" s="1751" t="s">
        <v>1037</v>
      </c>
      <c r="E454" s="1752"/>
      <c r="F454" s="1752"/>
      <c r="G454" s="1752"/>
      <c r="H454" s="1752"/>
      <c r="I454" s="1752"/>
      <c r="J454" s="1752"/>
      <c r="K454" s="1752"/>
      <c r="L454" s="1752"/>
      <c r="M454" s="1752"/>
      <c r="N454" s="1752"/>
      <c r="O454" s="1752"/>
      <c r="P454" s="1752"/>
      <c r="Q454" s="1752"/>
      <c r="R454" s="1752"/>
      <c r="S454" s="1752"/>
      <c r="T454" s="1752"/>
      <c r="U454" s="1752"/>
      <c r="V454" s="1752"/>
      <c r="W454" s="1752"/>
      <c r="X454" s="1752"/>
      <c r="Y454" s="1752"/>
      <c r="Z454" s="1752"/>
      <c r="AA454" s="1752"/>
      <c r="AB454" s="1752"/>
      <c r="AC454" s="1752"/>
      <c r="AD454" s="1752"/>
      <c r="AE454" s="1752"/>
      <c r="AF454" s="1753"/>
      <c r="AG454" s="1832">
        <f>MIN(IF(AG450&gt;AG453,AG453,AG450),1)</f>
        <v>1</v>
      </c>
      <c r="AH454" s="1832"/>
      <c r="AI454" s="1832"/>
      <c r="AJ454" s="1832"/>
    </row>
    <row r="455" spans="4:55" ht="12.95" customHeight="1">
      <c r="D455" s="1751" t="s">
        <v>2044</v>
      </c>
      <c r="E455" s="1630"/>
      <c r="F455" s="1630"/>
      <c r="G455" s="1630"/>
      <c r="H455" s="1630"/>
      <c r="I455" s="1630"/>
      <c r="J455" s="1630"/>
      <c r="K455" s="1630"/>
      <c r="L455" s="1630"/>
      <c r="M455" s="1630"/>
      <c r="N455" s="1630"/>
      <c r="O455" s="1630"/>
      <c r="P455" s="1630"/>
      <c r="Q455" s="1630"/>
      <c r="R455" s="1630"/>
      <c r="S455" s="1630"/>
      <c r="T455" s="1630"/>
      <c r="U455" s="1630"/>
      <c r="V455" s="1630"/>
      <c r="W455" s="1630"/>
      <c r="X455" s="1630"/>
      <c r="Y455" s="1630"/>
      <c r="Z455" s="1630"/>
      <c r="AA455" s="1630"/>
      <c r="AB455" s="1630"/>
      <c r="AC455" s="1630"/>
      <c r="AD455" s="1630"/>
      <c r="AE455" s="1630"/>
      <c r="AF455" s="1773"/>
      <c r="AG455" s="1762">
        <v>17792</v>
      </c>
      <c r="AH455" s="1762"/>
      <c r="AI455" s="1762"/>
      <c r="AJ455" s="1762"/>
      <c r="AZ455" s="34"/>
      <c r="BA455" s="34"/>
      <c r="BB455" s="34"/>
      <c r="BC455" s="34"/>
    </row>
    <row r="456" spans="4:55" ht="12.95" customHeight="1">
      <c r="D456" s="1629" t="s">
        <v>569</v>
      </c>
      <c r="E456" s="1630"/>
      <c r="F456" s="1630"/>
      <c r="G456" s="1630"/>
      <c r="H456" s="1630"/>
      <c r="I456" s="1630"/>
      <c r="J456" s="1630"/>
      <c r="K456" s="1630"/>
      <c r="L456" s="1630"/>
      <c r="M456" s="1630"/>
      <c r="N456" s="1630"/>
      <c r="O456" s="1630"/>
      <c r="P456" s="1630"/>
      <c r="Q456" s="1630"/>
      <c r="R456" s="1630"/>
      <c r="S456" s="1630"/>
      <c r="T456" s="1630"/>
      <c r="U456" s="1630"/>
      <c r="V456" s="1630"/>
      <c r="W456" s="1630"/>
      <c r="X456" s="1630"/>
      <c r="Y456" s="1630"/>
      <c r="Z456" s="1630"/>
      <c r="AA456" s="1630"/>
      <c r="AB456" s="1630"/>
      <c r="AC456" s="1630"/>
      <c r="AD456" s="1630"/>
      <c r="AE456" s="1630"/>
      <c r="AF456" s="1773"/>
      <c r="AG456" s="1762">
        <v>13957</v>
      </c>
      <c r="AH456" s="1762"/>
      <c r="AI456" s="1762"/>
      <c r="AJ456" s="1762"/>
      <c r="AZ456" s="3"/>
      <c r="BA456" s="3"/>
      <c r="BB456" s="3"/>
      <c r="BC456" s="3"/>
    </row>
    <row r="457" spans="4:55" ht="12.95" customHeight="1">
      <c r="D457" s="1751" t="s">
        <v>1205</v>
      </c>
      <c r="E457" s="1630"/>
      <c r="F457" s="1630"/>
      <c r="G457" s="1630"/>
      <c r="H457" s="1630"/>
      <c r="I457" s="1630"/>
      <c r="J457" s="1630"/>
      <c r="K457" s="1630"/>
      <c r="L457" s="1630"/>
      <c r="M457" s="1630"/>
      <c r="N457" s="1630"/>
      <c r="O457" s="1630"/>
      <c r="P457" s="1630"/>
      <c r="Q457" s="1630"/>
      <c r="R457" s="1630"/>
      <c r="S457" s="1630"/>
      <c r="T457" s="1630"/>
      <c r="U457" s="1630"/>
      <c r="V457" s="1630"/>
      <c r="W457" s="1630"/>
      <c r="X457" s="1630"/>
      <c r="Y457" s="1630"/>
      <c r="Z457" s="1630"/>
      <c r="AA457" s="1630"/>
      <c r="AB457" s="1630"/>
      <c r="AC457" s="1630"/>
      <c r="AD457" s="1630"/>
      <c r="AE457" s="1630"/>
      <c r="AF457" s="1773"/>
      <c r="AG457" s="1762">
        <f>AG455+665</f>
        <v>18457</v>
      </c>
      <c r="AH457" s="1762"/>
      <c r="AI457" s="1762"/>
      <c r="AJ457" s="1762"/>
      <c r="AZ457" s="3"/>
      <c r="BA457" s="3"/>
      <c r="BB457" s="3"/>
      <c r="BC457" s="3"/>
    </row>
    <row r="458" spans="4:55" ht="12.95" customHeight="1">
      <c r="D458" s="1751" t="s">
        <v>1038</v>
      </c>
      <c r="E458" s="1630"/>
      <c r="F458" s="1630"/>
      <c r="G458" s="1630"/>
      <c r="H458" s="1630"/>
      <c r="I458" s="1630"/>
      <c r="J458" s="1630"/>
      <c r="K458" s="1630"/>
      <c r="L458" s="1630"/>
      <c r="M458" s="1630"/>
      <c r="N458" s="1630"/>
      <c r="O458" s="1630"/>
      <c r="P458" s="1630"/>
      <c r="Q458" s="1630"/>
      <c r="R458" s="1630"/>
      <c r="S458" s="1630"/>
      <c r="T458" s="1630"/>
      <c r="U458" s="1630"/>
      <c r="V458" s="1630"/>
      <c r="W458" s="1630"/>
      <c r="X458" s="1630"/>
      <c r="Y458" s="1630"/>
      <c r="Z458" s="1630"/>
      <c r="AA458" s="1630"/>
      <c r="AB458" s="1630"/>
      <c r="AC458" s="1630"/>
      <c r="AD458" s="1630"/>
      <c r="AE458" s="1630"/>
      <c r="AF458" s="1773"/>
      <c r="AG458" s="1762">
        <v>0</v>
      </c>
      <c r="AH458" s="1762"/>
      <c r="AI458" s="1762"/>
      <c r="AJ458" s="1762"/>
      <c r="BB458" s="3"/>
      <c r="BC458" s="3"/>
    </row>
    <row r="459" spans="4:55" ht="12.95" customHeight="1">
      <c r="D459" s="1777" t="s">
        <v>1039</v>
      </c>
      <c r="E459" s="1778"/>
      <c r="F459" s="1778"/>
      <c r="G459" s="1778"/>
      <c r="H459" s="1778"/>
      <c r="I459" s="1778"/>
      <c r="J459" s="1778"/>
      <c r="K459" s="1778"/>
      <c r="L459" s="1778"/>
      <c r="M459" s="1778"/>
      <c r="N459" s="1778"/>
      <c r="O459" s="1778"/>
      <c r="P459" s="1778"/>
      <c r="Q459" s="1778"/>
      <c r="R459" s="1778"/>
      <c r="S459" s="1778"/>
      <c r="T459" s="1778"/>
      <c r="U459" s="1778"/>
      <c r="V459" s="1778"/>
      <c r="W459" s="1778"/>
      <c r="X459" s="1778"/>
      <c r="Y459" s="1778"/>
      <c r="Z459" s="1778"/>
      <c r="AA459" s="1778"/>
      <c r="AB459" s="1778"/>
      <c r="AC459" s="1778"/>
      <c r="AD459" s="1778"/>
      <c r="AE459" s="1778"/>
      <c r="AF459" s="1779"/>
      <c r="AG459" s="1831">
        <f>AG451+AG455+AG457+AG458</f>
        <v>56249</v>
      </c>
      <c r="AH459" s="1831"/>
      <c r="AI459" s="1831"/>
      <c r="AJ459" s="1831"/>
      <c r="AZ459" s="3"/>
      <c r="BA459" s="3"/>
      <c r="BB459" s="3"/>
      <c r="BC459" s="3"/>
    </row>
    <row r="460" spans="4:55" ht="12.95" customHeight="1">
      <c r="D460" s="1754" t="s">
        <v>1206</v>
      </c>
      <c r="E460" s="1754"/>
      <c r="F460" s="1754"/>
      <c r="G460" s="1754"/>
      <c r="H460" s="1754"/>
      <c r="I460" s="1754"/>
      <c r="J460" s="1754"/>
      <c r="K460" s="1754"/>
      <c r="L460" s="1754"/>
      <c r="M460" s="1754"/>
      <c r="N460" s="1754"/>
      <c r="O460" s="1754"/>
      <c r="P460" s="1754"/>
      <c r="Q460" s="1754"/>
      <c r="R460" s="1754"/>
      <c r="S460" s="1754"/>
      <c r="T460" s="1754"/>
      <c r="U460" s="1754"/>
      <c r="V460" s="1754"/>
      <c r="W460" s="1754"/>
      <c r="X460" s="1754"/>
      <c r="Y460" s="1754"/>
      <c r="Z460" s="1754"/>
      <c r="AA460" s="1754"/>
      <c r="AB460" s="1754"/>
      <c r="AC460" s="1754"/>
      <c r="AD460" s="1754"/>
      <c r="AE460" s="1754"/>
      <c r="AF460" s="1754"/>
      <c r="AG460" s="1754"/>
      <c r="AH460" s="1754"/>
      <c r="AI460" s="1754"/>
      <c r="AJ460" s="1754"/>
      <c r="AZ460" s="3"/>
      <c r="BA460" s="3"/>
      <c r="BB460" s="3"/>
      <c r="BC460" s="3"/>
    </row>
    <row r="461" spans="4:55" ht="12.95" customHeight="1">
      <c r="D461" s="1755"/>
      <c r="E461" s="1755"/>
      <c r="F461" s="1755"/>
      <c r="G461" s="1755"/>
      <c r="H461" s="1755"/>
      <c r="I461" s="1755"/>
      <c r="J461" s="1755"/>
      <c r="K461" s="1755"/>
      <c r="L461" s="1755"/>
      <c r="M461" s="1755"/>
      <c r="N461" s="1755"/>
      <c r="O461" s="1755"/>
      <c r="P461" s="1755"/>
      <c r="Q461" s="1755"/>
      <c r="R461" s="1755"/>
      <c r="S461" s="1755"/>
      <c r="T461" s="1755"/>
      <c r="U461" s="1755"/>
      <c r="V461" s="1755"/>
      <c r="W461" s="1755"/>
      <c r="X461" s="1755"/>
      <c r="Y461" s="1755"/>
      <c r="Z461" s="1755"/>
      <c r="AA461" s="1755"/>
      <c r="AB461" s="1755"/>
      <c r="AC461" s="1755"/>
      <c r="AD461" s="1755"/>
      <c r="AE461" s="1755"/>
      <c r="AF461" s="1755"/>
      <c r="AG461" s="1755"/>
      <c r="AH461" s="1755"/>
      <c r="AI461" s="1755"/>
      <c r="AJ461" s="1755"/>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3">
        <f>IF(AG446=0,"",'Sources and Uses Budget'!B105/Application!AG446)</f>
        <v>2176261.0833333335</v>
      </c>
      <c r="AD463" s="1763"/>
      <c r="AE463" s="1763"/>
      <c r="AF463" s="1763"/>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3">
        <f>IF(AG446=0,"",'Sources and Uses Budget'!C105/Application!AG446)</f>
        <v>1253588</v>
      </c>
      <c r="AD464" s="1763"/>
      <c r="AE464" s="1763"/>
      <c r="AF464" s="1763"/>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3">
        <f>IF(AG446=0,"",('Sources and Uses Budget'!$S$107+'Sources and Uses Budget'!$T$107)/Application!AG446)</f>
        <v>1174468.9166666667</v>
      </c>
      <c r="AD465" s="1763"/>
      <c r="AE465" s="1763"/>
      <c r="AF465" s="1763"/>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826" t="s">
        <v>2056</v>
      </c>
      <c r="E473" s="1749"/>
      <c r="F473" s="1749"/>
      <c r="G473" s="1749"/>
      <c r="H473" s="1749"/>
      <c r="I473" s="1749"/>
      <c r="J473" s="1749"/>
      <c r="K473" s="1749"/>
      <c r="L473" s="1749"/>
      <c r="M473" s="1749"/>
      <c r="N473" s="1749"/>
      <c r="O473" s="1749"/>
      <c r="P473" s="1749"/>
      <c r="Q473" s="1749"/>
      <c r="R473" s="1749"/>
      <c r="S473" s="1749"/>
      <c r="T473" s="1749"/>
      <c r="U473" s="1749"/>
      <c r="V473" s="1750"/>
      <c r="W473" s="1526">
        <v>23</v>
      </c>
      <c r="X473" s="1527"/>
      <c r="Y473" s="152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48" t="s">
        <v>693</v>
      </c>
      <c r="E474" s="1749"/>
      <c r="F474" s="1749"/>
      <c r="G474" s="1749"/>
      <c r="H474" s="1749"/>
      <c r="I474" s="1749"/>
      <c r="J474" s="1749"/>
      <c r="K474" s="1749"/>
      <c r="L474" s="1749"/>
      <c r="M474" s="1749"/>
      <c r="N474" s="1749"/>
      <c r="O474" s="1749"/>
      <c r="P474" s="1749"/>
      <c r="Q474" s="1749"/>
      <c r="R474" s="1749"/>
      <c r="S474" s="1749"/>
      <c r="T474" s="1749"/>
      <c r="U474" s="1749"/>
      <c r="V474" s="1750"/>
      <c r="W474" s="1526">
        <v>0</v>
      </c>
      <c r="X474" s="1527"/>
      <c r="Y474" s="152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48" t="s">
        <v>694</v>
      </c>
      <c r="E475" s="1749"/>
      <c r="F475" s="1749"/>
      <c r="G475" s="1749"/>
      <c r="H475" s="1749"/>
      <c r="I475" s="1749"/>
      <c r="J475" s="1749"/>
      <c r="K475" s="1749"/>
      <c r="L475" s="1749"/>
      <c r="M475" s="1749"/>
      <c r="N475" s="1749"/>
      <c r="O475" s="1749"/>
      <c r="P475" s="1749"/>
      <c r="Q475" s="1749"/>
      <c r="R475" s="1749"/>
      <c r="S475" s="1749"/>
      <c r="T475" s="1749"/>
      <c r="U475" s="1749"/>
      <c r="V475" s="1750"/>
      <c r="W475" s="1526">
        <v>0</v>
      </c>
      <c r="X475" s="1527"/>
      <c r="Y475" s="152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48" t="s">
        <v>695</v>
      </c>
      <c r="E476" s="1749"/>
      <c r="F476" s="1749"/>
      <c r="G476" s="1749"/>
      <c r="H476" s="1749"/>
      <c r="I476" s="1749"/>
      <c r="J476" s="1749"/>
      <c r="K476" s="1749"/>
      <c r="L476" s="1749"/>
      <c r="M476" s="1749"/>
      <c r="N476" s="1749"/>
      <c r="O476" s="1749"/>
      <c r="P476" s="1749"/>
      <c r="Q476" s="1749"/>
      <c r="R476" s="1749"/>
      <c r="S476" s="1749"/>
      <c r="T476" s="1749"/>
      <c r="U476" s="1749"/>
      <c r="V476" s="1750"/>
      <c r="W476" s="1526">
        <v>0</v>
      </c>
      <c r="X476" s="1527"/>
      <c r="Y476" s="152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48" t="s">
        <v>881</v>
      </c>
      <c r="E477" s="1749"/>
      <c r="F477" s="1749"/>
      <c r="G477" s="1749"/>
      <c r="H477" s="1749"/>
      <c r="I477" s="1749"/>
      <c r="J477" s="1749"/>
      <c r="K477" s="1749"/>
      <c r="L477" s="1749"/>
      <c r="M477" s="1749"/>
      <c r="N477" s="1749"/>
      <c r="O477" s="1749"/>
      <c r="P477" s="1749"/>
      <c r="Q477" s="1749"/>
      <c r="R477" s="1749"/>
      <c r="S477" s="1749"/>
      <c r="T477" s="1749"/>
      <c r="U477" s="1749"/>
      <c r="V477" s="1750"/>
      <c r="W477" s="1526">
        <v>0</v>
      </c>
      <c r="X477" s="1527"/>
      <c r="Y477" s="152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48" t="s">
        <v>696</v>
      </c>
      <c r="E478" s="1749"/>
      <c r="F478" s="1749"/>
      <c r="G478" s="1749"/>
      <c r="H478" s="1749"/>
      <c r="I478" s="1749"/>
      <c r="J478" s="1749"/>
      <c r="K478" s="1749"/>
      <c r="L478" s="1749"/>
      <c r="M478" s="1749"/>
      <c r="N478" s="1749"/>
      <c r="O478" s="1749"/>
      <c r="P478" s="1749"/>
      <c r="Q478" s="1749"/>
      <c r="R478" s="1749"/>
      <c r="S478" s="1749"/>
      <c r="T478" s="1749"/>
      <c r="U478" s="1749"/>
      <c r="V478" s="1750"/>
      <c r="W478" s="1526">
        <v>0</v>
      </c>
      <c r="X478" s="1527"/>
      <c r="Y478" s="152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48" t="s">
        <v>1012</v>
      </c>
      <c r="E479" s="1749"/>
      <c r="F479" s="1749"/>
      <c r="G479" s="1749"/>
      <c r="H479" s="1749"/>
      <c r="I479" s="1749"/>
      <c r="J479" s="1749"/>
      <c r="K479" s="1749"/>
      <c r="L479" s="1749"/>
      <c r="M479" s="1749"/>
      <c r="N479" s="1749"/>
      <c r="O479" s="1749"/>
      <c r="P479" s="1749"/>
      <c r="Q479" s="1749"/>
      <c r="R479" s="1749"/>
      <c r="S479" s="1749"/>
      <c r="T479" s="1749"/>
      <c r="U479" s="1749"/>
      <c r="V479" s="1750"/>
      <c r="W479" s="1526">
        <v>0</v>
      </c>
      <c r="X479" s="1527"/>
      <c r="Y479" s="152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826" t="s">
        <v>2146</v>
      </c>
      <c r="E480" s="1856"/>
      <c r="F480" s="1856"/>
      <c r="G480" s="1856"/>
      <c r="H480" s="1856"/>
      <c r="I480" s="1856"/>
      <c r="J480" s="1856"/>
      <c r="K480" s="1856"/>
      <c r="L480" s="1856"/>
      <c r="M480" s="1856"/>
      <c r="N480" s="1856"/>
      <c r="O480" s="1856"/>
      <c r="P480" s="1856"/>
      <c r="Q480" s="1856"/>
      <c r="R480" s="1856"/>
      <c r="S480" s="1856"/>
      <c r="T480" s="1856"/>
      <c r="U480" s="1856"/>
      <c r="V480" s="1857"/>
      <c r="W480" s="1526">
        <v>23</v>
      </c>
      <c r="X480" s="1527"/>
      <c r="Y480" s="152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826" t="s">
        <v>1643</v>
      </c>
      <c r="E481" s="1749"/>
      <c r="F481" s="1749"/>
      <c r="G481" s="1749"/>
      <c r="H481" s="1749"/>
      <c r="I481" s="1749"/>
      <c r="J481" s="1749"/>
      <c r="K481" s="1749"/>
      <c r="L481" s="1749"/>
      <c r="M481" s="1749"/>
      <c r="N481" s="1749"/>
      <c r="O481" s="1749"/>
      <c r="P481" s="1749"/>
      <c r="Q481" s="1749"/>
      <c r="R481" s="1749"/>
      <c r="S481" s="1749"/>
      <c r="T481" s="1749"/>
      <c r="U481" s="1749"/>
      <c r="V481" s="1750"/>
      <c r="W481" s="1526">
        <v>6</v>
      </c>
      <c r="X481" s="1527"/>
      <c r="Y481" s="152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0"/>
      <c r="H482" s="1841"/>
      <c r="I482" s="1841"/>
      <c r="J482" s="1841"/>
      <c r="K482" s="1841"/>
      <c r="L482" s="1841"/>
      <c r="M482" s="1841"/>
      <c r="N482" s="1841"/>
      <c r="O482" s="1841"/>
      <c r="P482" s="1841"/>
      <c r="Q482" s="1841"/>
      <c r="R482" s="1841"/>
      <c r="S482" s="1841"/>
      <c r="T482" s="1841"/>
      <c r="U482" s="1841"/>
      <c r="V482" s="1842"/>
      <c r="W482" s="1526">
        <v>0</v>
      </c>
      <c r="X482" s="1527"/>
      <c r="Y482" s="152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f>AG607</f>
        <v>0</v>
      </c>
      <c r="BB487" s="3"/>
      <c r="BC487" s="3"/>
    </row>
    <row r="488" spans="1:55" ht="12.95" customHeight="1">
      <c r="A488" s="1411" t="s">
        <v>810</v>
      </c>
      <c r="B488" s="1411"/>
      <c r="C488" s="1411"/>
      <c r="D488" s="1411"/>
      <c r="E488" s="1411"/>
      <c r="F488" s="1411"/>
      <c r="G488" s="1411"/>
      <c r="H488" s="1411"/>
      <c r="I488" s="1411"/>
      <c r="J488" s="1411"/>
      <c r="K488" s="1411"/>
      <c r="L488" s="1411"/>
      <c r="M488" s="1411"/>
      <c r="N488" s="1411"/>
      <c r="O488" s="1411"/>
      <c r="P488" s="1411"/>
      <c r="Q488" s="1411"/>
      <c r="R488" s="1411"/>
      <c r="S488" s="1411"/>
      <c r="T488" s="1411"/>
      <c r="U488" s="1411"/>
      <c r="V488" s="1411"/>
      <c r="W488" s="1411"/>
      <c r="X488" s="1411"/>
      <c r="Y488" s="1411"/>
      <c r="Z488" s="1411"/>
      <c r="AA488" s="1411"/>
      <c r="AB488" s="1411"/>
      <c r="AC488" s="1411"/>
      <c r="AD488" s="1411"/>
      <c r="AE488" s="1411"/>
      <c r="AF488" s="1411"/>
      <c r="AG488" s="1411"/>
      <c r="AH488" s="1411"/>
      <c r="AI488" s="1411"/>
      <c r="AJ488" s="1411"/>
      <c r="AK488" s="1411"/>
      <c r="AL488" s="1411"/>
      <c r="AM488" s="1411"/>
      <c r="AN488" s="1411"/>
      <c r="AO488" s="1411"/>
      <c r="AP488" s="1411"/>
      <c r="AQ488" s="1411"/>
      <c r="AR488" s="1411"/>
      <c r="AS488" s="1411"/>
      <c r="AT488" s="1411"/>
      <c r="AU488" s="95"/>
      <c r="AV488" s="95"/>
      <c r="AW488" s="95"/>
      <c r="AX488" s="95"/>
      <c r="AY488" s="95"/>
      <c r="AZ488" s="3"/>
      <c r="BB488" s="3"/>
      <c r="BC488" s="3"/>
    </row>
    <row r="489" spans="1:55" ht="12.95" customHeight="1">
      <c r="A489" s="1411"/>
      <c r="B489" s="1411"/>
      <c r="C489" s="1411"/>
      <c r="D489" s="1411"/>
      <c r="E489" s="1411"/>
      <c r="F489" s="1411"/>
      <c r="G489" s="1411"/>
      <c r="H489" s="1411"/>
      <c r="I489" s="1411"/>
      <c r="J489" s="1411"/>
      <c r="K489" s="1411"/>
      <c r="L489" s="1411"/>
      <c r="M489" s="1411"/>
      <c r="N489" s="1411"/>
      <c r="O489" s="1411"/>
      <c r="P489" s="1411"/>
      <c r="Q489" s="1411"/>
      <c r="R489" s="1411"/>
      <c r="S489" s="1411"/>
      <c r="T489" s="1411"/>
      <c r="U489" s="1411"/>
      <c r="V489" s="1411"/>
      <c r="W489" s="1411"/>
      <c r="X489" s="1411"/>
      <c r="Y489" s="1411"/>
      <c r="Z489" s="1411"/>
      <c r="AA489" s="1411"/>
      <c r="AB489" s="1411"/>
      <c r="AC489" s="1411"/>
      <c r="AD489" s="1411"/>
      <c r="AE489" s="1411"/>
      <c r="AF489" s="1411"/>
      <c r="AG489" s="1411"/>
      <c r="AH489" s="1411"/>
      <c r="AI489" s="1411"/>
      <c r="AJ489" s="1411"/>
      <c r="AK489" s="1411"/>
      <c r="AL489" s="1411"/>
      <c r="AM489" s="1411"/>
      <c r="AN489" s="1411"/>
      <c r="AO489" s="1411"/>
      <c r="AP489" s="1411"/>
      <c r="AQ489" s="1411"/>
      <c r="AR489" s="1411"/>
      <c r="AS489" s="1411"/>
      <c r="AT489" s="141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829" t="s">
        <v>393</v>
      </c>
      <c r="R493" s="1830"/>
      <c r="S493" s="1830"/>
      <c r="T493" s="1830"/>
      <c r="U493" s="1830"/>
      <c r="V493" s="1830"/>
      <c r="W493" s="1830"/>
      <c r="X493" s="1830"/>
      <c r="Y493" s="1830"/>
      <c r="Z493" s="1830"/>
      <c r="AA493" s="1830"/>
      <c r="AB493" s="1830"/>
      <c r="AC493" s="1830"/>
      <c r="AD493" s="1830"/>
      <c r="AE493" s="1830"/>
      <c r="AF493" s="1830"/>
      <c r="AG493" s="1830"/>
      <c r="AH493" s="1830"/>
      <c r="AI493" s="1830"/>
      <c r="AJ493" s="1830"/>
      <c r="AK493" s="1855"/>
      <c r="AZ493" s="3"/>
      <c r="BB493" s="3"/>
      <c r="BC493" s="3"/>
    </row>
    <row r="494" spans="1:55" ht="12.95" customHeight="1">
      <c r="B494" s="45" t="s">
        <v>394</v>
      </c>
      <c r="C494" s="5"/>
      <c r="D494" s="5"/>
      <c r="E494" s="5"/>
      <c r="F494" s="5"/>
      <c r="G494" s="5"/>
      <c r="H494" s="5"/>
      <c r="I494" s="5"/>
      <c r="J494" s="5"/>
      <c r="K494" s="5"/>
      <c r="L494" s="5"/>
      <c r="M494" s="5"/>
      <c r="N494" s="5"/>
      <c r="O494" s="5"/>
      <c r="P494" s="5"/>
      <c r="Q494" s="1618" t="s">
        <v>2762</v>
      </c>
      <c r="R494" s="1485"/>
      <c r="S494" s="1485"/>
      <c r="T494" s="1485"/>
      <c r="U494" s="1485"/>
      <c r="V494" s="1485"/>
      <c r="W494" s="1485"/>
      <c r="X494" s="1485"/>
      <c r="Y494" s="1485"/>
      <c r="Z494" s="1485"/>
      <c r="AA494" s="1485"/>
      <c r="AB494" s="1485"/>
      <c r="AC494" s="1485"/>
      <c r="AD494" s="1485"/>
      <c r="AE494" s="1485"/>
      <c r="AF494" s="1485"/>
      <c r="AG494" s="1485"/>
      <c r="AH494" s="1485"/>
      <c r="AI494" s="1485"/>
      <c r="AJ494" s="1485"/>
      <c r="AK494" s="1619"/>
      <c r="AZ494" s="3"/>
      <c r="BB494" s="3"/>
      <c r="BC494" s="3"/>
    </row>
    <row r="495" spans="1:55" ht="12.95" customHeight="1">
      <c r="B495" s="45" t="s">
        <v>395</v>
      </c>
      <c r="C495" s="5"/>
      <c r="D495" s="5"/>
      <c r="E495" s="5"/>
      <c r="F495" s="5"/>
      <c r="G495" s="5"/>
      <c r="H495" s="5"/>
      <c r="I495" s="5"/>
      <c r="J495" s="5"/>
      <c r="K495" s="5"/>
      <c r="L495" s="5"/>
      <c r="M495" s="5"/>
      <c r="N495" s="5"/>
      <c r="O495" s="5"/>
      <c r="P495" s="5"/>
      <c r="Q495" s="1618" t="s">
        <v>2762</v>
      </c>
      <c r="R495" s="1485"/>
      <c r="S495" s="1485"/>
      <c r="T495" s="1485"/>
      <c r="U495" s="1485"/>
      <c r="V495" s="1485"/>
      <c r="W495" s="1485"/>
      <c r="X495" s="1485"/>
      <c r="Y495" s="1485"/>
      <c r="Z495" s="1485"/>
      <c r="AA495" s="1485"/>
      <c r="AB495" s="1485"/>
      <c r="AC495" s="1485"/>
      <c r="AD495" s="1485"/>
      <c r="AE495" s="1485"/>
      <c r="AF495" s="1485"/>
      <c r="AG495" s="1485"/>
      <c r="AH495" s="1485"/>
      <c r="AI495" s="1485"/>
      <c r="AJ495" s="1485"/>
      <c r="AK495" s="1619"/>
      <c r="AZ495" s="3"/>
      <c r="BB495" s="3"/>
      <c r="BC495" s="3"/>
    </row>
    <row r="496" spans="1:55" ht="12.95" customHeight="1">
      <c r="B496" s="45" t="s">
        <v>396</v>
      </c>
      <c r="C496" s="5"/>
      <c r="D496" s="5"/>
      <c r="E496" s="5"/>
      <c r="F496" s="5"/>
      <c r="G496" s="5"/>
      <c r="H496" s="5"/>
      <c r="I496" s="5"/>
      <c r="J496" s="5"/>
      <c r="K496" s="5"/>
      <c r="L496" s="5"/>
      <c r="M496" s="5"/>
      <c r="N496" s="5"/>
      <c r="O496" s="5"/>
      <c r="P496" s="5"/>
      <c r="Q496" s="1618" t="s">
        <v>2762</v>
      </c>
      <c r="R496" s="1485"/>
      <c r="S496" s="1485"/>
      <c r="T496" s="1485"/>
      <c r="U496" s="1485"/>
      <c r="V496" s="1485"/>
      <c r="W496" s="1485"/>
      <c r="X496" s="1485"/>
      <c r="Y496" s="1485"/>
      <c r="Z496" s="1485"/>
      <c r="AA496" s="1485"/>
      <c r="AB496" s="1485"/>
      <c r="AC496" s="1485"/>
      <c r="AD496" s="1485"/>
      <c r="AE496" s="1485"/>
      <c r="AF496" s="1485"/>
      <c r="AG496" s="1485"/>
      <c r="AH496" s="1485"/>
      <c r="AI496" s="1485"/>
      <c r="AJ496" s="1485"/>
      <c r="AK496" s="1619"/>
      <c r="AZ496" s="3"/>
      <c r="BA496" s="3"/>
      <c r="BB496" s="3"/>
      <c r="BC496" s="3"/>
    </row>
    <row r="497" spans="1:66" ht="12.95" customHeight="1">
      <c r="B497" s="1844" t="s">
        <v>397</v>
      </c>
      <c r="C497" s="1845"/>
      <c r="D497" s="1845"/>
      <c r="E497" s="1845"/>
      <c r="F497" s="1845"/>
      <c r="G497" s="1845"/>
      <c r="H497" s="1845"/>
      <c r="I497" s="1845"/>
      <c r="J497" s="1845"/>
      <c r="K497" s="1845"/>
      <c r="L497" s="1845"/>
      <c r="M497" s="1845"/>
      <c r="N497" s="1845"/>
      <c r="O497" s="1845"/>
      <c r="P497" s="1846"/>
      <c r="Q497" s="1850" t="s">
        <v>669</v>
      </c>
      <c r="R497" s="1851"/>
      <c r="S497" s="1756" t="s">
        <v>166</v>
      </c>
      <c r="T497" s="1757"/>
      <c r="U497" s="1757"/>
      <c r="V497" s="1757"/>
      <c r="W497" s="1757"/>
      <c r="X497" s="1757"/>
      <c r="Y497" s="1757"/>
      <c r="Z497" s="1757"/>
      <c r="AA497" s="1757"/>
      <c r="AB497" s="1757"/>
      <c r="AC497" s="1757"/>
      <c r="AD497" s="1757"/>
      <c r="AE497" s="1757"/>
      <c r="AF497" s="1757"/>
      <c r="AG497" s="1757"/>
      <c r="AH497" s="1757"/>
      <c r="AI497" s="1757"/>
      <c r="AJ497" s="1757"/>
      <c r="AK497" s="1758"/>
      <c r="AZ497" s="3"/>
      <c r="BA497" s="3"/>
      <c r="BB497" s="3"/>
      <c r="BC497" s="3"/>
    </row>
    <row r="498" spans="1:66" ht="12.95" customHeight="1">
      <c r="B498" s="1847"/>
      <c r="C498" s="1848"/>
      <c r="D498" s="1848"/>
      <c r="E498" s="1848"/>
      <c r="F498" s="1848"/>
      <c r="G498" s="1848"/>
      <c r="H498" s="1848"/>
      <c r="I498" s="1848"/>
      <c r="J498" s="1848"/>
      <c r="K498" s="1848"/>
      <c r="L498" s="1848"/>
      <c r="M498" s="1848"/>
      <c r="N498" s="1848"/>
      <c r="O498" s="1848"/>
      <c r="P498" s="1849"/>
      <c r="Q498" s="1852"/>
      <c r="R498" s="1853"/>
      <c r="S498" s="1759"/>
      <c r="T498" s="1760"/>
      <c r="U498" s="1760"/>
      <c r="V498" s="1760"/>
      <c r="W498" s="1760"/>
      <c r="X498" s="1760"/>
      <c r="Y498" s="1760"/>
      <c r="Z498" s="1760"/>
      <c r="AA498" s="1760"/>
      <c r="AB498" s="1760"/>
      <c r="AC498" s="1760"/>
      <c r="AD498" s="1760"/>
      <c r="AE498" s="1760"/>
      <c r="AF498" s="1760"/>
      <c r="AG498" s="1760"/>
      <c r="AH498" s="1760"/>
      <c r="AI498" s="1760"/>
      <c r="AJ498" s="1760"/>
      <c r="AK498" s="1761"/>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36" t="s">
        <v>669</v>
      </c>
      <c r="R499" s="1837"/>
      <c r="S499" s="1837"/>
      <c r="T499" s="1837"/>
      <c r="U499" s="1837"/>
      <c r="V499" s="1837"/>
      <c r="W499" s="1837"/>
      <c r="X499" s="1837"/>
      <c r="Y499" s="1837"/>
      <c r="Z499" s="1837"/>
      <c r="AA499" s="1837"/>
      <c r="AB499" s="1837"/>
      <c r="AC499" s="1837"/>
      <c r="AD499" s="1837"/>
      <c r="AE499" s="1837"/>
      <c r="AF499" s="1837"/>
      <c r="AG499" s="1837"/>
      <c r="AH499" s="1837"/>
      <c r="AI499" s="1837"/>
      <c r="AJ499" s="1837"/>
      <c r="AK499" s="183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618" t="s">
        <v>2763</v>
      </c>
      <c r="R500" s="1485"/>
      <c r="S500" s="1485"/>
      <c r="T500" s="1485"/>
      <c r="U500" s="1485"/>
      <c r="V500" s="1485"/>
      <c r="W500" s="1485"/>
      <c r="X500" s="1485"/>
      <c r="Y500" s="1485"/>
      <c r="Z500" s="1485"/>
      <c r="AA500" s="1485"/>
      <c r="AB500" s="1485"/>
      <c r="AC500" s="1485"/>
      <c r="AD500" s="1485"/>
      <c r="AE500" s="1485"/>
      <c r="AF500" s="1485"/>
      <c r="AG500" s="1485"/>
      <c r="AH500" s="1485"/>
      <c r="AI500" s="1485"/>
      <c r="AJ500" s="1485"/>
      <c r="AK500" s="1619"/>
      <c r="AZ500" s="3"/>
      <c r="BA500" s="3"/>
      <c r="BB500" s="3"/>
      <c r="BC500" s="3"/>
    </row>
    <row r="501" spans="1:66" ht="12.95" customHeight="1">
      <c r="B501" s="45" t="s">
        <v>399</v>
      </c>
      <c r="C501" s="5"/>
      <c r="D501" s="5"/>
      <c r="E501" s="5"/>
      <c r="F501" s="5"/>
      <c r="G501" s="5"/>
      <c r="H501" s="5"/>
      <c r="I501" s="5"/>
      <c r="J501" s="5"/>
      <c r="K501" s="5"/>
      <c r="L501" s="5"/>
      <c r="M501" s="5"/>
      <c r="N501" s="5"/>
      <c r="O501" s="5"/>
      <c r="P501" s="5"/>
      <c r="Q501" s="1618">
        <v>0</v>
      </c>
      <c r="R501" s="1485"/>
      <c r="S501" s="1485"/>
      <c r="T501" s="1485"/>
      <c r="U501" s="1485"/>
      <c r="V501" s="1485"/>
      <c r="W501" s="1485"/>
      <c r="X501" s="1485"/>
      <c r="Y501" s="1485"/>
      <c r="Z501" s="1485"/>
      <c r="AA501" s="1485"/>
      <c r="AB501" s="1485"/>
      <c r="AC501" s="1485"/>
      <c r="AD501" s="1485"/>
      <c r="AE501" s="1485"/>
      <c r="AF501" s="1485"/>
      <c r="AG501" s="1485"/>
      <c r="AH501" s="1485"/>
      <c r="AI501" s="1485"/>
      <c r="AJ501" s="1485"/>
      <c r="AK501" s="1619"/>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618">
        <v>0</v>
      </c>
      <c r="R502" s="1485"/>
      <c r="S502" s="1485"/>
      <c r="T502" s="1485"/>
      <c r="U502" s="1485"/>
      <c r="V502" s="1485"/>
      <c r="W502" s="1485"/>
      <c r="X502" s="1485"/>
      <c r="Y502" s="1485"/>
      <c r="Z502" s="1485"/>
      <c r="AA502" s="1485"/>
      <c r="AB502" s="1485"/>
      <c r="AC502" s="1485"/>
      <c r="AD502" s="1485"/>
      <c r="AE502" s="1485"/>
      <c r="AF502" s="1485"/>
      <c r="AG502" s="1485"/>
      <c r="AH502" s="1485"/>
      <c r="AI502" s="1485"/>
      <c r="AJ502" s="1485"/>
      <c r="AK502" s="1619"/>
      <c r="AZ502" s="3"/>
      <c r="BA502" s="3"/>
      <c r="BB502" s="3"/>
      <c r="BC502" s="3"/>
    </row>
    <row r="503" spans="1:66" ht="12.95" customHeight="1">
      <c r="B503" s="121" t="s">
        <v>1658</v>
      </c>
      <c r="C503" s="5"/>
      <c r="D503" s="5"/>
      <c r="E503" s="5"/>
      <c r="F503" s="5"/>
      <c r="G503" s="5"/>
      <c r="H503" s="5"/>
      <c r="I503" s="5"/>
      <c r="J503" s="5"/>
      <c r="K503" s="5"/>
      <c r="L503" s="5"/>
      <c r="M503" s="1534">
        <v>0</v>
      </c>
      <c r="N503" s="1535"/>
      <c r="O503" s="1535"/>
      <c r="P503" s="1536"/>
      <c r="Q503" s="121" t="s">
        <v>1659</v>
      </c>
      <c r="R503" s="5"/>
      <c r="S503" s="5"/>
      <c r="T503" s="5"/>
      <c r="U503" s="5"/>
      <c r="V503" s="5"/>
      <c r="W503" s="5"/>
      <c r="X503" s="5"/>
      <c r="Y503" s="5"/>
      <c r="Z503" s="5"/>
      <c r="AA503" s="5"/>
      <c r="AB503" s="5"/>
      <c r="AC503" s="5"/>
      <c r="AD503" s="5"/>
      <c r="AE503" s="5"/>
      <c r="AF503" s="5"/>
      <c r="AG503" s="5"/>
      <c r="AH503" s="1534">
        <v>0</v>
      </c>
      <c r="AI503" s="1535"/>
      <c r="AJ503" s="1535"/>
      <c r="AK503" s="1536"/>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829" t="s">
        <v>401</v>
      </c>
      <c r="AD507" s="1830"/>
      <c r="AE507" s="1830"/>
      <c r="AF507" s="1830"/>
      <c r="AG507" s="1830"/>
      <c r="AH507" s="1830"/>
      <c r="AI507" s="1830"/>
      <c r="AJ507" s="1830"/>
      <c r="AK507" s="185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829" t="s">
        <v>402</v>
      </c>
      <c r="AD508" s="1830"/>
      <c r="AE508" s="1830"/>
      <c r="AF508" s="1830"/>
      <c r="AG508" s="50" t="s">
        <v>403</v>
      </c>
      <c r="AH508" s="1830" t="s">
        <v>404</v>
      </c>
      <c r="AI508" s="1830"/>
      <c r="AJ508" s="1830"/>
      <c r="AK508" s="1855"/>
      <c r="AZ508" s="3"/>
      <c r="BA508" s="3"/>
      <c r="BB508" s="3"/>
      <c r="BC508" s="3"/>
      <c r="BD508" s="3"/>
      <c r="BE508" s="3"/>
      <c r="BF508" s="3"/>
      <c r="BG508" s="3"/>
      <c r="BH508" s="3"/>
      <c r="BI508" s="3"/>
      <c r="BJ508" s="3"/>
      <c r="BK508" s="3"/>
      <c r="BL508" s="3"/>
      <c r="BM508" s="3"/>
      <c r="BN508" s="3"/>
    </row>
    <row r="509" spans="1:66" ht="12.95" customHeight="1">
      <c r="B509" s="1709" t="s">
        <v>405</v>
      </c>
      <c r="C509" s="1513"/>
      <c r="D509" s="1513"/>
      <c r="E509" s="1513"/>
      <c r="F509" s="1513"/>
      <c r="G509" s="1513"/>
      <c r="H509" s="1514"/>
      <c r="I509" s="42" t="s">
        <v>406</v>
      </c>
      <c r="J509" s="42"/>
      <c r="K509" s="42"/>
      <c r="L509" s="42"/>
      <c r="M509" s="42"/>
      <c r="N509" s="42"/>
      <c r="O509" s="42"/>
      <c r="P509" s="42"/>
      <c r="Q509" s="42"/>
      <c r="R509" s="42"/>
      <c r="S509" s="42"/>
      <c r="T509" s="42"/>
      <c r="U509" s="42"/>
      <c r="V509" s="42"/>
      <c r="W509" s="42"/>
      <c r="AC509" s="1454">
        <v>9</v>
      </c>
      <c r="AD509" s="1455"/>
      <c r="AE509" s="1455"/>
      <c r="AF509" s="1455"/>
      <c r="AG509" s="13" t="s">
        <v>403</v>
      </c>
      <c r="AH509" s="1397">
        <v>2019</v>
      </c>
      <c r="AI509" s="1397"/>
      <c r="AJ509" s="1397"/>
      <c r="AK509" s="1398"/>
      <c r="AZ509" s="3"/>
      <c r="BA509" s="3"/>
      <c r="BB509" s="3"/>
      <c r="BC509" s="3"/>
      <c r="BD509" s="3"/>
      <c r="BE509" s="3"/>
      <c r="BF509" s="3"/>
      <c r="BG509" s="3"/>
      <c r="BH509" s="3"/>
      <c r="BI509" s="3"/>
      <c r="BJ509" s="3"/>
      <c r="BK509" s="3"/>
      <c r="BL509" s="3"/>
      <c r="BM509" s="3"/>
      <c r="BN509" s="3"/>
    </row>
    <row r="510" spans="1:66" ht="12.95" customHeight="1">
      <c r="B510" s="1710"/>
      <c r="C510" s="1515"/>
      <c r="D510" s="1515"/>
      <c r="E510" s="1515"/>
      <c r="F510" s="1515"/>
      <c r="G510" s="1515"/>
      <c r="H510" s="1516"/>
      <c r="I510" s="48" t="s">
        <v>407</v>
      </c>
      <c r="J510" s="48"/>
      <c r="K510" s="48"/>
      <c r="L510" s="48"/>
      <c r="M510" s="48"/>
      <c r="N510" s="48"/>
      <c r="O510" s="48"/>
      <c r="P510" s="48"/>
      <c r="Q510" s="48"/>
      <c r="R510" s="48"/>
      <c r="S510" s="48"/>
      <c r="T510" s="48"/>
      <c r="U510" s="48"/>
      <c r="V510" s="48"/>
      <c r="W510" s="48"/>
      <c r="X510" s="48"/>
      <c r="Y510" s="48"/>
      <c r="Z510" s="48"/>
      <c r="AA510" s="48"/>
      <c r="AB510" s="48"/>
      <c r="AC510" s="1454">
        <v>11</v>
      </c>
      <c r="AD510" s="1455"/>
      <c r="AE510" s="1455"/>
      <c r="AF510" s="1455"/>
      <c r="AG510" s="38" t="s">
        <v>403</v>
      </c>
      <c r="AH510" s="1397">
        <v>2026</v>
      </c>
      <c r="AI510" s="1397"/>
      <c r="AJ510" s="1397"/>
      <c r="AK510" s="1398"/>
      <c r="AZ510" s="3"/>
      <c r="BA510" s="3"/>
      <c r="BB510" s="3"/>
      <c r="BC510" s="3"/>
      <c r="BD510" s="3"/>
      <c r="BE510" s="3"/>
      <c r="BF510" s="3"/>
      <c r="BG510" s="3"/>
      <c r="BH510" s="3"/>
      <c r="BI510" s="3"/>
      <c r="BJ510" s="3"/>
      <c r="BK510" s="3"/>
      <c r="BL510" s="3"/>
      <c r="BM510" s="3"/>
      <c r="BN510" s="3"/>
    </row>
    <row r="511" spans="1:66" ht="12.95" customHeight="1">
      <c r="B511" s="1709" t="s">
        <v>408</v>
      </c>
      <c r="C511" s="1513"/>
      <c r="D511" s="1513"/>
      <c r="E511" s="1513"/>
      <c r="F511" s="1513"/>
      <c r="G511" s="1513"/>
      <c r="H511" s="1514"/>
      <c r="I511" s="42" t="s">
        <v>409</v>
      </c>
      <c r="J511" s="42"/>
      <c r="K511" s="42"/>
      <c r="L511" s="42"/>
      <c r="M511" s="42"/>
      <c r="N511" s="42"/>
      <c r="O511" s="42"/>
      <c r="P511" s="42"/>
      <c r="Q511" s="42"/>
      <c r="R511" s="42"/>
      <c r="S511" s="42"/>
      <c r="T511" s="42"/>
      <c r="U511" s="42"/>
      <c r="V511" s="42"/>
      <c r="W511" s="42"/>
      <c r="AC511" s="1454" t="s">
        <v>591</v>
      </c>
      <c r="AD511" s="1455"/>
      <c r="AE511" s="1455"/>
      <c r="AF511" s="1455"/>
      <c r="AG511" s="13" t="s">
        <v>403</v>
      </c>
      <c r="AH511" s="1397"/>
      <c r="AI511" s="1397"/>
      <c r="AJ511" s="1397"/>
      <c r="AK511" s="1398"/>
      <c r="AZ511" s="3"/>
      <c r="BA511" s="3"/>
      <c r="BB511" s="3"/>
      <c r="BC511" s="3"/>
      <c r="BD511" s="3"/>
      <c r="BE511" s="3"/>
      <c r="BF511" s="3"/>
      <c r="BG511" s="3"/>
      <c r="BH511" s="3"/>
      <c r="BI511" s="3"/>
      <c r="BJ511" s="3"/>
      <c r="BK511" s="3"/>
      <c r="BL511" s="3"/>
      <c r="BM511" s="3"/>
      <c r="BN511" s="3"/>
    </row>
    <row r="512" spans="1:66" ht="12.95" customHeight="1">
      <c r="B512" s="1710"/>
      <c r="C512" s="1515"/>
      <c r="D512" s="1515"/>
      <c r="E512" s="1515"/>
      <c r="F512" s="1515"/>
      <c r="G512" s="1515"/>
      <c r="H512" s="1516"/>
      <c r="I512" t="s">
        <v>410</v>
      </c>
      <c r="AC512" s="1454" t="s">
        <v>591</v>
      </c>
      <c r="AD512" s="1455"/>
      <c r="AE512" s="1455"/>
      <c r="AF512" s="1455"/>
      <c r="AG512" s="13" t="s">
        <v>403</v>
      </c>
      <c r="AH512" s="1397"/>
      <c r="AI512" s="1397"/>
      <c r="AJ512" s="1397"/>
      <c r="AK512" s="1398"/>
      <c r="AZ512" s="3"/>
      <c r="BA512" s="3"/>
      <c r="BB512" s="3"/>
      <c r="BC512" s="3"/>
      <c r="BD512" s="3"/>
      <c r="BE512" s="3"/>
      <c r="BF512" s="3"/>
      <c r="BG512" s="3"/>
      <c r="BH512" s="3"/>
      <c r="BI512" s="3"/>
      <c r="BJ512" s="3"/>
      <c r="BK512" s="3"/>
      <c r="BL512" s="3"/>
      <c r="BM512" s="3"/>
      <c r="BN512" s="3"/>
    </row>
    <row r="513" spans="2:66" ht="12.95" customHeight="1">
      <c r="B513" s="1710"/>
      <c r="C513" s="1515"/>
      <c r="D513" s="1515"/>
      <c r="E513" s="1515"/>
      <c r="F513" s="1515"/>
      <c r="G513" s="1515"/>
      <c r="H513" s="1516"/>
      <c r="I513" t="s">
        <v>411</v>
      </c>
      <c r="AC513" s="1454" t="s">
        <v>591</v>
      </c>
      <c r="AD513" s="1455"/>
      <c r="AE513" s="1455"/>
      <c r="AF513" s="1455"/>
      <c r="AG513" s="13" t="s">
        <v>403</v>
      </c>
      <c r="AH513" s="1397"/>
      <c r="AI513" s="1397"/>
      <c r="AJ513" s="1397"/>
      <c r="AK513" s="1398"/>
      <c r="AZ513" s="3"/>
      <c r="BA513" s="3"/>
      <c r="BB513" s="3"/>
      <c r="BC513" s="3"/>
      <c r="BD513" s="3"/>
      <c r="BE513" s="3"/>
      <c r="BF513" s="3"/>
      <c r="BG513" s="3"/>
      <c r="BH513" s="3"/>
      <c r="BI513" s="3"/>
      <c r="BJ513" s="3"/>
      <c r="BK513" s="3"/>
      <c r="BL513" s="3"/>
      <c r="BM513" s="3"/>
      <c r="BN513" s="3"/>
    </row>
    <row r="514" spans="2:66" ht="12.95" customHeight="1">
      <c r="B514" s="1710"/>
      <c r="C514" s="1515"/>
      <c r="D514" s="1515"/>
      <c r="E514" s="1515"/>
      <c r="F514" s="1515"/>
      <c r="G514" s="1515"/>
      <c r="H514" s="1516"/>
      <c r="I514" t="s">
        <v>412</v>
      </c>
      <c r="AC514" s="1454">
        <v>11</v>
      </c>
      <c r="AD514" s="1455"/>
      <c r="AE514" s="1455"/>
      <c r="AF514" s="1455"/>
      <c r="AG514" s="13" t="s">
        <v>403</v>
      </c>
      <c r="AH514" s="1397">
        <v>2026</v>
      </c>
      <c r="AI514" s="1397"/>
      <c r="AJ514" s="1397"/>
      <c r="AK514" s="1398"/>
      <c r="AZ514" s="3"/>
      <c r="BA514" s="3"/>
      <c r="BB514" s="3"/>
      <c r="BC514" s="3"/>
      <c r="BD514" s="3"/>
      <c r="BE514" s="3"/>
      <c r="BF514" s="3"/>
      <c r="BG514" s="3"/>
      <c r="BH514" s="3"/>
      <c r="BI514" s="3"/>
      <c r="BJ514" s="3"/>
      <c r="BK514" s="3"/>
      <c r="BL514" s="3"/>
      <c r="BM514" s="3"/>
      <c r="BN514" s="3"/>
    </row>
    <row r="515" spans="2:66" ht="12.95" customHeight="1">
      <c r="B515" s="1710"/>
      <c r="C515" s="1515"/>
      <c r="D515" s="1515"/>
      <c r="E515" s="1515"/>
      <c r="F515" s="1515"/>
      <c r="G515" s="1515"/>
      <c r="H515" s="1516"/>
      <c r="I515" s="3" t="s">
        <v>413</v>
      </c>
      <c r="AC515" s="1360">
        <v>11</v>
      </c>
      <c r="AD515" s="1361"/>
      <c r="AE515" s="1361"/>
      <c r="AF515" s="1361"/>
      <c r="AG515" s="13" t="s">
        <v>403</v>
      </c>
      <c r="AH515" s="1397">
        <v>2026</v>
      </c>
      <c r="AI515" s="1397"/>
      <c r="AJ515" s="1397"/>
      <c r="AK515" s="1398"/>
      <c r="AZ515" s="3"/>
      <c r="BA515" s="3"/>
      <c r="BB515" s="3"/>
      <c r="BC515" s="3"/>
      <c r="BD515" s="3"/>
      <c r="BE515" s="3"/>
      <c r="BF515" s="3"/>
      <c r="BG515" s="3"/>
      <c r="BH515" s="3"/>
      <c r="BI515" s="3"/>
      <c r="BJ515" s="3"/>
      <c r="BK515" s="3"/>
      <c r="BL515" s="3"/>
      <c r="BM515" s="3"/>
      <c r="BN515" s="3"/>
    </row>
    <row r="516" spans="2:66" ht="12.95" customHeight="1">
      <c r="B516" s="1710"/>
      <c r="C516" s="1515"/>
      <c r="D516" s="1515"/>
      <c r="E516" s="1515"/>
      <c r="F516" s="1515"/>
      <c r="G516" s="1515"/>
      <c r="H516" s="1516"/>
      <c r="I516" s="892" t="s">
        <v>170</v>
      </c>
      <c r="J516" s="48"/>
      <c r="K516" s="48"/>
      <c r="L516" s="1456" t="s">
        <v>334</v>
      </c>
      <c r="M516" s="1457"/>
      <c r="N516" s="1457"/>
      <c r="O516" s="1457"/>
      <c r="P516" s="1457"/>
      <c r="Q516" s="1457"/>
      <c r="R516" s="1457"/>
      <c r="S516" s="1457"/>
      <c r="T516" s="1457"/>
      <c r="U516" s="1457"/>
      <c r="V516" s="1457"/>
      <c r="W516" s="1457"/>
      <c r="X516" s="1457"/>
      <c r="Y516" s="1457"/>
      <c r="Z516" s="1457"/>
      <c r="AA516" s="1457"/>
      <c r="AB516" s="1854"/>
      <c r="AC516" s="1454" t="s">
        <v>591</v>
      </c>
      <c r="AD516" s="1455"/>
      <c r="AE516" s="1455"/>
      <c r="AF516" s="1455"/>
      <c r="AG516" s="38" t="s">
        <v>403</v>
      </c>
      <c r="AH516" s="1397"/>
      <c r="AI516" s="1397"/>
      <c r="AJ516" s="1397"/>
      <c r="AK516" s="1398"/>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83" t="s">
        <v>669</v>
      </c>
      <c r="AD517" s="1783"/>
      <c r="AE517" s="1783"/>
      <c r="AF517" s="1783"/>
      <c r="AG517" s="13"/>
      <c r="AH517" s="1342"/>
      <c r="AI517" s="1342"/>
      <c r="AJ517" s="1342"/>
      <c r="AK517" s="1843"/>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0"/>
      <c r="AD518" s="1361"/>
      <c r="AE518" s="1361"/>
      <c r="AF518" s="1362"/>
      <c r="AG518" s="13"/>
      <c r="AH518" s="1342"/>
      <c r="AI518" s="1342"/>
      <c r="AJ518" s="1342"/>
      <c r="AK518" s="1843"/>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88">
        <v>0.5</v>
      </c>
      <c r="AD520" s="1489"/>
      <c r="AE520" s="1489"/>
      <c r="AF520" s="1490"/>
      <c r="AG520" s="38"/>
      <c r="AH520" s="1486"/>
      <c r="AI520" s="1486"/>
      <c r="AJ520" s="1486"/>
      <c r="AK520" s="1487"/>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0" t="s">
        <v>402</v>
      </c>
      <c r="AD521" s="1735"/>
      <c r="AE521" s="1735"/>
      <c r="AF521" s="1735"/>
      <c r="AG521" s="38" t="s">
        <v>403</v>
      </c>
      <c r="AH521" s="1735" t="s">
        <v>404</v>
      </c>
      <c r="AI521" s="1735"/>
      <c r="AJ521" s="1735"/>
      <c r="AK521" s="1839"/>
      <c r="AZ521" s="3"/>
      <c r="BA521" s="3"/>
      <c r="BB521" s="3"/>
      <c r="BC521" s="3"/>
      <c r="BD521" s="3"/>
      <c r="BE521" s="3"/>
      <c r="BF521" s="3"/>
      <c r="BG521" s="3"/>
      <c r="BH521" s="3"/>
      <c r="BI521" s="3"/>
      <c r="BJ521" s="3"/>
      <c r="BK521" s="3"/>
      <c r="BL521" s="3"/>
      <c r="BM521" s="3"/>
      <c r="BN521" s="3" t="s">
        <v>2061</v>
      </c>
    </row>
    <row r="522" spans="2:66" ht="12.95" customHeight="1">
      <c r="B522" s="1709" t="s">
        <v>414</v>
      </c>
      <c r="C522" s="1513"/>
      <c r="D522" s="1513"/>
      <c r="E522" s="1513"/>
      <c r="F522" s="1513"/>
      <c r="G522" s="1513"/>
      <c r="H522" s="1514"/>
      <c r="I522" s="42" t="s">
        <v>415</v>
      </c>
      <c r="J522" s="42"/>
      <c r="K522" s="42"/>
      <c r="L522" s="42"/>
      <c r="M522" s="42"/>
      <c r="N522" s="42"/>
      <c r="O522" s="42"/>
      <c r="P522" s="42"/>
      <c r="Q522" s="42"/>
      <c r="R522" s="42"/>
      <c r="S522" s="42"/>
      <c r="T522" s="42"/>
      <c r="U522" s="42"/>
      <c r="V522" s="42"/>
      <c r="W522" s="42"/>
      <c r="AC522" s="1454">
        <v>1</v>
      </c>
      <c r="AD522" s="1455"/>
      <c r="AE522" s="1455"/>
      <c r="AF522" s="1455"/>
      <c r="AG522" s="13" t="s">
        <v>403</v>
      </c>
      <c r="AH522" s="1397">
        <v>2026</v>
      </c>
      <c r="AI522" s="1397"/>
      <c r="AJ522" s="1397"/>
      <c r="AK522" s="1398"/>
      <c r="AZ522" s="3"/>
      <c r="BA522" s="3"/>
      <c r="BB522" s="3"/>
      <c r="BC522" s="3"/>
      <c r="BD522" s="3"/>
      <c r="BE522" s="3"/>
      <c r="BF522" s="3"/>
      <c r="BG522" s="3"/>
      <c r="BH522" s="3"/>
      <c r="BI522" s="3"/>
      <c r="BJ522" s="3"/>
      <c r="BK522" s="3"/>
      <c r="BL522" s="3"/>
      <c r="BM522" s="3"/>
      <c r="BN522" s="3" t="s">
        <v>2062</v>
      </c>
    </row>
    <row r="523" spans="2:66" ht="12.95" customHeight="1">
      <c r="B523" s="1710"/>
      <c r="C523" s="1515"/>
      <c r="D523" s="1515"/>
      <c r="E523" s="1515"/>
      <c r="F523" s="1515"/>
      <c r="G523" s="1515"/>
      <c r="H523" s="1516"/>
      <c r="I523" t="s">
        <v>416</v>
      </c>
      <c r="AC523" s="1454">
        <v>1</v>
      </c>
      <c r="AD523" s="1455"/>
      <c r="AE523" s="1455"/>
      <c r="AF523" s="1455"/>
      <c r="AG523" s="13" t="s">
        <v>403</v>
      </c>
      <c r="AH523" s="1397">
        <v>2026</v>
      </c>
      <c r="AI523" s="1397"/>
      <c r="AJ523" s="1397"/>
      <c r="AK523" s="1398"/>
      <c r="AZ523" s="3"/>
      <c r="BA523" s="3"/>
      <c r="BB523" s="3"/>
      <c r="BC523" s="3"/>
      <c r="BD523" s="3"/>
      <c r="BE523" s="3"/>
      <c r="BF523" s="3"/>
      <c r="BG523" s="3"/>
      <c r="BH523" s="3"/>
      <c r="BI523" s="3"/>
      <c r="BJ523" s="3"/>
      <c r="BK523" s="3"/>
      <c r="BL523" s="3"/>
      <c r="BM523" s="3"/>
      <c r="BN523" s="3" t="s">
        <v>2063</v>
      </c>
    </row>
    <row r="524" spans="2:66" ht="12.95" customHeight="1">
      <c r="B524" s="1710"/>
      <c r="C524" s="1515"/>
      <c r="D524" s="1515"/>
      <c r="E524" s="1515"/>
      <c r="F524" s="1515"/>
      <c r="G524" s="1515"/>
      <c r="H524" s="1516"/>
      <c r="I524" s="48" t="s">
        <v>417</v>
      </c>
      <c r="J524" s="48"/>
      <c r="K524" s="48"/>
      <c r="L524" s="48"/>
      <c r="M524" s="48"/>
      <c r="N524" s="48"/>
      <c r="O524" s="48"/>
      <c r="P524" s="48"/>
      <c r="Q524" s="48"/>
      <c r="R524" s="48"/>
      <c r="S524" s="48"/>
      <c r="T524" s="48"/>
      <c r="U524" s="48"/>
      <c r="V524" s="48"/>
      <c r="W524" s="48"/>
      <c r="X524" s="48"/>
      <c r="Y524" s="48"/>
      <c r="Z524" s="48"/>
      <c r="AA524" s="48"/>
      <c r="AB524" s="48"/>
      <c r="AC524" s="1454">
        <v>11</v>
      </c>
      <c r="AD524" s="1455"/>
      <c r="AE524" s="1455"/>
      <c r="AF524" s="1455"/>
      <c r="AG524" s="38" t="s">
        <v>403</v>
      </c>
      <c r="AH524" s="1397">
        <v>2026</v>
      </c>
      <c r="AI524" s="1397"/>
      <c r="AJ524" s="1397"/>
      <c r="AK524" s="1398"/>
      <c r="AZ524" s="3"/>
      <c r="BA524" s="3"/>
      <c r="BB524" s="3"/>
      <c r="BC524" s="3"/>
      <c r="BD524" s="3"/>
      <c r="BE524" s="3"/>
      <c r="BF524" s="3"/>
      <c r="BG524" s="3"/>
      <c r="BH524" s="3"/>
      <c r="BI524" s="3"/>
      <c r="BJ524" s="3"/>
      <c r="BK524" s="3"/>
      <c r="BL524" s="3"/>
      <c r="BM524" s="3"/>
      <c r="BN524" s="3" t="s">
        <v>2064</v>
      </c>
    </row>
    <row r="525" spans="2:66" ht="12.95" customHeight="1">
      <c r="B525" s="1709" t="s">
        <v>418</v>
      </c>
      <c r="C525" s="1513"/>
      <c r="D525" s="1513"/>
      <c r="E525" s="1513"/>
      <c r="F525" s="1513"/>
      <c r="G525" s="1513"/>
      <c r="H525" s="1514"/>
      <c r="I525" s="42" t="s">
        <v>415</v>
      </c>
      <c r="J525" s="42"/>
      <c r="K525" s="42"/>
      <c r="L525" s="42"/>
      <c r="M525" s="42"/>
      <c r="N525" s="42"/>
      <c r="O525" s="42"/>
      <c r="P525" s="42"/>
      <c r="Q525" s="42"/>
      <c r="R525" s="42"/>
      <c r="S525" s="42"/>
      <c r="T525" s="42"/>
      <c r="U525" s="42"/>
      <c r="V525" s="42"/>
      <c r="W525" s="42"/>
      <c r="X525" s="42"/>
      <c r="Y525" s="42"/>
      <c r="Z525" s="42"/>
      <c r="AA525" s="42"/>
      <c r="AB525" s="42"/>
      <c r="AC525" s="1360">
        <v>1</v>
      </c>
      <c r="AD525" s="1361"/>
      <c r="AE525" s="1361"/>
      <c r="AF525" s="1361"/>
      <c r="AG525" s="129" t="s">
        <v>403</v>
      </c>
      <c r="AH525" s="1397">
        <v>2026</v>
      </c>
      <c r="AI525" s="1397"/>
      <c r="AJ525" s="1397"/>
      <c r="AK525" s="1398"/>
      <c r="AZ525" s="3"/>
      <c r="BB525" s="3"/>
      <c r="BC525" s="3"/>
      <c r="BD525" s="3"/>
      <c r="BE525" s="3"/>
      <c r="BF525" s="3"/>
      <c r="BG525" s="3"/>
      <c r="BH525" s="3"/>
      <c r="BI525" s="3"/>
      <c r="BJ525" s="3"/>
      <c r="BK525" s="3"/>
      <c r="BL525" s="3"/>
      <c r="BM525" s="3"/>
      <c r="BN525" s="3" t="s">
        <v>2065</v>
      </c>
    </row>
    <row r="526" spans="2:66" ht="12.95" customHeight="1">
      <c r="B526" s="1710"/>
      <c r="C526" s="1515"/>
      <c r="D526" s="1515"/>
      <c r="E526" s="1515"/>
      <c r="F526" s="1515"/>
      <c r="G526" s="1515"/>
      <c r="H526" s="1516"/>
      <c r="I526" t="s">
        <v>416</v>
      </c>
      <c r="AC526" s="1454">
        <v>1</v>
      </c>
      <c r="AD526" s="1455"/>
      <c r="AE526" s="1455"/>
      <c r="AF526" s="1455"/>
      <c r="AG526" s="13" t="s">
        <v>403</v>
      </c>
      <c r="AH526" s="1397">
        <v>2026</v>
      </c>
      <c r="AI526" s="1397"/>
      <c r="AJ526" s="1397"/>
      <c r="AK526" s="1398"/>
      <c r="BB526" s="3"/>
      <c r="BC526" s="3"/>
      <c r="BD526" s="3"/>
      <c r="BE526" s="3"/>
      <c r="BF526" s="3"/>
      <c r="BG526" s="3"/>
      <c r="BH526" s="3"/>
      <c r="BI526" s="3"/>
      <c r="BJ526" s="3"/>
      <c r="BK526" s="3"/>
      <c r="BL526" s="3"/>
      <c r="BM526" s="3"/>
      <c r="BN526" s="3" t="s">
        <v>2066</v>
      </c>
    </row>
    <row r="527" spans="2:66" ht="12.95" customHeight="1">
      <c r="B527" s="1711"/>
      <c r="C527" s="1517"/>
      <c r="D527" s="1517"/>
      <c r="E527" s="1517"/>
      <c r="F527" s="1517"/>
      <c r="G527" s="1517"/>
      <c r="H527" s="1518"/>
      <c r="I527" s="48" t="s">
        <v>417</v>
      </c>
      <c r="J527" s="48"/>
      <c r="K527" s="48"/>
      <c r="L527" s="48"/>
      <c r="M527" s="48"/>
      <c r="N527" s="48"/>
      <c r="O527" s="48"/>
      <c r="P527" s="48"/>
      <c r="Q527" s="48"/>
      <c r="R527" s="48"/>
      <c r="S527" s="48"/>
      <c r="T527" s="48"/>
      <c r="U527" s="48"/>
      <c r="V527" s="48"/>
      <c r="W527" s="48"/>
      <c r="X527" s="48"/>
      <c r="Y527" s="48"/>
      <c r="Z527" s="48"/>
      <c r="AA527" s="48"/>
      <c r="AB527" s="48"/>
      <c r="AC527" s="1454">
        <v>4</v>
      </c>
      <c r="AD527" s="1455"/>
      <c r="AE527" s="1455"/>
      <c r="AF527" s="1455"/>
      <c r="AG527" s="38" t="s">
        <v>403</v>
      </c>
      <c r="AH527" s="1397">
        <v>2029</v>
      </c>
      <c r="AI527" s="1397"/>
      <c r="AJ527" s="1397"/>
      <c r="AK527" s="1398"/>
      <c r="BB527" s="3"/>
      <c r="BC527" s="3"/>
      <c r="BD527" s="3"/>
      <c r="BE527" s="3"/>
      <c r="BF527" s="3"/>
      <c r="BG527" s="3"/>
      <c r="BH527" s="3"/>
      <c r="BI527" s="3"/>
      <c r="BJ527" s="3"/>
      <c r="BK527" s="3"/>
      <c r="BL527" s="3"/>
      <c r="BM527" s="3"/>
      <c r="BN527" s="3" t="s">
        <v>2067</v>
      </c>
    </row>
    <row r="528" spans="2:66" ht="12.95" customHeight="1">
      <c r="B528" s="1709" t="s">
        <v>419</v>
      </c>
      <c r="C528" s="1513"/>
      <c r="D528" s="1513"/>
      <c r="E528" s="1513"/>
      <c r="F528" s="1513"/>
      <c r="G528" s="1513"/>
      <c r="H528" s="1514"/>
      <c r="I528" s="41" t="s">
        <v>420</v>
      </c>
      <c r="J528" s="42"/>
      <c r="K528" s="42"/>
      <c r="L528" s="42"/>
      <c r="M528" s="42"/>
      <c r="N528" s="42"/>
      <c r="O528" s="1456" t="s">
        <v>334</v>
      </c>
      <c r="P528" s="1457"/>
      <c r="Q528" s="1457"/>
      <c r="R528" s="1457"/>
      <c r="S528" s="1457"/>
      <c r="T528" s="1457"/>
      <c r="U528" s="1457"/>
      <c r="V528" s="1457"/>
      <c r="W528" s="1457"/>
      <c r="X528" s="1457"/>
      <c r="Y528" s="1457"/>
      <c r="Z528" s="1457"/>
      <c r="AA528" s="1457"/>
      <c r="AB528" s="58"/>
      <c r="AC528" s="1360" t="s">
        <v>591</v>
      </c>
      <c r="AD528" s="1361"/>
      <c r="AE528" s="1361"/>
      <c r="AF528" s="1361"/>
      <c r="AG528" s="129" t="s">
        <v>403</v>
      </c>
      <c r="AH528" s="1397"/>
      <c r="AI528" s="1397"/>
      <c r="AJ528" s="1397"/>
      <c r="AK528" s="1398"/>
      <c r="AZ528" s="3"/>
      <c r="BB528" s="3"/>
      <c r="BC528" s="3"/>
      <c r="BD528" s="3"/>
      <c r="BE528" s="3"/>
      <c r="BF528" s="3"/>
      <c r="BG528" s="3"/>
      <c r="BH528" s="3"/>
      <c r="BI528" s="3"/>
      <c r="BJ528" s="3"/>
      <c r="BK528" s="3"/>
      <c r="BL528" s="3"/>
      <c r="BM528" s="3"/>
      <c r="BN528" s="3" t="s">
        <v>2068</v>
      </c>
    </row>
    <row r="529" spans="2:66" ht="12.95" customHeight="1">
      <c r="B529" s="1710"/>
      <c r="C529" s="1515"/>
      <c r="D529" s="1515"/>
      <c r="E529" s="1515"/>
      <c r="F529" s="1515"/>
      <c r="G529" s="1515"/>
      <c r="H529" s="1516"/>
      <c r="I529" s="114" t="s">
        <v>421</v>
      </c>
      <c r="AB529" s="65"/>
      <c r="AC529" s="1454" t="s">
        <v>591</v>
      </c>
      <c r="AD529" s="1455"/>
      <c r="AE529" s="1455"/>
      <c r="AF529" s="1455"/>
      <c r="AG529" s="13" t="s">
        <v>403</v>
      </c>
      <c r="AH529" s="1397"/>
      <c r="AI529" s="1397"/>
      <c r="AJ529" s="1397"/>
      <c r="AK529" s="1398"/>
      <c r="AZ529" s="3"/>
      <c r="BB529" s="3"/>
      <c r="BC529" s="3"/>
      <c r="BD529" s="3"/>
      <c r="BE529" s="3"/>
      <c r="BF529" s="3"/>
      <c r="BG529" s="3"/>
      <c r="BH529" s="3"/>
      <c r="BI529" s="3"/>
      <c r="BJ529" s="3"/>
      <c r="BK529" s="3"/>
      <c r="BL529" s="3"/>
      <c r="BM529" s="3"/>
      <c r="BN529" s="3" t="s">
        <v>2069</v>
      </c>
    </row>
    <row r="530" spans="2:66" ht="12.95" customHeight="1">
      <c r="B530" s="1710"/>
      <c r="C530" s="1515"/>
      <c r="D530" s="1515"/>
      <c r="E530" s="1515"/>
      <c r="F530" s="1515"/>
      <c r="G530" s="1515"/>
      <c r="H530" s="1516"/>
      <c r="I530" s="47" t="s">
        <v>422</v>
      </c>
      <c r="J530" s="48"/>
      <c r="K530" s="48"/>
      <c r="L530" s="48"/>
      <c r="M530" s="48"/>
      <c r="N530" s="48"/>
      <c r="O530" s="48"/>
      <c r="P530" s="48"/>
      <c r="Q530" s="48"/>
      <c r="R530" s="48"/>
      <c r="S530" s="48"/>
      <c r="T530" s="48"/>
      <c r="U530" s="48"/>
      <c r="V530" s="48"/>
      <c r="W530" s="48"/>
      <c r="X530" s="48"/>
      <c r="Y530" s="48"/>
      <c r="Z530" s="48"/>
      <c r="AA530" s="48"/>
      <c r="AB530" s="49"/>
      <c r="AC530" s="1454" t="s">
        <v>591</v>
      </c>
      <c r="AD530" s="1455"/>
      <c r="AE530" s="1455"/>
      <c r="AF530" s="1455"/>
      <c r="AG530" s="38" t="s">
        <v>403</v>
      </c>
      <c r="AH530" s="1397"/>
      <c r="AI530" s="1397"/>
      <c r="AJ530" s="1397"/>
      <c r="AK530" s="1398"/>
      <c r="AZ530" s="3"/>
      <c r="BA530" s="3"/>
      <c r="BB530" s="3"/>
      <c r="BC530" s="3"/>
      <c r="BD530" s="3"/>
      <c r="BE530" s="3"/>
      <c r="BF530" s="3"/>
      <c r="BG530" s="3"/>
      <c r="BH530" s="3"/>
      <c r="BI530" s="3"/>
      <c r="BJ530" s="3"/>
      <c r="BK530" s="3"/>
      <c r="BL530" s="3"/>
      <c r="BM530" s="3"/>
      <c r="BN530" s="3" t="s">
        <v>2070</v>
      </c>
    </row>
    <row r="531" spans="2:66" ht="12.95" customHeight="1">
      <c r="B531" s="1710"/>
      <c r="C531" s="1515"/>
      <c r="D531" s="1515"/>
      <c r="E531" s="1515"/>
      <c r="F531" s="1515"/>
      <c r="G531" s="1515"/>
      <c r="H531" s="1516"/>
      <c r="I531" s="42" t="s">
        <v>423</v>
      </c>
      <c r="J531" s="42"/>
      <c r="K531" s="42"/>
      <c r="L531" s="42"/>
      <c r="M531" s="42"/>
      <c r="N531" s="42"/>
      <c r="O531" s="1456" t="s">
        <v>334</v>
      </c>
      <c r="P531" s="1457"/>
      <c r="Q531" s="1457"/>
      <c r="R531" s="1457"/>
      <c r="S531" s="1457"/>
      <c r="T531" s="1457"/>
      <c r="U531" s="1457"/>
      <c r="V531" s="1457"/>
      <c r="W531" s="1457"/>
      <c r="X531" s="1457"/>
      <c r="Y531" s="1457"/>
      <c r="Z531" s="1457"/>
      <c r="AA531" s="1457"/>
      <c r="AC531" s="1454" t="s">
        <v>591</v>
      </c>
      <c r="AD531" s="1455"/>
      <c r="AE531" s="1455"/>
      <c r="AF531" s="1455"/>
      <c r="AG531" s="13" t="s">
        <v>403</v>
      </c>
      <c r="AH531" s="1397"/>
      <c r="AI531" s="1397"/>
      <c r="AJ531" s="1397"/>
      <c r="AK531" s="1398"/>
      <c r="AZ531" s="3"/>
      <c r="BA531" s="3"/>
      <c r="BB531" s="3"/>
      <c r="BC531" s="3"/>
      <c r="BD531" s="3"/>
      <c r="BE531" s="3"/>
      <c r="BF531" s="3"/>
      <c r="BG531" s="3"/>
      <c r="BH531" s="3"/>
      <c r="BI531" s="3"/>
      <c r="BJ531" s="3"/>
      <c r="BK531" s="3"/>
      <c r="BL531" s="3"/>
      <c r="BM531" s="3"/>
      <c r="BN531" s="3" t="s">
        <v>2071</v>
      </c>
    </row>
    <row r="532" spans="2:66" ht="12.95" customHeight="1">
      <c r="B532" s="1710"/>
      <c r="C532" s="1515"/>
      <c r="D532" s="1515"/>
      <c r="E532" s="1515"/>
      <c r="F532" s="1515"/>
      <c r="G532" s="1515"/>
      <c r="H532" s="1516"/>
      <c r="I532" t="s">
        <v>421</v>
      </c>
      <c r="AC532" s="1454" t="s">
        <v>591</v>
      </c>
      <c r="AD532" s="1455"/>
      <c r="AE532" s="1455"/>
      <c r="AF532" s="1455"/>
      <c r="AG532" s="13" t="s">
        <v>403</v>
      </c>
      <c r="AH532" s="1397"/>
      <c r="AI532" s="1397"/>
      <c r="AJ532" s="1397"/>
      <c r="AK532" s="1398"/>
      <c r="AZ532" s="3"/>
      <c r="BA532" s="3"/>
      <c r="BB532" s="3"/>
      <c r="BC532" s="3"/>
      <c r="BD532" s="3"/>
      <c r="BE532" s="3"/>
      <c r="BF532" s="3"/>
      <c r="BG532" s="3"/>
      <c r="BH532" s="3"/>
      <c r="BI532" s="3"/>
      <c r="BJ532" s="3"/>
      <c r="BK532" s="3"/>
      <c r="BL532" s="3"/>
      <c r="BM532" s="3"/>
      <c r="BN532" s="3" t="s">
        <v>2072</v>
      </c>
    </row>
    <row r="533" spans="2:66" ht="12.95" customHeight="1">
      <c r="B533" s="1710"/>
      <c r="C533" s="1515"/>
      <c r="D533" s="1515"/>
      <c r="E533" s="1515"/>
      <c r="F533" s="1515"/>
      <c r="G533" s="1515"/>
      <c r="H533" s="1516"/>
      <c r="I533" s="48" t="s">
        <v>422</v>
      </c>
      <c r="J533" s="48"/>
      <c r="K533" s="48"/>
      <c r="L533" s="48"/>
      <c r="M533" s="48"/>
      <c r="N533" s="48"/>
      <c r="O533" s="48"/>
      <c r="P533" s="48"/>
      <c r="Q533" s="48"/>
      <c r="R533" s="48"/>
      <c r="S533" s="48"/>
      <c r="T533" s="48"/>
      <c r="U533" s="48"/>
      <c r="V533" s="48"/>
      <c r="W533" s="48"/>
      <c r="X533" s="48"/>
      <c r="Y533" s="48"/>
      <c r="Z533" s="48"/>
      <c r="AA533" s="48"/>
      <c r="AB533" s="48"/>
      <c r="AC533" s="1454" t="s">
        <v>591</v>
      </c>
      <c r="AD533" s="1455"/>
      <c r="AE533" s="1455"/>
      <c r="AF533" s="1455"/>
      <c r="AG533" s="38" t="s">
        <v>403</v>
      </c>
      <c r="AH533" s="1397"/>
      <c r="AI533" s="1397"/>
      <c r="AJ533" s="1397"/>
      <c r="AK533" s="1398"/>
      <c r="AZ533" s="3"/>
      <c r="BA533" s="3"/>
      <c r="BB533" s="3"/>
      <c r="BC533" s="3"/>
      <c r="BD533" s="3"/>
      <c r="BE533" s="3"/>
      <c r="BF533" s="3"/>
      <c r="BG533" s="3"/>
      <c r="BH533" s="3"/>
      <c r="BI533" s="3"/>
      <c r="BJ533" s="3"/>
      <c r="BK533" s="3"/>
      <c r="BL533" s="3"/>
      <c r="BM533" s="3"/>
      <c r="BN533" s="3" t="s">
        <v>2073</v>
      </c>
    </row>
    <row r="534" spans="2:66" ht="12.95" customHeight="1">
      <c r="B534" s="1710"/>
      <c r="C534" s="1515"/>
      <c r="D534" s="1515"/>
      <c r="E534" s="1515"/>
      <c r="F534" s="1515"/>
      <c r="G534" s="1515"/>
      <c r="H534" s="1516"/>
      <c r="I534" s="42" t="s">
        <v>423</v>
      </c>
      <c r="J534" s="42"/>
      <c r="K534" s="42"/>
      <c r="L534" s="42"/>
      <c r="M534" s="42"/>
      <c r="N534" s="42"/>
      <c r="O534" s="1456" t="s">
        <v>334</v>
      </c>
      <c r="P534" s="1457"/>
      <c r="Q534" s="1457"/>
      <c r="R534" s="1457"/>
      <c r="S534" s="1457"/>
      <c r="T534" s="1457"/>
      <c r="U534" s="1457"/>
      <c r="V534" s="1457"/>
      <c r="W534" s="1457"/>
      <c r="X534" s="1457"/>
      <c r="Y534" s="1457"/>
      <c r="Z534" s="1457"/>
      <c r="AA534" s="1457"/>
      <c r="AC534" s="1454" t="s">
        <v>591</v>
      </c>
      <c r="AD534" s="1455"/>
      <c r="AE534" s="1455"/>
      <c r="AF534" s="1455"/>
      <c r="AG534" s="13" t="s">
        <v>403</v>
      </c>
      <c r="AH534" s="1397"/>
      <c r="AI534" s="1397"/>
      <c r="AJ534" s="1397"/>
      <c r="AK534" s="1398"/>
      <c r="AZ534" s="3"/>
      <c r="BA534" s="3"/>
      <c r="BB534" s="3"/>
      <c r="BC534" s="3"/>
      <c r="BD534" s="3"/>
      <c r="BE534" s="3"/>
      <c r="BF534" s="3"/>
      <c r="BG534" s="3"/>
      <c r="BH534" s="3"/>
      <c r="BI534" s="3"/>
      <c r="BJ534" s="3"/>
      <c r="BK534" s="3"/>
      <c r="BL534" s="3"/>
      <c r="BM534" s="3"/>
      <c r="BN534" s="3" t="s">
        <v>2074</v>
      </c>
    </row>
    <row r="535" spans="2:66" ht="12.95" customHeight="1">
      <c r="B535" s="1710"/>
      <c r="C535" s="1515"/>
      <c r="D535" s="1515"/>
      <c r="E535" s="1515"/>
      <c r="F535" s="1515"/>
      <c r="G535" s="1515"/>
      <c r="H535" s="1516"/>
      <c r="I535" t="s">
        <v>421</v>
      </c>
      <c r="AC535" s="1454" t="s">
        <v>591</v>
      </c>
      <c r="AD535" s="1455"/>
      <c r="AE535" s="1455"/>
      <c r="AF535" s="1455"/>
      <c r="AG535" s="13" t="s">
        <v>403</v>
      </c>
      <c r="AH535" s="1397"/>
      <c r="AI535" s="1397"/>
      <c r="AJ535" s="1397"/>
      <c r="AK535" s="1398"/>
      <c r="AZ535" s="3"/>
      <c r="BA535" s="3"/>
      <c r="BB535" s="3"/>
      <c r="BC535" s="3"/>
      <c r="BD535" s="3"/>
      <c r="BE535" s="3"/>
      <c r="BF535" s="3"/>
      <c r="BG535" s="3"/>
      <c r="BH535" s="3"/>
      <c r="BI535" s="3"/>
      <c r="BJ535" s="3"/>
      <c r="BK535" s="3"/>
      <c r="BL535" s="3"/>
      <c r="BM535" s="3"/>
      <c r="BN535" s="3" t="s">
        <v>2075</v>
      </c>
    </row>
    <row r="536" spans="2:66" ht="12.95" customHeight="1">
      <c r="B536" s="1710"/>
      <c r="C536" s="1515"/>
      <c r="D536" s="1515"/>
      <c r="E536" s="1515"/>
      <c r="F536" s="1515"/>
      <c r="G536" s="1515"/>
      <c r="H536" s="1516"/>
      <c r="I536" s="48" t="s">
        <v>422</v>
      </c>
      <c r="J536" s="48"/>
      <c r="K536" s="48"/>
      <c r="L536" s="48"/>
      <c r="M536" s="48"/>
      <c r="N536" s="48"/>
      <c r="O536" s="48"/>
      <c r="P536" s="48"/>
      <c r="Q536" s="48"/>
      <c r="R536" s="48"/>
      <c r="S536" s="48"/>
      <c r="T536" s="48"/>
      <c r="U536" s="48"/>
      <c r="V536" s="48"/>
      <c r="W536" s="48"/>
      <c r="X536" s="48"/>
      <c r="Y536" s="48"/>
      <c r="Z536" s="48"/>
      <c r="AA536" s="48"/>
      <c r="AB536" s="48"/>
      <c r="AC536" s="1454" t="s">
        <v>591</v>
      </c>
      <c r="AD536" s="1455"/>
      <c r="AE536" s="1455"/>
      <c r="AF536" s="1455"/>
      <c r="AG536" s="38" t="s">
        <v>403</v>
      </c>
      <c r="AH536" s="1397"/>
      <c r="AI536" s="1397"/>
      <c r="AJ536" s="1397"/>
      <c r="AK536" s="1398"/>
      <c r="AZ536" s="3"/>
      <c r="BA536" s="3"/>
      <c r="BB536" s="3"/>
      <c r="BC536" s="3"/>
      <c r="BD536" s="3"/>
      <c r="BE536" s="3"/>
      <c r="BF536" s="3"/>
      <c r="BG536" s="3"/>
      <c r="BH536" s="3"/>
      <c r="BI536" s="3"/>
      <c r="BJ536" s="3"/>
      <c r="BK536" s="3"/>
      <c r="BL536" s="3"/>
      <c r="BM536" s="3"/>
      <c r="BN536" s="3" t="s">
        <v>2076</v>
      </c>
    </row>
    <row r="537" spans="2:66" ht="12.95" customHeight="1">
      <c r="B537" s="1710"/>
      <c r="C537" s="1515"/>
      <c r="D537" s="1515"/>
      <c r="E537" s="1515"/>
      <c r="F537" s="1515"/>
      <c r="G537" s="1515"/>
      <c r="H537" s="1516"/>
      <c r="I537" s="42" t="s">
        <v>423</v>
      </c>
      <c r="J537" s="42"/>
      <c r="K537" s="42"/>
      <c r="L537" s="42"/>
      <c r="M537" s="42"/>
      <c r="N537" s="42"/>
      <c r="O537" s="1456" t="s">
        <v>334</v>
      </c>
      <c r="P537" s="1457"/>
      <c r="Q537" s="1457"/>
      <c r="R537" s="1457"/>
      <c r="S537" s="1457"/>
      <c r="T537" s="1457"/>
      <c r="U537" s="1457"/>
      <c r="V537" s="1457"/>
      <c r="W537" s="1457"/>
      <c r="X537" s="1457"/>
      <c r="Y537" s="1457"/>
      <c r="Z537" s="1457"/>
      <c r="AA537" s="1457"/>
      <c r="AC537" s="1454" t="s">
        <v>591</v>
      </c>
      <c r="AD537" s="1455"/>
      <c r="AE537" s="1455"/>
      <c r="AF537" s="1455"/>
      <c r="AG537" s="13" t="s">
        <v>403</v>
      </c>
      <c r="AH537" s="1397"/>
      <c r="AI537" s="1397"/>
      <c r="AJ537" s="1397"/>
      <c r="AK537" s="1398"/>
      <c r="AZ537" s="3"/>
      <c r="BA537" s="3"/>
      <c r="BB537" s="3"/>
      <c r="BC537" s="3"/>
      <c r="BD537" s="3"/>
      <c r="BE537" s="3"/>
      <c r="BF537" s="3"/>
      <c r="BG537" s="3"/>
      <c r="BH537" s="3"/>
      <c r="BI537" s="3"/>
      <c r="BJ537" s="3"/>
      <c r="BK537" s="3"/>
      <c r="BL537" s="3"/>
      <c r="BM537" s="3"/>
      <c r="BN537" s="3" t="s">
        <v>2077</v>
      </c>
    </row>
    <row r="538" spans="2:66" ht="12.95" customHeight="1">
      <c r="B538" s="1710"/>
      <c r="C538" s="1515"/>
      <c r="D538" s="1515"/>
      <c r="E538" s="1515"/>
      <c r="F538" s="1515"/>
      <c r="G538" s="1515"/>
      <c r="H538" s="1516"/>
      <c r="I538" t="s">
        <v>421</v>
      </c>
      <c r="AC538" s="1454" t="s">
        <v>591</v>
      </c>
      <c r="AD538" s="1455"/>
      <c r="AE538" s="1455"/>
      <c r="AF538" s="1455"/>
      <c r="AG538" s="13" t="s">
        <v>403</v>
      </c>
      <c r="AH538" s="1397"/>
      <c r="AI538" s="1397"/>
      <c r="AJ538" s="1397"/>
      <c r="AK538" s="1398"/>
      <c r="AZ538" s="3"/>
      <c r="BA538" s="3"/>
      <c r="BB538" s="3"/>
      <c r="BC538" s="3"/>
      <c r="BD538" s="3"/>
      <c r="BE538" s="3"/>
      <c r="BF538" s="3"/>
      <c r="BG538" s="3"/>
      <c r="BH538" s="3"/>
      <c r="BI538" s="3"/>
      <c r="BJ538" s="3"/>
      <c r="BK538" s="3"/>
      <c r="BL538" s="3"/>
      <c r="BM538" s="3"/>
      <c r="BN538" s="3" t="s">
        <v>2078</v>
      </c>
    </row>
    <row r="539" spans="2:66" ht="12.95" customHeight="1">
      <c r="B539" s="1710"/>
      <c r="C539" s="1515"/>
      <c r="D539" s="1515"/>
      <c r="E539" s="1515"/>
      <c r="F539" s="1515"/>
      <c r="G539" s="1515"/>
      <c r="H539" s="1516"/>
      <c r="I539" s="48" t="s">
        <v>422</v>
      </c>
      <c r="J539" s="48"/>
      <c r="K539" s="48"/>
      <c r="L539" s="48"/>
      <c r="M539" s="48"/>
      <c r="N539" s="48"/>
      <c r="O539" s="48"/>
      <c r="P539" s="48"/>
      <c r="Q539" s="48"/>
      <c r="R539" s="48"/>
      <c r="S539" s="48"/>
      <c r="T539" s="48"/>
      <c r="U539" s="48"/>
      <c r="V539" s="48"/>
      <c r="W539" s="48"/>
      <c r="X539" s="48"/>
      <c r="Y539" s="48"/>
      <c r="Z539" s="48"/>
      <c r="AA539" s="48"/>
      <c r="AB539" s="48"/>
      <c r="AC539" s="1454" t="s">
        <v>591</v>
      </c>
      <c r="AD539" s="1455"/>
      <c r="AE539" s="1455"/>
      <c r="AF539" s="1455"/>
      <c r="AG539" s="38" t="s">
        <v>403</v>
      </c>
      <c r="AH539" s="1397"/>
      <c r="AI539" s="1397"/>
      <c r="AJ539" s="1397"/>
      <c r="AK539" s="1398"/>
      <c r="AZ539" s="3"/>
      <c r="BA539" s="3"/>
      <c r="BB539" s="3"/>
      <c r="BC539" s="3"/>
      <c r="BD539" s="3"/>
      <c r="BE539" s="3"/>
      <c r="BF539" s="3"/>
      <c r="BG539" s="3"/>
      <c r="BH539" s="3"/>
      <c r="BI539" s="3"/>
      <c r="BJ539" s="3"/>
      <c r="BK539" s="3"/>
      <c r="BL539" s="3"/>
      <c r="BM539" s="3"/>
      <c r="BN539" s="3" t="s">
        <v>2079</v>
      </c>
    </row>
    <row r="540" spans="2:66" ht="12.95" customHeight="1">
      <c r="B540" s="1710"/>
      <c r="C540" s="1515"/>
      <c r="D540" s="1515"/>
      <c r="E540" s="1515"/>
      <c r="F540" s="1515"/>
      <c r="G540" s="1515"/>
      <c r="H540" s="1516"/>
      <c r="I540" s="42" t="s">
        <v>423</v>
      </c>
      <c r="J540" s="42"/>
      <c r="K540" s="42"/>
      <c r="L540" s="42"/>
      <c r="M540" s="42"/>
      <c r="N540" s="42"/>
      <c r="O540" s="1456" t="s">
        <v>334</v>
      </c>
      <c r="P540" s="1457"/>
      <c r="Q540" s="1457"/>
      <c r="R540" s="1457"/>
      <c r="S540" s="1457"/>
      <c r="T540" s="1457"/>
      <c r="U540" s="1457"/>
      <c r="V540" s="1457"/>
      <c r="W540" s="1457"/>
      <c r="X540" s="1457"/>
      <c r="Y540" s="1457"/>
      <c r="Z540" s="1457"/>
      <c r="AA540" s="1457"/>
      <c r="AC540" s="1454" t="s">
        <v>591</v>
      </c>
      <c r="AD540" s="1455"/>
      <c r="AE540" s="1455"/>
      <c r="AF540" s="1455"/>
      <c r="AG540" s="13" t="s">
        <v>403</v>
      </c>
      <c r="AH540" s="1397"/>
      <c r="AI540" s="1397"/>
      <c r="AJ540" s="1397"/>
      <c r="AK540" s="1398"/>
      <c r="AZ540" s="3"/>
      <c r="BA540" s="3"/>
      <c r="BB540" s="3"/>
      <c r="BC540" s="3"/>
      <c r="BD540" s="3"/>
      <c r="BE540" s="3"/>
      <c r="BF540" s="3"/>
      <c r="BG540" s="3"/>
      <c r="BH540" s="3"/>
      <c r="BI540" s="3"/>
      <c r="BJ540" s="3"/>
      <c r="BK540" s="3"/>
      <c r="BL540" s="3"/>
      <c r="BM540" s="3"/>
      <c r="BN540" s="3" t="s">
        <v>2080</v>
      </c>
    </row>
    <row r="541" spans="2:66" ht="12.95" customHeight="1">
      <c r="B541" s="1710"/>
      <c r="C541" s="1515"/>
      <c r="D541" s="1515"/>
      <c r="E541" s="1515"/>
      <c r="F541" s="1515"/>
      <c r="G541" s="1515"/>
      <c r="H541" s="1516"/>
      <c r="I541" t="s">
        <v>421</v>
      </c>
      <c r="AC541" s="1454" t="s">
        <v>591</v>
      </c>
      <c r="AD541" s="1455"/>
      <c r="AE541" s="1455"/>
      <c r="AF541" s="1455"/>
      <c r="AG541" s="38" t="s">
        <v>403</v>
      </c>
      <c r="AH541" s="1397"/>
      <c r="AI541" s="1397"/>
      <c r="AJ541" s="1397"/>
      <c r="AK541" s="1398"/>
      <c r="AZ541" s="3"/>
      <c r="BA541" s="3"/>
      <c r="BB541" s="3"/>
      <c r="BC541" s="3"/>
      <c r="BD541" s="3"/>
      <c r="BE541" s="3"/>
      <c r="BF541" s="3"/>
      <c r="BG541" s="3"/>
      <c r="BH541" s="3"/>
      <c r="BI541" s="3"/>
      <c r="BJ541" s="3"/>
      <c r="BK541" s="3"/>
      <c r="BL541" s="3"/>
      <c r="BM541" s="3"/>
      <c r="BN541" s="3" t="s">
        <v>2081</v>
      </c>
    </row>
    <row r="542" spans="2:66" ht="12.95" customHeight="1">
      <c r="B542" s="1710"/>
      <c r="C542" s="1515"/>
      <c r="D542" s="1515"/>
      <c r="E542" s="1515"/>
      <c r="F542" s="1515"/>
      <c r="G542" s="1515"/>
      <c r="H542" s="1516"/>
      <c r="I542" s="48" t="s">
        <v>422</v>
      </c>
      <c r="J542" s="48"/>
      <c r="K542" s="48"/>
      <c r="L542" s="48"/>
      <c r="M542" s="48"/>
      <c r="N542" s="48"/>
      <c r="O542" s="48"/>
      <c r="P542" s="48"/>
      <c r="Q542" s="48"/>
      <c r="R542" s="48"/>
      <c r="S542" s="48"/>
      <c r="T542" s="48"/>
      <c r="U542" s="48"/>
      <c r="V542" s="48"/>
      <c r="W542" s="48"/>
      <c r="X542" s="48"/>
      <c r="Y542" s="48"/>
      <c r="Z542" s="48"/>
      <c r="AA542" s="48"/>
      <c r="AB542" s="48"/>
      <c r="AC542" s="1454" t="s">
        <v>591</v>
      </c>
      <c r="AD542" s="1455"/>
      <c r="AE542" s="1455"/>
      <c r="AF542" s="1455"/>
      <c r="AG542" s="13" t="s">
        <v>403</v>
      </c>
      <c r="AH542" s="1397"/>
      <c r="AI542" s="1397"/>
      <c r="AJ542" s="1397"/>
      <c r="AK542" s="1398"/>
      <c r="AZ542" s="3"/>
      <c r="BA542" s="3"/>
      <c r="BB542" s="3"/>
      <c r="BC542" s="3"/>
      <c r="BD542" s="3"/>
      <c r="BE542" s="3"/>
      <c r="BF542" s="3"/>
      <c r="BG542" s="3"/>
      <c r="BH542" s="3"/>
      <c r="BI542" s="3"/>
      <c r="BJ542" s="3"/>
      <c r="BK542" s="3"/>
      <c r="BL542" s="3"/>
      <c r="BM542" s="3"/>
      <c r="BN542" s="3" t="s">
        <v>2082</v>
      </c>
    </row>
    <row r="543" spans="2:66" ht="12.95" customHeight="1">
      <c r="B543" s="1710"/>
      <c r="C543" s="1515"/>
      <c r="D543" s="1515"/>
      <c r="E543" s="1515"/>
      <c r="F543" s="1515"/>
      <c r="G543" s="1515"/>
      <c r="H543" s="1516"/>
      <c r="I543" s="42" t="s">
        <v>423</v>
      </c>
      <c r="J543" s="42"/>
      <c r="K543" s="42"/>
      <c r="L543" s="42"/>
      <c r="M543" s="42"/>
      <c r="N543" s="42"/>
      <c r="O543" s="1456" t="s">
        <v>334</v>
      </c>
      <c r="P543" s="1457"/>
      <c r="Q543" s="1457"/>
      <c r="R543" s="1457"/>
      <c r="S543" s="1457"/>
      <c r="T543" s="1457"/>
      <c r="U543" s="1457"/>
      <c r="V543" s="1457"/>
      <c r="W543" s="1457"/>
      <c r="X543" s="1457"/>
      <c r="Y543" s="1457"/>
      <c r="Z543" s="1457"/>
      <c r="AA543" s="1457"/>
      <c r="AC543" s="1454" t="s">
        <v>591</v>
      </c>
      <c r="AD543" s="1455"/>
      <c r="AE543" s="1455"/>
      <c r="AF543" s="1455"/>
      <c r="AG543" s="38" t="s">
        <v>403</v>
      </c>
      <c r="AH543" s="1397"/>
      <c r="AI543" s="1397"/>
      <c r="AJ543" s="1397"/>
      <c r="AK543" s="1398"/>
      <c r="AZ543" s="3"/>
      <c r="BA543" s="3"/>
      <c r="BB543" s="3"/>
      <c r="BC543" s="3"/>
      <c r="BD543" s="3"/>
      <c r="BE543" s="3"/>
      <c r="BF543" s="3"/>
      <c r="BG543" s="3"/>
      <c r="BH543" s="3"/>
      <c r="BI543" s="3"/>
      <c r="BJ543" s="3"/>
      <c r="BK543" s="3"/>
      <c r="BL543" s="3"/>
      <c r="BM543" s="3"/>
      <c r="BN543" s="3" t="s">
        <v>2083</v>
      </c>
    </row>
    <row r="544" spans="2:66" ht="12.95" customHeight="1">
      <c r="B544" s="1710"/>
      <c r="C544" s="1515"/>
      <c r="D544" s="1515"/>
      <c r="E544" s="1515"/>
      <c r="F544" s="1515"/>
      <c r="G544" s="1515"/>
      <c r="H544" s="1516"/>
      <c r="I544" t="s">
        <v>421</v>
      </c>
      <c r="AC544" s="1454" t="s">
        <v>591</v>
      </c>
      <c r="AD544" s="1455"/>
      <c r="AE544" s="1455"/>
      <c r="AF544" s="1455"/>
      <c r="AG544" s="13" t="s">
        <v>403</v>
      </c>
      <c r="AH544" s="1397"/>
      <c r="AI544" s="1397"/>
      <c r="AJ544" s="1397"/>
      <c r="AK544" s="1398"/>
      <c r="AZ544" s="3"/>
      <c r="BA544" s="3"/>
      <c r="BB544" s="3"/>
      <c r="BC544" s="3"/>
      <c r="BD544" s="3"/>
      <c r="BE544" s="3"/>
      <c r="BF544" s="3"/>
      <c r="BG544" s="3"/>
      <c r="BH544" s="3"/>
      <c r="BI544" s="3"/>
      <c r="BJ544" s="3"/>
      <c r="BK544" s="3"/>
      <c r="BL544" s="3"/>
      <c r="BM544" s="3"/>
      <c r="BN544" s="3" t="s">
        <v>2084</v>
      </c>
    </row>
    <row r="545" spans="1:66" ht="12.95" customHeight="1">
      <c r="B545" s="1710"/>
      <c r="C545" s="1515"/>
      <c r="D545" s="1515"/>
      <c r="E545" s="1515"/>
      <c r="F545" s="1515"/>
      <c r="G545" s="1515"/>
      <c r="H545" s="1516"/>
      <c r="I545" s="48" t="s">
        <v>422</v>
      </c>
      <c r="J545" s="48"/>
      <c r="K545" s="48"/>
      <c r="L545" s="48"/>
      <c r="M545" s="48"/>
      <c r="N545" s="48"/>
      <c r="O545" s="48"/>
      <c r="P545" s="48"/>
      <c r="Q545" s="48"/>
      <c r="R545" s="48"/>
      <c r="S545" s="48"/>
      <c r="T545" s="48"/>
      <c r="U545" s="48"/>
      <c r="V545" s="48"/>
      <c r="W545" s="48"/>
      <c r="X545" s="48"/>
      <c r="Y545" s="48"/>
      <c r="Z545" s="48"/>
      <c r="AA545" s="48"/>
      <c r="AB545" s="48"/>
      <c r="AC545" s="1454" t="s">
        <v>591</v>
      </c>
      <c r="AD545" s="1455"/>
      <c r="AE545" s="1455"/>
      <c r="AF545" s="1455"/>
      <c r="AG545" s="38" t="s">
        <v>403</v>
      </c>
      <c r="AH545" s="1397"/>
      <c r="AI545" s="1397"/>
      <c r="AJ545" s="1397"/>
      <c r="AK545" s="1398"/>
      <c r="AZ545" s="3"/>
      <c r="BA545" s="3"/>
      <c r="BB545" s="3"/>
      <c r="BC545" s="3"/>
      <c r="BD545" s="3"/>
      <c r="BE545" s="3"/>
      <c r="BF545" s="3"/>
      <c r="BG545" s="3"/>
      <c r="BH545" s="3"/>
      <c r="BI545" s="3"/>
      <c r="BJ545" s="3"/>
      <c r="BK545" s="3"/>
      <c r="BL545" s="3"/>
      <c r="BM545" s="3"/>
      <c r="BN545" s="3" t="s">
        <v>2085</v>
      </c>
    </row>
    <row r="546" spans="1:66" ht="12.95" customHeight="1">
      <c r="B546" s="1710"/>
      <c r="C546" s="1515"/>
      <c r="D546" s="1515"/>
      <c r="E546" s="1515"/>
      <c r="F546" s="1515"/>
      <c r="G546" s="1515"/>
      <c r="H546" s="1516"/>
      <c r="I546" s="42" t="s">
        <v>562</v>
      </c>
      <c r="J546" s="42"/>
      <c r="K546" s="42"/>
      <c r="L546" s="42"/>
      <c r="M546" s="42"/>
      <c r="N546" s="42"/>
      <c r="O546" s="42"/>
      <c r="P546" s="42"/>
      <c r="Q546" s="42"/>
      <c r="R546" s="42"/>
      <c r="S546" s="42"/>
      <c r="T546" s="42"/>
      <c r="U546" s="42"/>
      <c r="V546" s="42"/>
      <c r="W546" s="42"/>
      <c r="AC546" s="1454">
        <v>1</v>
      </c>
      <c r="AD546" s="1455"/>
      <c r="AE546" s="1455"/>
      <c r="AF546" s="1455"/>
      <c r="AG546" s="38" t="s">
        <v>403</v>
      </c>
      <c r="AH546" s="1397">
        <v>2027</v>
      </c>
      <c r="AI546" s="1397"/>
      <c r="AJ546" s="1397"/>
      <c r="AK546" s="1398"/>
      <c r="AZ546" s="3"/>
      <c r="BA546" s="3"/>
      <c r="BB546" s="3"/>
      <c r="BC546" s="3"/>
      <c r="BD546" s="3"/>
      <c r="BE546" s="3"/>
      <c r="BF546" s="3"/>
      <c r="BG546" s="3"/>
      <c r="BH546" s="3"/>
      <c r="BI546" s="3"/>
      <c r="BJ546" s="3"/>
      <c r="BK546" s="3"/>
      <c r="BL546" s="3"/>
      <c r="BM546" s="3"/>
      <c r="BN546" s="3"/>
    </row>
    <row r="547" spans="1:66" ht="12.95" customHeight="1">
      <c r="B547" s="1710"/>
      <c r="C547" s="1515"/>
      <c r="D547" s="1515"/>
      <c r="E547" s="1515"/>
      <c r="F547" s="1515"/>
      <c r="G547" s="1515"/>
      <c r="H547" s="1516"/>
      <c r="I547" t="s">
        <v>563</v>
      </c>
      <c r="AC547" s="1454">
        <v>11</v>
      </c>
      <c r="AD547" s="1455"/>
      <c r="AE547" s="1455"/>
      <c r="AF547" s="1455"/>
      <c r="AG547" s="13" t="s">
        <v>403</v>
      </c>
      <c r="AH547" s="1397">
        <v>2026</v>
      </c>
      <c r="AI547" s="1397"/>
      <c r="AJ547" s="1397"/>
      <c r="AK547" s="1398"/>
      <c r="AZ547" s="3"/>
      <c r="BA547" s="3"/>
      <c r="BB547" s="3"/>
      <c r="BC547" s="3"/>
      <c r="BD547" s="3"/>
      <c r="BE547" s="3"/>
      <c r="BF547" s="3"/>
      <c r="BG547" s="3"/>
      <c r="BH547" s="3"/>
      <c r="BI547" s="3"/>
      <c r="BJ547" s="3"/>
      <c r="BK547" s="3"/>
      <c r="BL547" s="3"/>
      <c r="BM547" s="3"/>
      <c r="BN547" s="3"/>
    </row>
    <row r="548" spans="1:66" ht="12.95" customHeight="1">
      <c r="B548" s="1710"/>
      <c r="C548" s="1515"/>
      <c r="D548" s="1515"/>
      <c r="E548" s="1515"/>
      <c r="F548" s="1515"/>
      <c r="G548" s="1515"/>
      <c r="H548" s="1516"/>
      <c r="I548" t="s">
        <v>564</v>
      </c>
      <c r="AC548" s="1454">
        <v>11</v>
      </c>
      <c r="AD548" s="1455"/>
      <c r="AE548" s="1455"/>
      <c r="AF548" s="1455"/>
      <c r="AG548" s="38" t="s">
        <v>403</v>
      </c>
      <c r="AH548" s="1397">
        <v>2028</v>
      </c>
      <c r="AI548" s="1397"/>
      <c r="AJ548" s="1397"/>
      <c r="AK548" s="1398"/>
      <c r="AZ548" s="3"/>
      <c r="BA548" s="3"/>
      <c r="BB548" s="3"/>
      <c r="BC548" s="3"/>
      <c r="BD548" s="3"/>
      <c r="BE548" s="3"/>
      <c r="BF548" s="3"/>
      <c r="BG548" s="3"/>
      <c r="BH548" s="3"/>
      <c r="BI548" s="3"/>
      <c r="BJ548" s="3"/>
      <c r="BK548" s="3"/>
      <c r="BL548" s="3"/>
      <c r="BM548" s="3"/>
      <c r="BN548" s="3"/>
    </row>
    <row r="549" spans="1:66" ht="12.95" customHeight="1">
      <c r="B549" s="1710"/>
      <c r="C549" s="1515"/>
      <c r="D549" s="1515"/>
      <c r="E549" s="1515"/>
      <c r="F549" s="1515"/>
      <c r="G549" s="1515"/>
      <c r="H549" s="1516"/>
      <c r="I549" t="s">
        <v>565</v>
      </c>
      <c r="AC549" s="1454">
        <v>12</v>
      </c>
      <c r="AD549" s="1455"/>
      <c r="AE549" s="1455"/>
      <c r="AF549" s="1455"/>
      <c r="AG549" s="38" t="s">
        <v>403</v>
      </c>
      <c r="AH549" s="1397">
        <v>2028</v>
      </c>
      <c r="AI549" s="1397"/>
      <c r="AJ549" s="1397"/>
      <c r="AK549" s="1398"/>
      <c r="AZ549" s="3"/>
      <c r="BA549" s="3"/>
      <c r="BB549" s="3"/>
      <c r="BC549" s="3"/>
      <c r="BD549" s="3"/>
      <c r="BE549" s="3"/>
      <c r="BF549" s="3"/>
      <c r="BG549" s="3"/>
      <c r="BH549" s="3"/>
      <c r="BI549" s="3"/>
      <c r="BJ549" s="3"/>
      <c r="BK549" s="3"/>
      <c r="BL549" s="3"/>
      <c r="BM549" s="3"/>
      <c r="BN549" s="3"/>
    </row>
    <row r="550" spans="1:66" ht="12.95" customHeight="1">
      <c r="B550" s="1711"/>
      <c r="C550" s="1517"/>
      <c r="D550" s="1517"/>
      <c r="E550" s="1517"/>
      <c r="F550" s="1517"/>
      <c r="G550" s="1517"/>
      <c r="H550" s="1518"/>
      <c r="I550" s="48" t="s">
        <v>451</v>
      </c>
      <c r="J550" s="48"/>
      <c r="K550" s="48"/>
      <c r="L550" s="48"/>
      <c r="M550" s="48"/>
      <c r="N550" s="48"/>
      <c r="O550" s="48"/>
      <c r="P550" s="48"/>
      <c r="Q550" s="48"/>
      <c r="R550" s="48"/>
      <c r="S550" s="48"/>
      <c r="T550" s="48"/>
      <c r="U550" s="48"/>
      <c r="V550" s="48"/>
      <c r="W550" s="48"/>
      <c r="X550" s="48"/>
      <c r="Y550" s="48"/>
      <c r="Z550" s="48"/>
      <c r="AA550" s="48"/>
      <c r="AB550" s="48"/>
      <c r="AC550" s="1454">
        <v>3</v>
      </c>
      <c r="AD550" s="1455"/>
      <c r="AE550" s="1455"/>
      <c r="AF550" s="1455"/>
      <c r="AG550" s="38" t="s">
        <v>403</v>
      </c>
      <c r="AH550" s="1397">
        <v>2029</v>
      </c>
      <c r="AI550" s="1397"/>
      <c r="AJ550" s="1397"/>
      <c r="AK550" s="1398"/>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7" t="s">
        <v>543</v>
      </c>
      <c r="B552" s="1267"/>
      <c r="C552" s="1267"/>
      <c r="D552" s="1267"/>
      <c r="E552" s="1267"/>
      <c r="F552" s="1267"/>
      <c r="G552" s="1267"/>
      <c r="H552" s="1267"/>
      <c r="I552" s="1267"/>
      <c r="J552" s="1267"/>
      <c r="K552" s="1267"/>
      <c r="L552" s="1267"/>
      <c r="M552" s="1267"/>
      <c r="N552" s="1267"/>
      <c r="O552" s="1267"/>
      <c r="P552" s="1267"/>
      <c r="Q552" s="1267"/>
      <c r="R552" s="1267"/>
      <c r="S552" s="1267"/>
      <c r="T552" s="1267"/>
      <c r="U552" s="1267"/>
      <c r="V552" s="1267"/>
      <c r="W552" s="1267"/>
      <c r="X552" s="1267"/>
      <c r="Y552" s="1267"/>
      <c r="Z552" s="1267"/>
      <c r="AA552" s="1267"/>
      <c r="AB552" s="1267"/>
      <c r="AC552" s="1267"/>
      <c r="AD552" s="1267"/>
      <c r="AE552" s="1267"/>
      <c r="AF552" s="1267"/>
      <c r="AG552" s="1267"/>
      <c r="AH552" s="1267"/>
      <c r="AI552" s="1267"/>
      <c r="AJ552" s="1267"/>
      <c r="AK552" s="1267"/>
      <c r="AL552" s="1267"/>
      <c r="AM552" s="1267"/>
      <c r="AN552" s="1267"/>
      <c r="AO552" s="1267"/>
      <c r="AP552" s="1267"/>
      <c r="AQ552" s="1267"/>
      <c r="AR552" s="1267"/>
      <c r="AS552" s="1267"/>
      <c r="AT552" s="1267"/>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7"/>
      <c r="B553" s="1267"/>
      <c r="C553" s="1267"/>
      <c r="D553" s="1267"/>
      <c r="E553" s="1267"/>
      <c r="F553" s="1267"/>
      <c r="G553" s="1267"/>
      <c r="H553" s="1267"/>
      <c r="I553" s="1267"/>
      <c r="J553" s="1267"/>
      <c r="K553" s="1267"/>
      <c r="L553" s="1267"/>
      <c r="M553" s="1267"/>
      <c r="N553" s="1267"/>
      <c r="O553" s="1267"/>
      <c r="P553" s="1267"/>
      <c r="Q553" s="1267"/>
      <c r="R553" s="1267"/>
      <c r="S553" s="1267"/>
      <c r="T553" s="1267"/>
      <c r="U553" s="1267"/>
      <c r="V553" s="1267"/>
      <c r="W553" s="1267"/>
      <c r="X553" s="1267"/>
      <c r="Y553" s="1267"/>
      <c r="Z553" s="1267"/>
      <c r="AA553" s="1267"/>
      <c r="AB553" s="1267"/>
      <c r="AC553" s="1267"/>
      <c r="AD553" s="1267"/>
      <c r="AE553" s="1267"/>
      <c r="AF553" s="1267"/>
      <c r="AG553" s="1267"/>
      <c r="AH553" s="1267"/>
      <c r="AI553" s="1267"/>
      <c r="AJ553" s="1267"/>
      <c r="AK553" s="1267"/>
      <c r="AL553" s="1267"/>
      <c r="AM553" s="1267"/>
      <c r="AN553" s="1267"/>
      <c r="AO553" s="1267"/>
      <c r="AP553" s="1267"/>
      <c r="AQ553" s="1267"/>
      <c r="AR553" s="1267"/>
      <c r="AS553" s="1267"/>
      <c r="AT553" s="1267"/>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709" t="s">
        <v>2059</v>
      </c>
      <c r="C559" s="1513"/>
      <c r="D559" s="1513"/>
      <c r="E559" s="1513"/>
      <c r="F559" s="1513"/>
      <c r="G559" s="1513"/>
      <c r="H559" s="1513"/>
      <c r="I559" s="1513"/>
      <c r="J559" s="1513"/>
      <c r="K559" s="1513"/>
      <c r="L559" s="1514"/>
      <c r="M559" s="1709" t="s">
        <v>2060</v>
      </c>
      <c r="N559" s="1513"/>
      <c r="O559" s="1513"/>
      <c r="P559" s="1514"/>
      <c r="Q559" s="1709" t="s">
        <v>2086</v>
      </c>
      <c r="R559" s="1513"/>
      <c r="S559" s="1514"/>
      <c r="T559" s="1709" t="s">
        <v>2087</v>
      </c>
      <c r="U559" s="1513"/>
      <c r="V559" s="1514"/>
      <c r="W559" s="1709" t="s">
        <v>453</v>
      </c>
      <c r="X559" s="1513"/>
      <c r="Y559" s="1514"/>
      <c r="Z559" s="1709" t="s">
        <v>1828</v>
      </c>
      <c r="AA559" s="1513"/>
      <c r="AB559" s="1513"/>
      <c r="AC559" s="1513"/>
      <c r="AD559" s="1514"/>
      <c r="AE559" s="1709" t="s">
        <v>1665</v>
      </c>
      <c r="AF559" s="1513"/>
      <c r="AG559" s="1513"/>
      <c r="AH559" s="1514"/>
      <c r="AI559" s="1709" t="s">
        <v>1666</v>
      </c>
      <c r="AJ559" s="1513"/>
      <c r="AK559" s="1513"/>
      <c r="AL559" s="1514"/>
      <c r="AM559" s="1709" t="s">
        <v>454</v>
      </c>
      <c r="AN559" s="1513"/>
      <c r="AO559" s="1513"/>
      <c r="AP559" s="1513"/>
      <c r="AQ559" s="1513"/>
      <c r="AR559" s="1513"/>
      <c r="AS559" s="1514"/>
      <c r="BB559" s="3"/>
      <c r="BC559" s="3"/>
      <c r="BD559" s="3"/>
      <c r="BE559" s="3"/>
      <c r="BF559" s="3"/>
      <c r="BG559" s="3"/>
      <c r="BH559" s="3" t="s">
        <v>581</v>
      </c>
      <c r="BI559" s="3" t="str">
        <f>AG665</f>
        <v>Yes</v>
      </c>
    </row>
    <row r="560" spans="1:66" ht="12.95" customHeight="1">
      <c r="B560" s="1710"/>
      <c r="C560" s="1515"/>
      <c r="D560" s="1515"/>
      <c r="E560" s="1515"/>
      <c r="F560" s="1515"/>
      <c r="G560" s="1515"/>
      <c r="H560" s="1515"/>
      <c r="I560" s="1515"/>
      <c r="J560" s="1515"/>
      <c r="K560" s="1515"/>
      <c r="L560" s="1516"/>
      <c r="M560" s="1710"/>
      <c r="N560" s="1515"/>
      <c r="O560" s="1515"/>
      <c r="P560" s="1516"/>
      <c r="Q560" s="1710"/>
      <c r="R560" s="1515"/>
      <c r="S560" s="1516"/>
      <c r="T560" s="1710"/>
      <c r="U560" s="1515"/>
      <c r="V560" s="1516"/>
      <c r="W560" s="1710"/>
      <c r="X560" s="1515"/>
      <c r="Y560" s="1516"/>
      <c r="Z560" s="1710"/>
      <c r="AA560" s="1515"/>
      <c r="AB560" s="1515"/>
      <c r="AC560" s="1515"/>
      <c r="AD560" s="1516"/>
      <c r="AE560" s="1710"/>
      <c r="AF560" s="1515"/>
      <c r="AG560" s="1515"/>
      <c r="AH560" s="1516"/>
      <c r="AI560" s="1710"/>
      <c r="AJ560" s="1515"/>
      <c r="AK560" s="1515"/>
      <c r="AL560" s="1516"/>
      <c r="AM560" s="1710"/>
      <c r="AN560" s="1515"/>
      <c r="AO560" s="1515"/>
      <c r="AP560" s="1515"/>
      <c r="AQ560" s="1515"/>
      <c r="AR560" s="1515"/>
      <c r="AS560" s="1516"/>
      <c r="AU560" s="1141"/>
      <c r="BB560" s="3"/>
      <c r="BC560" s="3"/>
      <c r="BD560" s="3"/>
      <c r="BE560" s="3"/>
      <c r="BF560" s="3"/>
      <c r="BG560" s="3"/>
      <c r="BH560" s="3"/>
      <c r="BI560" s="3"/>
    </row>
    <row r="561" spans="1:61" ht="12.95" customHeight="1">
      <c r="B561" s="1711"/>
      <c r="C561" s="1517"/>
      <c r="D561" s="1517"/>
      <c r="E561" s="1517"/>
      <c r="F561" s="1517"/>
      <c r="G561" s="1517"/>
      <c r="H561" s="1517"/>
      <c r="I561" s="1517"/>
      <c r="J561" s="1517"/>
      <c r="K561" s="1517"/>
      <c r="L561" s="1518"/>
      <c r="M561" s="1711"/>
      <c r="N561" s="1517"/>
      <c r="O561" s="1517"/>
      <c r="P561" s="1518"/>
      <c r="Q561" s="1711"/>
      <c r="R561" s="1517"/>
      <c r="S561" s="1518"/>
      <c r="T561" s="1711"/>
      <c r="U561" s="1517"/>
      <c r="V561" s="1518"/>
      <c r="W561" s="1711"/>
      <c r="X561" s="1517"/>
      <c r="Y561" s="1518"/>
      <c r="Z561" s="1711"/>
      <c r="AA561" s="1517"/>
      <c r="AB561" s="1517"/>
      <c r="AC561" s="1517"/>
      <c r="AD561" s="1518"/>
      <c r="AE561" s="1711"/>
      <c r="AF561" s="1517"/>
      <c r="AG561" s="1517"/>
      <c r="AH561" s="1518"/>
      <c r="AI561" s="1711"/>
      <c r="AJ561" s="1517"/>
      <c r="AK561" s="1517"/>
      <c r="AL561" s="1518"/>
      <c r="AM561" s="1711"/>
      <c r="AN561" s="1517"/>
      <c r="AO561" s="1517"/>
      <c r="AP561" s="1517"/>
      <c r="AQ561" s="1517"/>
      <c r="AR561" s="1517"/>
      <c r="AS561" s="1518"/>
      <c r="AU561" s="1141"/>
      <c r="BB561" s="3"/>
      <c r="BC561" s="3"/>
      <c r="BD561" s="3"/>
      <c r="BE561" s="3"/>
      <c r="BF561" s="3"/>
      <c r="BG561" s="3"/>
      <c r="BH561" s="3"/>
      <c r="BI561" s="3"/>
    </row>
    <row r="562" spans="1:61" ht="12.95" customHeight="1">
      <c r="B562" s="51" t="s">
        <v>112</v>
      </c>
      <c r="C562" s="1458" t="s">
        <v>2706</v>
      </c>
      <c r="D562" s="1458"/>
      <c r="E562" s="1458"/>
      <c r="F562" s="1458"/>
      <c r="G562" s="1458"/>
      <c r="H562" s="1458"/>
      <c r="I562" s="1458"/>
      <c r="J562" s="1458"/>
      <c r="K562" s="1458"/>
      <c r="L562" s="1458"/>
      <c r="M562" s="1458" t="s">
        <v>2076</v>
      </c>
      <c r="N562" s="1458"/>
      <c r="O562" s="1458"/>
      <c r="P562" s="1458"/>
      <c r="Q562" s="1549">
        <v>26</v>
      </c>
      <c r="R562" s="1549"/>
      <c r="S562" s="1550"/>
      <c r="T562" s="1548"/>
      <c r="U562" s="1549"/>
      <c r="V562" s="1550"/>
      <c r="W562" s="1459">
        <v>5.7000000000000002E-2</v>
      </c>
      <c r="X562" s="1460"/>
      <c r="Y562" s="1461"/>
      <c r="Z562" s="1712" t="s">
        <v>2757</v>
      </c>
      <c r="AA562" s="1712"/>
      <c r="AB562" s="1712"/>
      <c r="AC562" s="1712"/>
      <c r="AD562" s="1712"/>
      <c r="AE562" s="1462">
        <v>2</v>
      </c>
      <c r="AF562" s="1463"/>
      <c r="AG562" s="1463"/>
      <c r="AH562" s="1464"/>
      <c r="AI562" s="1481"/>
      <c r="AJ562" s="1482"/>
      <c r="AK562" s="1482"/>
      <c r="AL562" s="1483"/>
      <c r="AM562" s="1448">
        <v>14000000</v>
      </c>
      <c r="AN562" s="1449"/>
      <c r="AO562" s="1449"/>
      <c r="AP562" s="1449"/>
      <c r="AQ562" s="1449"/>
      <c r="AR562" s="1449"/>
      <c r="AS562" s="1450"/>
      <c r="AT562" s="1142"/>
      <c r="AU562" s="1141"/>
      <c r="BB562" s="3"/>
      <c r="BC562" s="3"/>
      <c r="BD562" s="3"/>
      <c r="BE562" s="3"/>
      <c r="BF562" s="3"/>
      <c r="BG562" s="3"/>
      <c r="BH562" s="3"/>
      <c r="BI562" s="3"/>
    </row>
    <row r="563" spans="1:61" ht="12.95" customHeight="1">
      <c r="B563" s="52" t="s">
        <v>113</v>
      </c>
      <c r="C563" s="1695" t="s">
        <v>2706</v>
      </c>
      <c r="D563" s="1695"/>
      <c r="E563" s="1695"/>
      <c r="F563" s="1695"/>
      <c r="G563" s="1695"/>
      <c r="H563" s="1695"/>
      <c r="I563" s="1695"/>
      <c r="J563" s="1695"/>
      <c r="K563" s="1695"/>
      <c r="L563" s="1695"/>
      <c r="M563" s="1458" t="s">
        <v>2075</v>
      </c>
      <c r="N563" s="1458"/>
      <c r="O563" s="1458"/>
      <c r="P563" s="1458"/>
      <c r="Q563" s="1548">
        <v>26</v>
      </c>
      <c r="R563" s="1549"/>
      <c r="S563" s="1550"/>
      <c r="T563" s="1548"/>
      <c r="U563" s="1549"/>
      <c r="V563" s="1550"/>
      <c r="W563" s="1459">
        <v>6.2E-2</v>
      </c>
      <c r="X563" s="1460"/>
      <c r="Y563" s="1461"/>
      <c r="Z563" s="1712" t="s">
        <v>2757</v>
      </c>
      <c r="AA563" s="1712"/>
      <c r="AB563" s="1712"/>
      <c r="AC563" s="1712"/>
      <c r="AD563" s="1712"/>
      <c r="AE563" s="1462">
        <v>1</v>
      </c>
      <c r="AF563" s="1463"/>
      <c r="AG563" s="1463"/>
      <c r="AH563" s="1464"/>
      <c r="AI563" s="1481"/>
      <c r="AJ563" s="1482"/>
      <c r="AK563" s="1482"/>
      <c r="AL563" s="1483"/>
      <c r="AM563" s="1448">
        <f>38588499-AM562</f>
        <v>24588499</v>
      </c>
      <c r="AN563" s="1449"/>
      <c r="AO563" s="1449"/>
      <c r="AP563" s="1449"/>
      <c r="AQ563" s="1449"/>
      <c r="AR563" s="1449"/>
      <c r="AS563" s="1450"/>
      <c r="AT563" s="1142" t="str">
        <f>IF(AND(NOT(C562=""),C563="",NOT(C564="")),"!","")</f>
        <v/>
      </c>
      <c r="AU563" s="1141"/>
      <c r="BB563" s="3"/>
      <c r="BC563" s="3"/>
      <c r="BD563" s="3"/>
      <c r="BE563" s="3"/>
      <c r="BF563" s="3"/>
      <c r="BG563" s="3"/>
      <c r="BH563" s="3"/>
      <c r="BI563" s="3"/>
    </row>
    <row r="564" spans="1:61" ht="12.95" customHeight="1">
      <c r="B564" s="52" t="s">
        <v>119</v>
      </c>
      <c r="C564" s="1695" t="s">
        <v>2752</v>
      </c>
      <c r="D564" s="1695"/>
      <c r="E564" s="1695"/>
      <c r="F564" s="1695"/>
      <c r="G564" s="1695"/>
      <c r="H564" s="1695"/>
      <c r="I564" s="1695"/>
      <c r="J564" s="1695"/>
      <c r="K564" s="1695"/>
      <c r="L564" s="1695"/>
      <c r="M564" s="1458" t="s">
        <v>2072</v>
      </c>
      <c r="N564" s="1458"/>
      <c r="O564" s="1458"/>
      <c r="P564" s="1458"/>
      <c r="Q564" s="1548"/>
      <c r="R564" s="1549"/>
      <c r="S564" s="1550"/>
      <c r="T564" s="1548"/>
      <c r="U564" s="1549"/>
      <c r="V564" s="1550"/>
      <c r="W564" s="1459"/>
      <c r="X564" s="1460"/>
      <c r="Y564" s="1461"/>
      <c r="Z564" s="1712" t="s">
        <v>591</v>
      </c>
      <c r="AA564" s="1712"/>
      <c r="AB564" s="1712"/>
      <c r="AC564" s="1712"/>
      <c r="AD564" s="1712"/>
      <c r="AE564" s="1462"/>
      <c r="AF564" s="1463"/>
      <c r="AG564" s="1463"/>
      <c r="AH564" s="1464"/>
      <c r="AI564" s="1481"/>
      <c r="AJ564" s="1482"/>
      <c r="AK564" s="1482"/>
      <c r="AL564" s="1483"/>
      <c r="AM564" s="1448">
        <v>7000000</v>
      </c>
      <c r="AN564" s="1449"/>
      <c r="AO564" s="1449"/>
      <c r="AP564" s="1449"/>
      <c r="AQ564" s="1449"/>
      <c r="AR564" s="1449"/>
      <c r="AS564" s="1450"/>
      <c r="AT564" s="1142" t="str">
        <f>IF(AND(NOT(C563=""),C564="",NOT(C565="")),"!","")</f>
        <v/>
      </c>
      <c r="AU564" s="1141"/>
      <c r="BB564" s="3"/>
      <c r="BC564" s="3"/>
      <c r="BD564" s="3"/>
      <c r="BE564" s="3"/>
      <c r="BF564" s="3"/>
      <c r="BG564" s="3"/>
      <c r="BH564" s="3"/>
      <c r="BI564" s="3"/>
    </row>
    <row r="565" spans="1:61" ht="12.95" customHeight="1">
      <c r="B565" s="52" t="s">
        <v>581</v>
      </c>
      <c r="C565" s="1695" t="s">
        <v>2752</v>
      </c>
      <c r="D565" s="1695"/>
      <c r="E565" s="1695"/>
      <c r="F565" s="1695"/>
      <c r="G565" s="1695"/>
      <c r="H565" s="1695"/>
      <c r="I565" s="1695"/>
      <c r="J565" s="1695"/>
      <c r="K565" s="1695"/>
      <c r="L565" s="1695"/>
      <c r="M565" s="1458" t="s">
        <v>2072</v>
      </c>
      <c r="N565" s="1458"/>
      <c r="O565" s="1458"/>
      <c r="P565" s="1458"/>
      <c r="Q565" s="1548"/>
      <c r="R565" s="1549"/>
      <c r="S565" s="1550"/>
      <c r="T565" s="1548"/>
      <c r="U565" s="1549"/>
      <c r="V565" s="1550"/>
      <c r="W565" s="1459"/>
      <c r="X565" s="1460"/>
      <c r="Y565" s="1461"/>
      <c r="Z565" s="1712" t="s">
        <v>591</v>
      </c>
      <c r="AA565" s="1712"/>
      <c r="AB565" s="1712"/>
      <c r="AC565" s="1712"/>
      <c r="AD565" s="1712"/>
      <c r="AE565" s="1462"/>
      <c r="AF565" s="1463"/>
      <c r="AG565" s="1463"/>
      <c r="AH565" s="1464"/>
      <c r="AI565" s="1481"/>
      <c r="AJ565" s="1482"/>
      <c r="AK565" s="1482"/>
      <c r="AL565" s="1483"/>
      <c r="AM565" s="1448">
        <v>875000</v>
      </c>
      <c r="AN565" s="1449"/>
      <c r="AO565" s="1449"/>
      <c r="AP565" s="1449"/>
      <c r="AQ565" s="1449"/>
      <c r="AR565" s="1449"/>
      <c r="AS565" s="1450"/>
      <c r="AT565" s="1142" t="str">
        <f>IF(AND(NOT(C564=""),C565="",NOT(C566="")),"!","")</f>
        <v/>
      </c>
      <c r="AU565" s="1141"/>
      <c r="BB565" s="3"/>
      <c r="BC565" s="3"/>
      <c r="BD565" s="3"/>
      <c r="BE565" s="3"/>
      <c r="BF565" s="3"/>
      <c r="BG565" s="3"/>
      <c r="BH565" s="3"/>
      <c r="BI565" s="3"/>
    </row>
    <row r="566" spans="1:61" ht="12.95" customHeight="1">
      <c r="B566" s="52" t="s">
        <v>763</v>
      </c>
      <c r="C566" s="1695" t="s">
        <v>2753</v>
      </c>
      <c r="D566" s="1695"/>
      <c r="E566" s="1695"/>
      <c r="F566" s="1695"/>
      <c r="G566" s="1695"/>
      <c r="H566" s="1695"/>
      <c r="I566" s="1695"/>
      <c r="J566" s="1695"/>
      <c r="K566" s="1695"/>
      <c r="L566" s="1695"/>
      <c r="M566" s="1458" t="s">
        <v>2072</v>
      </c>
      <c r="N566" s="1458"/>
      <c r="O566" s="1458"/>
      <c r="P566" s="1458"/>
      <c r="Q566" s="1548"/>
      <c r="R566" s="1549"/>
      <c r="S566" s="1550"/>
      <c r="T566" s="1548"/>
      <c r="U566" s="1549"/>
      <c r="V566" s="1550"/>
      <c r="W566" s="1459"/>
      <c r="X566" s="1460"/>
      <c r="Y566" s="1461"/>
      <c r="Z566" s="1712" t="s">
        <v>591</v>
      </c>
      <c r="AA566" s="1712"/>
      <c r="AB566" s="1712"/>
      <c r="AC566" s="1712"/>
      <c r="AD566" s="1712"/>
      <c r="AE566" s="1462"/>
      <c r="AF566" s="1463"/>
      <c r="AG566" s="1463"/>
      <c r="AH566" s="1464"/>
      <c r="AI566" s="1481"/>
      <c r="AJ566" s="1482"/>
      <c r="AK566" s="1482"/>
      <c r="AL566" s="1483"/>
      <c r="AM566" s="1448">
        <v>875000</v>
      </c>
      <c r="AN566" s="1449"/>
      <c r="AO566" s="1449"/>
      <c r="AP566" s="1449"/>
      <c r="AQ566" s="1449"/>
      <c r="AR566" s="1449"/>
      <c r="AS566" s="1450"/>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695" t="s">
        <v>2754</v>
      </c>
      <c r="D567" s="1695"/>
      <c r="E567" s="1695"/>
      <c r="F567" s="1695"/>
      <c r="G567" s="1695"/>
      <c r="H567" s="1695"/>
      <c r="I567" s="1695"/>
      <c r="J567" s="1695"/>
      <c r="K567" s="1695"/>
      <c r="L567" s="1695"/>
      <c r="M567" s="1458" t="s">
        <v>2067</v>
      </c>
      <c r="N567" s="1458"/>
      <c r="O567" s="1458"/>
      <c r="P567" s="1458"/>
      <c r="Q567" s="1548"/>
      <c r="R567" s="1549"/>
      <c r="S567" s="1550"/>
      <c r="T567" s="1548"/>
      <c r="U567" s="1549"/>
      <c r="V567" s="1550"/>
      <c r="W567" s="1459"/>
      <c r="X567" s="1460"/>
      <c r="Y567" s="1461"/>
      <c r="Z567" s="1712" t="s">
        <v>591</v>
      </c>
      <c r="AA567" s="1712"/>
      <c r="AB567" s="1712"/>
      <c r="AC567" s="1712"/>
      <c r="AD567" s="1712"/>
      <c r="AE567" s="1462"/>
      <c r="AF567" s="1463"/>
      <c r="AG567" s="1463"/>
      <c r="AH567" s="1464"/>
      <c r="AI567" s="1481"/>
      <c r="AJ567" s="1482"/>
      <c r="AK567" s="1482"/>
      <c r="AL567" s="1483"/>
      <c r="AM567" s="1448">
        <v>2495886</v>
      </c>
      <c r="AN567" s="1449"/>
      <c r="AO567" s="1449"/>
      <c r="AP567" s="1449"/>
      <c r="AQ567" s="1449"/>
      <c r="AR567" s="1449"/>
      <c r="AS567" s="1450"/>
      <c r="AT567" s="1142" t="str">
        <f t="shared" si="2"/>
        <v/>
      </c>
      <c r="AU567" s="1141"/>
      <c r="BB567" s="3"/>
      <c r="BC567" s="3"/>
      <c r="BD567" s="3"/>
      <c r="BE567" s="3"/>
      <c r="BF567" s="3"/>
      <c r="BG567" s="3"/>
      <c r="BH567" s="3" t="s">
        <v>584</v>
      </c>
      <c r="BI567" s="3" t="str">
        <f>AG673</f>
        <v>Yes</v>
      </c>
    </row>
    <row r="568" spans="1:61" ht="12.95" customHeight="1">
      <c r="B568" s="52" t="s">
        <v>455</v>
      </c>
      <c r="C568" s="1695" t="s">
        <v>2707</v>
      </c>
      <c r="D568" s="1695"/>
      <c r="E568" s="1695"/>
      <c r="F568" s="1695"/>
      <c r="G568" s="1695"/>
      <c r="H568" s="1695"/>
      <c r="I568" s="1695"/>
      <c r="J568" s="1695"/>
      <c r="K568" s="1695"/>
      <c r="L568" s="1695"/>
      <c r="M568" s="1458" t="s">
        <v>2062</v>
      </c>
      <c r="N568" s="1458"/>
      <c r="O568" s="1458"/>
      <c r="P568" s="1458"/>
      <c r="Q568" s="1548"/>
      <c r="R568" s="1549"/>
      <c r="S568" s="1550"/>
      <c r="T568" s="1548"/>
      <c r="U568" s="1549"/>
      <c r="V568" s="1550"/>
      <c r="W568" s="1459"/>
      <c r="X568" s="1460"/>
      <c r="Y568" s="1461"/>
      <c r="Z568" s="1712" t="s">
        <v>591</v>
      </c>
      <c r="AA568" s="1712"/>
      <c r="AB568" s="1712"/>
      <c r="AC568" s="1712"/>
      <c r="AD568" s="1712"/>
      <c r="AE568" s="1462"/>
      <c r="AF568" s="1463"/>
      <c r="AG568" s="1463"/>
      <c r="AH568" s="1464"/>
      <c r="AI568" s="1481"/>
      <c r="AJ568" s="1482"/>
      <c r="AK568" s="1482"/>
      <c r="AL568" s="1483"/>
      <c r="AM568" s="1448">
        <f>'Sources and Uses Budget'!B105-SUM(Application!AM562:AS567)</f>
        <v>2395881</v>
      </c>
      <c r="AN568" s="1449"/>
      <c r="AO568" s="1449"/>
      <c r="AP568" s="1449"/>
      <c r="AQ568" s="1449"/>
      <c r="AR568" s="1449"/>
      <c r="AS568" s="1450"/>
      <c r="AT568" s="1142" t="str">
        <f t="shared" si="2"/>
        <v/>
      </c>
      <c r="AU568" s="1141"/>
      <c r="BB568" s="3"/>
      <c r="BC568" s="3"/>
      <c r="BD568" s="3"/>
      <c r="BE568" s="3"/>
      <c r="BF568" s="3"/>
      <c r="BG568" s="3"/>
      <c r="BH568" s="3"/>
      <c r="BI568" s="3"/>
    </row>
    <row r="569" spans="1:61" ht="12.95" customHeight="1">
      <c r="B569" s="52" t="s">
        <v>456</v>
      </c>
      <c r="C569" s="1695"/>
      <c r="D569" s="1695"/>
      <c r="E569" s="1695"/>
      <c r="F569" s="1695"/>
      <c r="G569" s="1695"/>
      <c r="H569" s="1695"/>
      <c r="I569" s="1695"/>
      <c r="J569" s="1695"/>
      <c r="K569" s="1695"/>
      <c r="L569" s="1695"/>
      <c r="M569" s="1458" t="s">
        <v>1184</v>
      </c>
      <c r="N569" s="1458"/>
      <c r="O569" s="1458"/>
      <c r="P569" s="1458"/>
      <c r="Q569" s="1548"/>
      <c r="R569" s="1549"/>
      <c r="S569" s="1550"/>
      <c r="T569" s="1548"/>
      <c r="U569" s="1549"/>
      <c r="V569" s="1550"/>
      <c r="W569" s="1459"/>
      <c r="X569" s="1460"/>
      <c r="Y569" s="1461"/>
      <c r="Z569" s="1712" t="s">
        <v>1184</v>
      </c>
      <c r="AA569" s="1712"/>
      <c r="AB569" s="1712"/>
      <c r="AC569" s="1712"/>
      <c r="AD569" s="1712"/>
      <c r="AE569" s="1462"/>
      <c r="AF569" s="1463"/>
      <c r="AG569" s="1463"/>
      <c r="AH569" s="1464"/>
      <c r="AI569" s="1481"/>
      <c r="AJ569" s="1482"/>
      <c r="AK569" s="1482"/>
      <c r="AL569" s="1483"/>
      <c r="AM569" s="1448"/>
      <c r="AN569" s="1449"/>
      <c r="AO569" s="1449"/>
      <c r="AP569" s="1449"/>
      <c r="AQ569" s="1449"/>
      <c r="AR569" s="1449"/>
      <c r="AS569" s="1450"/>
      <c r="AT569" s="1142" t="str">
        <f t="shared" si="2"/>
        <v/>
      </c>
      <c r="AU569" s="1141"/>
      <c r="BB569" s="3"/>
      <c r="BC569" s="3"/>
      <c r="BD569" s="3"/>
      <c r="BE569" s="3"/>
      <c r="BF569" s="3"/>
      <c r="BG569" s="3"/>
      <c r="BH569" s="3"/>
      <c r="BI569" s="3"/>
    </row>
    <row r="570" spans="1:61" ht="12.95" customHeight="1">
      <c r="B570" s="52" t="s">
        <v>461</v>
      </c>
      <c r="C570" s="1695"/>
      <c r="D570" s="1695"/>
      <c r="E570" s="1695"/>
      <c r="F570" s="1695"/>
      <c r="G570" s="1695"/>
      <c r="H570" s="1695"/>
      <c r="I570" s="1695"/>
      <c r="J570" s="1695"/>
      <c r="K570" s="1695"/>
      <c r="L570" s="1695"/>
      <c r="M570" s="1458" t="s">
        <v>1184</v>
      </c>
      <c r="N570" s="1458"/>
      <c r="O570" s="1458"/>
      <c r="P570" s="1458"/>
      <c r="Q570" s="1548"/>
      <c r="R570" s="1549"/>
      <c r="S570" s="1550"/>
      <c r="T570" s="1548"/>
      <c r="U570" s="1549"/>
      <c r="V570" s="1550"/>
      <c r="W570" s="1459"/>
      <c r="X570" s="1460"/>
      <c r="Y570" s="1461"/>
      <c r="Z570" s="1712" t="s">
        <v>1184</v>
      </c>
      <c r="AA570" s="1712"/>
      <c r="AB570" s="1712"/>
      <c r="AC570" s="1712"/>
      <c r="AD570" s="1712"/>
      <c r="AE570" s="1462"/>
      <c r="AF570" s="1463"/>
      <c r="AG570" s="1463"/>
      <c r="AH570" s="1464"/>
      <c r="AI570" s="1481"/>
      <c r="AJ570" s="1482"/>
      <c r="AK570" s="1482"/>
      <c r="AL570" s="1483"/>
      <c r="AM570" s="1448"/>
      <c r="AN570" s="1449"/>
      <c r="AO570" s="1449"/>
      <c r="AP570" s="1449"/>
      <c r="AQ570" s="1449"/>
      <c r="AR570" s="1449"/>
      <c r="AS570" s="1450"/>
      <c r="AT570" s="1142" t="str">
        <f t="shared" si="2"/>
        <v/>
      </c>
      <c r="AU570" s="1141"/>
      <c r="BB570" s="3"/>
      <c r="BC570" s="3"/>
      <c r="BD570" s="3"/>
      <c r="BE570" s="3"/>
      <c r="BF570" s="3"/>
      <c r="BG570" s="3"/>
      <c r="BH570" s="3"/>
      <c r="BI570" s="3"/>
    </row>
    <row r="571" spans="1:61" ht="12.95" customHeight="1">
      <c r="B571" s="52" t="s">
        <v>646</v>
      </c>
      <c r="C571" s="1695"/>
      <c r="D571" s="1695"/>
      <c r="E571" s="1695"/>
      <c r="F571" s="1695"/>
      <c r="G571" s="1695"/>
      <c r="H571" s="1695"/>
      <c r="I571" s="1695"/>
      <c r="J571" s="1695"/>
      <c r="K571" s="1695"/>
      <c r="L571" s="1695"/>
      <c r="M571" s="1458" t="s">
        <v>1184</v>
      </c>
      <c r="N571" s="1458"/>
      <c r="O571" s="1458"/>
      <c r="P571" s="1458"/>
      <c r="Q571" s="1548"/>
      <c r="R571" s="1549"/>
      <c r="S571" s="1550"/>
      <c r="T571" s="1548"/>
      <c r="U571" s="1549"/>
      <c r="V571" s="1550"/>
      <c r="W571" s="1459"/>
      <c r="X571" s="1460"/>
      <c r="Y571" s="1461"/>
      <c r="Z571" s="1712" t="s">
        <v>1184</v>
      </c>
      <c r="AA571" s="1712"/>
      <c r="AB571" s="1712"/>
      <c r="AC571" s="1712"/>
      <c r="AD571" s="1712"/>
      <c r="AE571" s="1462"/>
      <c r="AF571" s="1463"/>
      <c r="AG571" s="1463"/>
      <c r="AH571" s="1464"/>
      <c r="AI571" s="1481"/>
      <c r="AJ571" s="1482"/>
      <c r="AK571" s="1482"/>
      <c r="AL571" s="1483"/>
      <c r="AM571" s="1448"/>
      <c r="AN571" s="1449"/>
      <c r="AO571" s="1449"/>
      <c r="AP571" s="1449"/>
      <c r="AQ571" s="1449"/>
      <c r="AR571" s="1449"/>
      <c r="AS571" s="1450"/>
      <c r="AT571" s="1142" t="str">
        <f t="shared" si="2"/>
        <v/>
      </c>
      <c r="BB571" s="3"/>
      <c r="BC571" s="3"/>
      <c r="BD571" s="3"/>
      <c r="BE571" s="3"/>
      <c r="BF571" s="3"/>
      <c r="BG571" s="3"/>
      <c r="BH571" s="3"/>
      <c r="BI571" s="3"/>
    </row>
    <row r="572" spans="1:61" ht="12.95" customHeight="1">
      <c r="B572" s="52" t="s">
        <v>362</v>
      </c>
      <c r="C572" s="1695"/>
      <c r="D572" s="1695"/>
      <c r="E572" s="1695"/>
      <c r="F572" s="1695"/>
      <c r="G572" s="1695"/>
      <c r="H572" s="1695"/>
      <c r="I572" s="1695"/>
      <c r="J572" s="1695"/>
      <c r="K572" s="1695"/>
      <c r="L572" s="1695"/>
      <c r="M572" s="1458" t="s">
        <v>1184</v>
      </c>
      <c r="N572" s="1458"/>
      <c r="O572" s="1458"/>
      <c r="P572" s="1458"/>
      <c r="Q572" s="1548"/>
      <c r="R572" s="1549"/>
      <c r="S572" s="1550"/>
      <c r="T572" s="1548"/>
      <c r="U572" s="1549"/>
      <c r="V572" s="1550"/>
      <c r="W572" s="1459"/>
      <c r="X572" s="1460"/>
      <c r="Y572" s="1461"/>
      <c r="Z572" s="1712" t="s">
        <v>1184</v>
      </c>
      <c r="AA572" s="1712"/>
      <c r="AB572" s="1712"/>
      <c r="AC572" s="1712"/>
      <c r="AD572" s="1712"/>
      <c r="AE572" s="1462"/>
      <c r="AF572" s="1463"/>
      <c r="AG572" s="1463"/>
      <c r="AH572" s="1464"/>
      <c r="AI572" s="1481"/>
      <c r="AJ572" s="1482"/>
      <c r="AK572" s="1482"/>
      <c r="AL572" s="1483"/>
      <c r="AM572" s="1448"/>
      <c r="AN572" s="1449"/>
      <c r="AO572" s="1449"/>
      <c r="AP572" s="1449"/>
      <c r="AQ572" s="1449"/>
      <c r="AR572" s="1449"/>
      <c r="AS572" s="1450"/>
      <c r="AT572" s="1142" t="str">
        <f t="shared" si="2"/>
        <v/>
      </c>
      <c r="BB572" s="3"/>
      <c r="BC572" s="3"/>
      <c r="BD572" s="3"/>
      <c r="BE572" s="3"/>
      <c r="BF572" s="3"/>
      <c r="BG572" s="3"/>
      <c r="BH572" s="3"/>
      <c r="BI572" s="3"/>
    </row>
    <row r="573" spans="1:61" ht="12.95" customHeight="1">
      <c r="B573" s="52" t="s">
        <v>363</v>
      </c>
      <c r="C573" s="1695"/>
      <c r="D573" s="1695"/>
      <c r="E573" s="1695"/>
      <c r="F573" s="1695"/>
      <c r="G573" s="1695"/>
      <c r="H573" s="1695"/>
      <c r="I573" s="1695"/>
      <c r="J573" s="1695"/>
      <c r="K573" s="1695"/>
      <c r="L573" s="1695"/>
      <c r="M573" s="1458" t="s">
        <v>1184</v>
      </c>
      <c r="N573" s="1458"/>
      <c r="O573" s="1458"/>
      <c r="P573" s="1458"/>
      <c r="Q573" s="1548"/>
      <c r="R573" s="1549"/>
      <c r="S573" s="1550"/>
      <c r="T573" s="1548"/>
      <c r="U573" s="1549"/>
      <c r="V573" s="1550"/>
      <c r="W573" s="1459"/>
      <c r="X573" s="1460"/>
      <c r="Y573" s="1461"/>
      <c r="Z573" s="1712" t="s">
        <v>1184</v>
      </c>
      <c r="AA573" s="1712"/>
      <c r="AB573" s="1712"/>
      <c r="AC573" s="1712"/>
      <c r="AD573" s="1712"/>
      <c r="AE573" s="1462"/>
      <c r="AF573" s="1463"/>
      <c r="AG573" s="1463"/>
      <c r="AH573" s="1464"/>
      <c r="AI573" s="1481"/>
      <c r="AJ573" s="1482"/>
      <c r="AK573" s="1482"/>
      <c r="AL573" s="1483"/>
      <c r="AM573" s="1448"/>
      <c r="AN573" s="1449"/>
      <c r="AO573" s="1449"/>
      <c r="AP573" s="1449"/>
      <c r="AQ573" s="1449"/>
      <c r="AR573" s="1449"/>
      <c r="AS573" s="1450"/>
      <c r="AT573" s="1142" t="str">
        <f t="shared" si="2"/>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697"/>
      <c r="V574" s="1538"/>
      <c r="W574" s="1538"/>
      <c r="X574" s="1538"/>
      <c r="Y574" s="1538"/>
      <c r="Z574" s="1538"/>
      <c r="AA574" s="1538"/>
      <c r="AB574" s="1538"/>
      <c r="AC574" s="1538"/>
      <c r="AD574" s="1538"/>
      <c r="AE574" s="1538"/>
      <c r="AF574" s="1538"/>
      <c r="AG574" s="1538"/>
      <c r="AH574" s="1538"/>
      <c r="AI574" s="1538"/>
      <c r="AJ574" s="1538"/>
      <c r="AK574" s="1538"/>
      <c r="AL574" s="1539"/>
      <c r="AM574" s="1451">
        <f>SUM(AM562:AS573)</f>
        <v>52230266</v>
      </c>
      <c r="AN574" s="1452"/>
      <c r="AO574" s="1452"/>
      <c r="AP574" s="1452"/>
      <c r="AQ574" s="1452"/>
      <c r="AR574" s="1452"/>
      <c r="AS574" s="1453"/>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84" t="str">
        <f>C562</f>
        <v>Citibank</v>
      </c>
      <c r="H576" s="1484"/>
      <c r="I576" s="1484"/>
      <c r="J576" s="1484"/>
      <c r="K576" s="1484"/>
      <c r="L576" s="1484"/>
      <c r="M576" s="1484"/>
      <c r="N576" s="1484"/>
      <c r="O576" s="1484"/>
      <c r="P576" s="1484"/>
      <c r="Q576" s="1484"/>
      <c r="R576" s="1484"/>
      <c r="S576" s="8"/>
      <c r="T576" s="55" t="s">
        <v>113</v>
      </c>
      <c r="U576" t="s">
        <v>463</v>
      </c>
      <c r="Z576" s="1484" t="str">
        <f>C563</f>
        <v>Citibank</v>
      </c>
      <c r="AA576" s="1484"/>
      <c r="AB576" s="1484"/>
      <c r="AC576" s="1484"/>
      <c r="AD576" s="1484"/>
      <c r="AE576" s="1484"/>
      <c r="AF576" s="1484"/>
      <c r="AG576" s="1484"/>
      <c r="AH576" s="1484"/>
      <c r="AI576" s="1484"/>
      <c r="AJ576" s="1484"/>
      <c r="AK576" s="1484"/>
      <c r="BB576" s="3"/>
      <c r="BC576" s="3"/>
      <c r="BD576" s="3"/>
      <c r="BE576" s="3"/>
      <c r="BF576" s="3"/>
      <c r="BG576" s="3"/>
      <c r="BH576" s="3"/>
      <c r="BI576" s="3"/>
    </row>
    <row r="577" spans="1:61" ht="12.95" customHeight="1">
      <c r="A577" s="22"/>
      <c r="B577" t="s">
        <v>85</v>
      </c>
      <c r="G577" s="1504" t="s">
        <v>2715</v>
      </c>
      <c r="H577" s="1504"/>
      <c r="I577" s="1504"/>
      <c r="J577" s="1504"/>
      <c r="K577" s="1504"/>
      <c r="L577" s="1504"/>
      <c r="M577" s="1504"/>
      <c r="N577" s="1504"/>
      <c r="O577" s="1504"/>
      <c r="P577" s="1504"/>
      <c r="Q577" s="1504"/>
      <c r="R577" s="1504"/>
      <c r="S577" s="8"/>
      <c r="T577" s="22"/>
      <c r="U577" t="s">
        <v>85</v>
      </c>
      <c r="Z577" s="1504" t="s">
        <v>2715</v>
      </c>
      <c r="AA577" s="1504"/>
      <c r="AB577" s="1504"/>
      <c r="AC577" s="1504"/>
      <c r="AD577" s="1504"/>
      <c r="AE577" s="1504"/>
      <c r="AF577" s="1504"/>
      <c r="AG577" s="1504"/>
      <c r="AH577" s="1504"/>
      <c r="AI577" s="1504"/>
      <c r="AJ577" s="1504"/>
      <c r="AK577" s="1504"/>
      <c r="BB577" s="3"/>
      <c r="BC577" s="3"/>
      <c r="BD577" s="3"/>
      <c r="BE577" s="3"/>
      <c r="BF577" s="3"/>
      <c r="BG577" s="3"/>
      <c r="BH577" s="3"/>
      <c r="BI577" s="3"/>
    </row>
    <row r="578" spans="1:61" ht="12.95" customHeight="1">
      <c r="A578" s="22"/>
      <c r="B578" t="s">
        <v>580</v>
      </c>
      <c r="G578" s="1504" t="s">
        <v>494</v>
      </c>
      <c r="H578" s="1504"/>
      <c r="I578" s="1504"/>
      <c r="J578" s="1504"/>
      <c r="K578" s="1504"/>
      <c r="L578" s="1504"/>
      <c r="M578" s="1504"/>
      <c r="N578" s="1504"/>
      <c r="O578" s="1504"/>
      <c r="P578" s="1504"/>
      <c r="Q578" s="1504"/>
      <c r="R578" s="1504"/>
      <c r="T578" s="22"/>
      <c r="U578" t="s">
        <v>580</v>
      </c>
      <c r="Z578" s="1485" t="s">
        <v>494</v>
      </c>
      <c r="AA578" s="1485"/>
      <c r="AB578" s="1485"/>
      <c r="AC578" s="1485"/>
      <c r="AD578" s="1485"/>
      <c r="AE578" s="1485"/>
      <c r="AF578" s="1485"/>
      <c r="AG578" s="1485"/>
      <c r="AH578" s="1485"/>
      <c r="AI578" s="1485"/>
      <c r="AJ578" s="1485"/>
      <c r="AK578" s="1485"/>
      <c r="BB578" s="3"/>
      <c r="BC578" s="3"/>
      <c r="BD578" s="3"/>
      <c r="BE578" s="3"/>
      <c r="BF578" s="3"/>
      <c r="BG578" s="3"/>
      <c r="BH578" s="3"/>
      <c r="BI578" s="3"/>
    </row>
    <row r="579" spans="1:61" ht="12.95" customHeight="1">
      <c r="A579" s="22"/>
      <c r="B579" t="s">
        <v>17</v>
      </c>
      <c r="G579" s="1504" t="s">
        <v>2716</v>
      </c>
      <c r="H579" s="1504"/>
      <c r="I579" s="1504"/>
      <c r="J579" s="1504"/>
      <c r="K579" s="1504"/>
      <c r="L579" s="1504"/>
      <c r="M579" s="1504"/>
      <c r="N579" s="1504"/>
      <c r="O579" s="1504"/>
      <c r="P579" s="1504"/>
      <c r="Q579" s="1504"/>
      <c r="R579" s="1504"/>
      <c r="S579" s="8"/>
      <c r="T579" s="22"/>
      <c r="U579" t="s">
        <v>17</v>
      </c>
      <c r="Z579" s="1485" t="s">
        <v>2716</v>
      </c>
      <c r="AA579" s="1485"/>
      <c r="AB579" s="1485"/>
      <c r="AC579" s="1485"/>
      <c r="AD579" s="1485"/>
      <c r="AE579" s="1485"/>
      <c r="AF579" s="1485"/>
      <c r="AG579" s="1485"/>
      <c r="AH579" s="1485"/>
      <c r="AI579" s="1485"/>
      <c r="AJ579" s="1485"/>
      <c r="AK579" s="1485"/>
      <c r="BB579" s="3"/>
      <c r="BC579" s="3"/>
      <c r="BD579" s="3"/>
      <c r="BE579" s="3"/>
      <c r="BF579" s="3"/>
      <c r="BG579" s="3"/>
      <c r="BH579" s="3"/>
      <c r="BI579" s="3"/>
    </row>
    <row r="580" spans="1:61" ht="12.95" customHeight="1">
      <c r="A580" s="22"/>
      <c r="B580" t="s">
        <v>316</v>
      </c>
      <c r="G580" s="1529" t="s">
        <v>2717</v>
      </c>
      <c r="H580" s="1529"/>
      <c r="I580" s="1529"/>
      <c r="J580" s="1529"/>
      <c r="K580" s="1529"/>
      <c r="L580" s="1529"/>
      <c r="O580" s="33" t="s">
        <v>206</v>
      </c>
      <c r="P580" s="1519"/>
      <c r="Q580" s="1519"/>
      <c r="R580" s="1519"/>
      <c r="S580" s="10"/>
      <c r="T580" s="22"/>
      <c r="U580" t="s">
        <v>316</v>
      </c>
      <c r="Z580" s="1529" t="s">
        <v>2717</v>
      </c>
      <c r="AA580" s="1529"/>
      <c r="AB580" s="1529"/>
      <c r="AC580" s="1529"/>
      <c r="AD580" s="1529"/>
      <c r="AE580" s="1529"/>
      <c r="AH580" s="33" t="s">
        <v>206</v>
      </c>
      <c r="AI580" s="1519"/>
      <c r="AJ580" s="1519"/>
      <c r="AK580" s="1519"/>
      <c r="BB580" s="3"/>
      <c r="BC580" s="3"/>
      <c r="BD580" s="3"/>
      <c r="BE580" s="3"/>
      <c r="BF580" s="3"/>
      <c r="BG580" s="3"/>
      <c r="BH580" s="3"/>
      <c r="BI580" s="3"/>
    </row>
    <row r="581" spans="1:61" ht="12.95" customHeight="1">
      <c r="A581" s="22"/>
      <c r="B581" t="s">
        <v>18</v>
      </c>
      <c r="H581" s="1504" t="s">
        <v>2718</v>
      </c>
      <c r="I581" s="1504"/>
      <c r="J581" s="1504"/>
      <c r="K581" s="1504"/>
      <c r="L581" s="1504"/>
      <c r="M581" s="1504"/>
      <c r="N581" s="1504"/>
      <c r="O581" s="1504"/>
      <c r="P581" s="1504"/>
      <c r="Q581" s="1504"/>
      <c r="R581" s="1504"/>
      <c r="S581" s="8"/>
      <c r="T581" s="22"/>
      <c r="U581" t="s">
        <v>18</v>
      </c>
      <c r="AA581" s="1504" t="s">
        <v>2718</v>
      </c>
      <c r="AB581" s="1504"/>
      <c r="AC581" s="1504"/>
      <c r="AD581" s="1504"/>
      <c r="AE581" s="1504"/>
      <c r="AF581" s="1504"/>
      <c r="AG581" s="1504"/>
      <c r="AH581" s="1504"/>
      <c r="AI581" s="1504"/>
      <c r="AJ581" s="1504"/>
      <c r="AK581" s="1504"/>
      <c r="BB581" s="3"/>
      <c r="BC581" s="3"/>
      <c r="BD581" s="3"/>
      <c r="BE581" s="3"/>
      <c r="BF581" s="3"/>
      <c r="BG581" s="3"/>
      <c r="BH581" s="3"/>
      <c r="BI581" s="3"/>
    </row>
    <row r="582" spans="1:61" ht="12.95" customHeight="1">
      <c r="A582" s="22"/>
      <c r="B582" s="320" t="s">
        <v>1185</v>
      </c>
      <c r="H582" s="8"/>
      <c r="I582" s="8"/>
      <c r="J582" s="8"/>
      <c r="K582" s="8"/>
      <c r="L582" s="8"/>
      <c r="M582" s="1684"/>
      <c r="N582" s="1684"/>
      <c r="O582" s="1684"/>
      <c r="P582" s="1684"/>
      <c r="Q582" s="1684"/>
      <c r="R582" s="1684"/>
      <c r="S582" s="8"/>
      <c r="T582" s="22"/>
      <c r="U582" s="320" t="s">
        <v>1185</v>
      </c>
      <c r="AA582" s="8"/>
      <c r="AB582" s="8"/>
      <c r="AC582" s="8"/>
      <c r="AD582" s="8"/>
      <c r="AE582" s="8"/>
      <c r="AF582" s="1684"/>
      <c r="AG582" s="1684"/>
      <c r="AH582" s="1684"/>
      <c r="AI582" s="1684"/>
      <c r="AJ582" s="1684"/>
      <c r="AK582" s="1684"/>
      <c r="BB582" s="3"/>
      <c r="BC582" s="3"/>
      <c r="BD582" s="3"/>
      <c r="BE582" s="3"/>
      <c r="BF582" s="3"/>
      <c r="BG582" s="3"/>
      <c r="BH582" s="3"/>
      <c r="BI582" s="3"/>
    </row>
    <row r="583" spans="1:61" ht="12.95" customHeight="1">
      <c r="A583" s="22"/>
      <c r="B583" t="s">
        <v>20</v>
      </c>
      <c r="N583" s="1340" t="s">
        <v>545</v>
      </c>
      <c r="O583" s="1340"/>
      <c r="T583" s="22"/>
      <c r="U583" t="s">
        <v>20</v>
      </c>
      <c r="AG583" s="1340" t="s">
        <v>545</v>
      </c>
      <c r="AH583" s="134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84" t="str">
        <f>C564</f>
        <v>Stephen Siller Tunnel to Towers Foundation</v>
      </c>
      <c r="H585" s="1484"/>
      <c r="I585" s="1484"/>
      <c r="J585" s="1484"/>
      <c r="K585" s="1484"/>
      <c r="L585" s="1484"/>
      <c r="M585" s="1484"/>
      <c r="N585" s="1484"/>
      <c r="O585" s="1484"/>
      <c r="P585" s="1484"/>
      <c r="Q585" s="1484"/>
      <c r="R585" s="1484"/>
      <c r="T585" s="55" t="s">
        <v>581</v>
      </c>
      <c r="U585" t="s">
        <v>463</v>
      </c>
      <c r="Z585" s="1484" t="str">
        <f>C565</f>
        <v>Stephen Siller Tunnel to Towers Foundation</v>
      </c>
      <c r="AA585" s="1484"/>
      <c r="AB585" s="1484"/>
      <c r="AC585" s="1484"/>
      <c r="AD585" s="1484"/>
      <c r="AE585" s="1484"/>
      <c r="AF585" s="1484"/>
      <c r="AG585" s="1484"/>
      <c r="AH585" s="1484"/>
      <c r="AI585" s="1484"/>
      <c r="AJ585" s="1484"/>
      <c r="AK585" s="1484"/>
      <c r="BB585" s="3"/>
      <c r="BC585" s="3"/>
    </row>
    <row r="586" spans="1:61" ht="12.95" customHeight="1">
      <c r="A586" s="22"/>
      <c r="B586" t="s">
        <v>85</v>
      </c>
      <c r="G586" s="1504" t="s">
        <v>2712</v>
      </c>
      <c r="H586" s="1504"/>
      <c r="I586" s="1504"/>
      <c r="J586" s="1504"/>
      <c r="K586" s="1504"/>
      <c r="L586" s="1504"/>
      <c r="M586" s="1504"/>
      <c r="N586" s="1504"/>
      <c r="O586" s="1504"/>
      <c r="P586" s="1504"/>
      <c r="Q586" s="1504"/>
      <c r="R586" s="1504"/>
      <c r="T586" s="22"/>
      <c r="U586" t="s">
        <v>85</v>
      </c>
      <c r="Z586" s="1504" t="s">
        <v>2712</v>
      </c>
      <c r="AA586" s="1504"/>
      <c r="AB586" s="1504"/>
      <c r="AC586" s="1504"/>
      <c r="AD586" s="1504"/>
      <c r="AE586" s="1504"/>
      <c r="AF586" s="1504"/>
      <c r="AG586" s="1504"/>
      <c r="AH586" s="1504"/>
      <c r="AI586" s="1504"/>
      <c r="AJ586" s="1504"/>
      <c r="AK586" s="1504"/>
      <c r="BB586" s="3"/>
      <c r="BC586" s="3"/>
    </row>
    <row r="587" spans="1:61" ht="12.95" customHeight="1">
      <c r="A587" s="22"/>
      <c r="B587" t="s">
        <v>580</v>
      </c>
      <c r="G587" s="1485" t="s">
        <v>2713</v>
      </c>
      <c r="H587" s="1485"/>
      <c r="I587" s="1485"/>
      <c r="J587" s="1485"/>
      <c r="K587" s="1485"/>
      <c r="L587" s="1485"/>
      <c r="M587" s="1485"/>
      <c r="N587" s="1485"/>
      <c r="O587" s="1485"/>
      <c r="P587" s="1485"/>
      <c r="Q587" s="1485"/>
      <c r="R587" s="1485"/>
      <c r="T587" s="22"/>
      <c r="U587" t="s">
        <v>580</v>
      </c>
      <c r="Z587" s="1485" t="s">
        <v>2713</v>
      </c>
      <c r="AA587" s="1485"/>
      <c r="AB587" s="1485"/>
      <c r="AC587" s="1485"/>
      <c r="AD587" s="1485"/>
      <c r="AE587" s="1485"/>
      <c r="AF587" s="1485"/>
      <c r="AG587" s="1485"/>
      <c r="AH587" s="1485"/>
      <c r="AI587" s="1485"/>
      <c r="AJ587" s="1485"/>
      <c r="AK587" s="1485"/>
      <c r="BB587" s="3"/>
      <c r="BC587" s="3"/>
    </row>
    <row r="588" spans="1:61" ht="12.95" customHeight="1">
      <c r="A588" s="22"/>
      <c r="B588" t="s">
        <v>17</v>
      </c>
      <c r="G588" s="1485" t="s">
        <v>2714</v>
      </c>
      <c r="H588" s="1485"/>
      <c r="I588" s="1485"/>
      <c r="J588" s="1485"/>
      <c r="K588" s="1485"/>
      <c r="L588" s="1485"/>
      <c r="M588" s="1485"/>
      <c r="N588" s="1485"/>
      <c r="O588" s="1485"/>
      <c r="P588" s="1485"/>
      <c r="Q588" s="1485"/>
      <c r="R588" s="1485"/>
      <c r="T588" s="22"/>
      <c r="U588" t="s">
        <v>17</v>
      </c>
      <c r="Z588" s="1485" t="s">
        <v>2714</v>
      </c>
      <c r="AA588" s="1485"/>
      <c r="AB588" s="1485"/>
      <c r="AC588" s="1485"/>
      <c r="AD588" s="1485"/>
      <c r="AE588" s="1485"/>
      <c r="AF588" s="1485"/>
      <c r="AG588" s="1485"/>
      <c r="AH588" s="1485"/>
      <c r="AI588" s="1485"/>
      <c r="AJ588" s="1485"/>
      <c r="AK588" s="1485"/>
      <c r="BB588" s="3"/>
      <c r="BC588" s="3"/>
    </row>
    <row r="589" spans="1:61" ht="12.95" customHeight="1">
      <c r="A589" s="22"/>
      <c r="B589" t="s">
        <v>316</v>
      </c>
      <c r="G589" s="1529">
        <v>7189871931</v>
      </c>
      <c r="H589" s="1529"/>
      <c r="I589" s="1529"/>
      <c r="J589" s="1529"/>
      <c r="K589" s="1529"/>
      <c r="L589" s="1529"/>
      <c r="O589" s="33" t="s">
        <v>206</v>
      </c>
      <c r="P589" s="1519"/>
      <c r="Q589" s="1519"/>
      <c r="R589" s="1519"/>
      <c r="T589" s="22"/>
      <c r="U589" t="s">
        <v>316</v>
      </c>
      <c r="Z589" s="1529">
        <v>7189871931</v>
      </c>
      <c r="AA589" s="1529"/>
      <c r="AB589" s="1529"/>
      <c r="AC589" s="1529"/>
      <c r="AD589" s="1529"/>
      <c r="AE589" s="1529"/>
      <c r="AH589" s="33" t="s">
        <v>206</v>
      </c>
      <c r="AI589" s="1519"/>
      <c r="AJ589" s="1519"/>
      <c r="AK589" s="1519"/>
      <c r="BB589" s="3"/>
      <c r="BC589" s="3"/>
    </row>
    <row r="590" spans="1:61" ht="12.95" customHeight="1">
      <c r="A590" s="22"/>
      <c r="B590" t="s">
        <v>18</v>
      </c>
      <c r="H590" s="1504" t="s">
        <v>2072</v>
      </c>
      <c r="I590" s="1504"/>
      <c r="J590" s="1504"/>
      <c r="K590" s="1504"/>
      <c r="L590" s="1504"/>
      <c r="M590" s="1504"/>
      <c r="N590" s="1504"/>
      <c r="O590" s="1504"/>
      <c r="P590" s="1504"/>
      <c r="Q590" s="1504"/>
      <c r="R590" s="1504"/>
      <c r="T590" s="22"/>
      <c r="U590" t="s">
        <v>18</v>
      </c>
      <c r="AA590" s="1504" t="s">
        <v>2764</v>
      </c>
      <c r="AB590" s="1504"/>
      <c r="AC590" s="1504"/>
      <c r="AD590" s="1504"/>
      <c r="AE590" s="1504"/>
      <c r="AF590" s="1504"/>
      <c r="AG590" s="1504"/>
      <c r="AH590" s="1504"/>
      <c r="AI590" s="1504"/>
      <c r="AJ590" s="1504"/>
      <c r="AK590" s="1504"/>
      <c r="BB590" s="3"/>
      <c r="BC590" s="3"/>
    </row>
    <row r="591" spans="1:61" ht="12.95" customHeight="1">
      <c r="A591" s="22"/>
      <c r="B591" t="s">
        <v>20</v>
      </c>
      <c r="N591" s="1340" t="s">
        <v>545</v>
      </c>
      <c r="O591" s="1340"/>
      <c r="T591" s="22"/>
      <c r="U591" t="s">
        <v>20</v>
      </c>
      <c r="AG591" s="1340" t="s">
        <v>545</v>
      </c>
      <c r="AH591" s="1340"/>
      <c r="BB591" s="3"/>
      <c r="BC591" s="3"/>
    </row>
    <row r="592" spans="1:61" ht="12.95" customHeight="1">
      <c r="A592" s="22"/>
      <c r="T592" s="22"/>
      <c r="BB592" s="3"/>
      <c r="BC592" s="3"/>
    </row>
    <row r="593" spans="1:55" ht="12.95" customHeight="1">
      <c r="A593" s="55" t="s">
        <v>763</v>
      </c>
      <c r="B593" t="s">
        <v>463</v>
      </c>
      <c r="G593" s="1484" t="str">
        <f>C566</f>
        <v>The Home Depot Foundation</v>
      </c>
      <c r="H593" s="1484"/>
      <c r="I593" s="1484"/>
      <c r="J593" s="1484"/>
      <c r="K593" s="1484"/>
      <c r="L593" s="1484"/>
      <c r="M593" s="1484"/>
      <c r="N593" s="1484"/>
      <c r="O593" s="1484"/>
      <c r="P593" s="1484"/>
      <c r="Q593" s="1484"/>
      <c r="R593" s="1484"/>
      <c r="T593" s="55" t="s">
        <v>584</v>
      </c>
      <c r="U593" t="s">
        <v>463</v>
      </c>
      <c r="Z593" s="1484" t="str">
        <f>C567</f>
        <v>R4 Capital</v>
      </c>
      <c r="AA593" s="1484"/>
      <c r="AB593" s="1484"/>
      <c r="AC593" s="1484"/>
      <c r="AD593" s="1484"/>
      <c r="AE593" s="1484"/>
      <c r="AF593" s="1484"/>
      <c r="AG593" s="1484"/>
      <c r="AH593" s="1484"/>
      <c r="AI593" s="1484"/>
      <c r="AJ593" s="1484"/>
      <c r="AK593" s="1484"/>
      <c r="BB593" s="3"/>
      <c r="BC593" s="3"/>
    </row>
    <row r="594" spans="1:55" ht="12.95" customHeight="1">
      <c r="A594" s="22"/>
      <c r="B594" t="s">
        <v>85</v>
      </c>
      <c r="G594" s="1504" t="s">
        <v>2708</v>
      </c>
      <c r="H594" s="1504"/>
      <c r="I594" s="1504"/>
      <c r="J594" s="1504"/>
      <c r="K594" s="1504"/>
      <c r="L594" s="1504"/>
      <c r="M594" s="1504"/>
      <c r="N594" s="1504"/>
      <c r="O594" s="1504"/>
      <c r="P594" s="1504"/>
      <c r="Q594" s="1504"/>
      <c r="R594" s="1504"/>
      <c r="T594" s="22"/>
      <c r="U594" t="s">
        <v>85</v>
      </c>
      <c r="Z594" s="1504" t="s">
        <v>2742</v>
      </c>
      <c r="AA594" s="1504"/>
      <c r="AB594" s="1504"/>
      <c r="AC594" s="1504"/>
      <c r="AD594" s="1504"/>
      <c r="AE594" s="1504"/>
      <c r="AF594" s="1504"/>
      <c r="AG594" s="1504"/>
      <c r="AH594" s="1504"/>
      <c r="AI594" s="1504"/>
      <c r="AJ594" s="1504"/>
      <c r="AK594" s="1504"/>
      <c r="BB594" s="3"/>
      <c r="BC594" s="3"/>
    </row>
    <row r="595" spans="1:55" ht="12.95" customHeight="1">
      <c r="A595" s="22"/>
      <c r="B595" t="s">
        <v>580</v>
      </c>
      <c r="G595" s="1504" t="s">
        <v>2709</v>
      </c>
      <c r="H595" s="1504"/>
      <c r="I595" s="1504"/>
      <c r="J595" s="1504"/>
      <c r="K595" s="1504"/>
      <c r="L595" s="1504"/>
      <c r="M595" s="1504"/>
      <c r="N595" s="1504"/>
      <c r="O595" s="1504"/>
      <c r="P595" s="1504"/>
      <c r="Q595" s="1504"/>
      <c r="R595" s="1504"/>
      <c r="T595" s="22"/>
      <c r="U595" t="s">
        <v>580</v>
      </c>
      <c r="Z595" s="1485" t="s">
        <v>2743</v>
      </c>
      <c r="AA595" s="1485"/>
      <c r="AB595" s="1485"/>
      <c r="AC595" s="1485"/>
      <c r="AD595" s="1485"/>
      <c r="AE595" s="1485"/>
      <c r="AF595" s="1485"/>
      <c r="AG595" s="1485"/>
      <c r="AH595" s="1485"/>
      <c r="AI595" s="1485"/>
      <c r="AJ595" s="1485"/>
      <c r="AK595" s="1485"/>
      <c r="BB595" s="3"/>
      <c r="BC595" s="3"/>
    </row>
    <row r="596" spans="1:55" ht="12.95" customHeight="1">
      <c r="A596" s="22"/>
      <c r="B596" t="s">
        <v>17</v>
      </c>
      <c r="G596" s="1504" t="s">
        <v>2710</v>
      </c>
      <c r="H596" s="1504"/>
      <c r="I596" s="1504"/>
      <c r="J596" s="1504"/>
      <c r="K596" s="1504"/>
      <c r="L596" s="1504"/>
      <c r="M596" s="1504"/>
      <c r="N596" s="1504"/>
      <c r="O596" s="1504"/>
      <c r="P596" s="1504"/>
      <c r="Q596" s="1504"/>
      <c r="R596" s="1504"/>
      <c r="T596" s="22"/>
      <c r="U596" t="s">
        <v>17</v>
      </c>
      <c r="Z596" s="1485" t="s">
        <v>2733</v>
      </c>
      <c r="AA596" s="1485"/>
      <c r="AB596" s="1485"/>
      <c r="AC596" s="1485"/>
      <c r="AD596" s="1485"/>
      <c r="AE596" s="1485"/>
      <c r="AF596" s="1485"/>
      <c r="AG596" s="1485"/>
      <c r="AH596" s="1485"/>
      <c r="AI596" s="1485"/>
      <c r="AJ596" s="1485"/>
      <c r="AK596" s="1485"/>
    </row>
    <row r="597" spans="1:55" ht="12.95" customHeight="1">
      <c r="A597" s="22"/>
      <c r="B597" t="s">
        <v>316</v>
      </c>
      <c r="G597" s="1529">
        <v>7704338211</v>
      </c>
      <c r="H597" s="1529"/>
      <c r="I597" s="1529"/>
      <c r="J597" s="1529"/>
      <c r="K597" s="1529"/>
      <c r="L597" s="1529"/>
      <c r="O597" s="33" t="s">
        <v>206</v>
      </c>
      <c r="P597" s="1519"/>
      <c r="Q597" s="1519"/>
      <c r="R597" s="1519"/>
      <c r="T597" s="22"/>
      <c r="U597" t="s">
        <v>316</v>
      </c>
      <c r="Z597" s="1529">
        <v>9494381056</v>
      </c>
      <c r="AA597" s="1529"/>
      <c r="AB597" s="1529"/>
      <c r="AC597" s="1529"/>
      <c r="AD597" s="1529"/>
      <c r="AE597" s="1529"/>
      <c r="AH597" s="33" t="s">
        <v>206</v>
      </c>
      <c r="AI597" s="1519"/>
      <c r="AJ597" s="1519"/>
      <c r="AK597" s="1519"/>
      <c r="AZ597" s="3"/>
      <c r="BA597" s="3"/>
      <c r="BB597" s="3"/>
      <c r="BC597" s="3"/>
    </row>
    <row r="598" spans="1:55" ht="12.95" customHeight="1">
      <c r="A598" s="22"/>
      <c r="B598" t="s">
        <v>18</v>
      </c>
      <c r="H598" s="1504" t="s">
        <v>2764</v>
      </c>
      <c r="I598" s="1504"/>
      <c r="J598" s="1504"/>
      <c r="K598" s="1504"/>
      <c r="L598" s="1504"/>
      <c r="M598" s="1504"/>
      <c r="N598" s="1504"/>
      <c r="O598" s="1504"/>
      <c r="P598" s="1504"/>
      <c r="Q598" s="1504"/>
      <c r="R598" s="1504"/>
      <c r="T598" s="22"/>
      <c r="U598" t="s">
        <v>18</v>
      </c>
      <c r="AA598" s="1504" t="str">
        <f>M567</f>
        <v>Equity, LIHTC Investor</v>
      </c>
      <c r="AB598" s="1504"/>
      <c r="AC598" s="1504"/>
      <c r="AD598" s="1504"/>
      <c r="AE598" s="1504"/>
      <c r="AF598" s="1504"/>
      <c r="AG598" s="1504"/>
      <c r="AH598" s="1504"/>
      <c r="AI598" s="1504"/>
      <c r="AJ598" s="1504"/>
      <c r="AK598" s="1504"/>
      <c r="AZ598" s="3"/>
      <c r="BA598" s="3"/>
      <c r="BB598" s="3"/>
      <c r="BC598" s="3"/>
    </row>
    <row r="599" spans="1:55" ht="12.95" customHeight="1">
      <c r="A599" s="22"/>
      <c r="B599" t="s">
        <v>20</v>
      </c>
      <c r="N599" s="1340" t="s">
        <v>545</v>
      </c>
      <c r="O599" s="1340"/>
      <c r="T599" s="22"/>
      <c r="U599" t="s">
        <v>20</v>
      </c>
      <c r="AG599" s="1340" t="s">
        <v>545</v>
      </c>
      <c r="AH599" s="1340"/>
      <c r="AZ599" s="3"/>
      <c r="BA599" s="3"/>
      <c r="BB599" s="3"/>
      <c r="BC599" s="3"/>
    </row>
    <row r="600" spans="1:55" ht="12.95" customHeight="1">
      <c r="A600" s="22"/>
      <c r="T600" s="22"/>
      <c r="AZ600" s="3"/>
      <c r="BA600" s="3"/>
      <c r="BB600" s="3"/>
      <c r="BC600" s="3"/>
    </row>
    <row r="601" spans="1:55" ht="12.95" customHeight="1">
      <c r="A601" s="55" t="s">
        <v>455</v>
      </c>
      <c r="B601" t="s">
        <v>463</v>
      </c>
      <c r="G601" s="1484" t="str">
        <f>C568</f>
        <v>Deferred Costs &amp; Fees</v>
      </c>
      <c r="H601" s="1484"/>
      <c r="I601" s="1484"/>
      <c r="J601" s="1484"/>
      <c r="K601" s="1484"/>
      <c r="L601" s="1484"/>
      <c r="M601" s="1484"/>
      <c r="N601" s="1484"/>
      <c r="O601" s="1484"/>
      <c r="P601" s="1484"/>
      <c r="Q601" s="1484"/>
      <c r="R601" s="1484"/>
      <c r="T601" s="55" t="s">
        <v>456</v>
      </c>
      <c r="U601" t="s">
        <v>463</v>
      </c>
      <c r="Z601" s="1484">
        <f>C569</f>
        <v>0</v>
      </c>
      <c r="AA601" s="1484"/>
      <c r="AB601" s="1484"/>
      <c r="AC601" s="1484"/>
      <c r="AD601" s="1484"/>
      <c r="AE601" s="1484"/>
      <c r="AF601" s="1484"/>
      <c r="AG601" s="1484"/>
      <c r="AH601" s="1484"/>
      <c r="AI601" s="1484"/>
      <c r="AJ601" s="1484"/>
      <c r="AK601" s="1484"/>
      <c r="AZ601" s="3"/>
      <c r="BA601" s="3"/>
      <c r="BB601" s="3"/>
      <c r="BC601" s="3"/>
    </row>
    <row r="602" spans="1:55" s="4" customFormat="1" ht="12.95" customHeight="1">
      <c r="A602" s="22"/>
      <c r="B602" t="s">
        <v>85</v>
      </c>
      <c r="C602"/>
      <c r="D602"/>
      <c r="E602"/>
      <c r="F602"/>
      <c r="G602" s="1504" t="s">
        <v>2711</v>
      </c>
      <c r="H602" s="1504"/>
      <c r="I602" s="1504"/>
      <c r="J602" s="1504"/>
      <c r="K602" s="1504"/>
      <c r="L602" s="1504"/>
      <c r="M602" s="1504"/>
      <c r="N602" s="1504"/>
      <c r="O602" s="1504"/>
      <c r="P602" s="1504"/>
      <c r="Q602" s="1504"/>
      <c r="R602" s="1504"/>
      <c r="S602"/>
      <c r="T602" s="22"/>
      <c r="U602" t="s">
        <v>85</v>
      </c>
      <c r="V602"/>
      <c r="W602"/>
      <c r="X602"/>
      <c r="Y602"/>
      <c r="Z602" s="1504"/>
      <c r="AA602" s="1504"/>
      <c r="AB602" s="1504"/>
      <c r="AC602" s="1504"/>
      <c r="AD602" s="1504"/>
      <c r="AE602" s="1504"/>
      <c r="AF602" s="1504"/>
      <c r="AG602" s="1504"/>
      <c r="AH602" s="1504"/>
      <c r="AI602" s="1504"/>
      <c r="AJ602" s="1504"/>
      <c r="AK602" s="1504"/>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504" t="s">
        <v>494</v>
      </c>
      <c r="H603" s="1504"/>
      <c r="I603" s="1504"/>
      <c r="J603" s="1504"/>
      <c r="K603" s="1504"/>
      <c r="L603" s="1504"/>
      <c r="M603" s="1504"/>
      <c r="N603" s="1504"/>
      <c r="O603" s="1504"/>
      <c r="P603" s="1504"/>
      <c r="Q603" s="1504"/>
      <c r="R603" s="1504"/>
      <c r="S603"/>
      <c r="T603" s="22"/>
      <c r="U603" t="s">
        <v>580</v>
      </c>
      <c r="V603"/>
      <c r="W603"/>
      <c r="X603"/>
      <c r="Y603"/>
      <c r="Z603" s="1485"/>
      <c r="AA603" s="1485"/>
      <c r="AB603" s="1485"/>
      <c r="AC603" s="1485"/>
      <c r="AD603" s="1485"/>
      <c r="AE603" s="1485"/>
      <c r="AF603" s="1485"/>
      <c r="AG603" s="1485"/>
      <c r="AH603" s="1485"/>
      <c r="AI603" s="1485"/>
      <c r="AJ603" s="1485"/>
      <c r="AK603" s="1485"/>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504" t="s">
        <v>2648</v>
      </c>
      <c r="H604" s="1504"/>
      <c r="I604" s="1504"/>
      <c r="J604" s="1504"/>
      <c r="K604" s="1504"/>
      <c r="L604" s="1504"/>
      <c r="M604" s="1504"/>
      <c r="N604" s="1504"/>
      <c r="O604" s="1504"/>
      <c r="P604" s="1504"/>
      <c r="Q604" s="1504"/>
      <c r="R604" s="1504"/>
      <c r="S604"/>
      <c r="T604" s="22"/>
      <c r="U604" t="s">
        <v>17</v>
      </c>
      <c r="V604"/>
      <c r="W604"/>
      <c r="X604"/>
      <c r="Y604"/>
      <c r="Z604" s="1485"/>
      <c r="AA604" s="1485"/>
      <c r="AB604" s="1485"/>
      <c r="AC604" s="1485"/>
      <c r="AD604" s="1485"/>
      <c r="AE604" s="1485"/>
      <c r="AF604" s="1485"/>
      <c r="AG604" s="1485"/>
      <c r="AH604" s="1485"/>
      <c r="AI604" s="1485"/>
      <c r="AJ604" s="1485"/>
      <c r="AK604" s="1485"/>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529">
        <v>2136107649</v>
      </c>
      <c r="H605" s="1529"/>
      <c r="I605" s="1529"/>
      <c r="J605" s="1529"/>
      <c r="K605" s="1529"/>
      <c r="L605" s="1529"/>
      <c r="M605"/>
      <c r="N605"/>
      <c r="O605" s="33" t="s">
        <v>206</v>
      </c>
      <c r="P605" s="1519"/>
      <c r="Q605" s="1519"/>
      <c r="R605" s="1519"/>
      <c r="S605"/>
      <c r="T605" s="22"/>
      <c r="U605" t="s">
        <v>316</v>
      </c>
      <c r="V605"/>
      <c r="W605"/>
      <c r="X605"/>
      <c r="Y605"/>
      <c r="Z605" s="1529"/>
      <c r="AA605" s="1529"/>
      <c r="AB605" s="1529"/>
      <c r="AC605" s="1529"/>
      <c r="AD605" s="1529"/>
      <c r="AE605" s="1529"/>
      <c r="AF605"/>
      <c r="AG605"/>
      <c r="AH605" s="33" t="s">
        <v>206</v>
      </c>
      <c r="AI605" s="1519"/>
      <c r="AJ605" s="1519"/>
      <c r="AK605" s="151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504" t="str">
        <f>M568</f>
        <v>Cost Deferral</v>
      </c>
      <c r="I606" s="1504"/>
      <c r="J606" s="1504"/>
      <c r="K606" s="1504"/>
      <c r="L606" s="1504"/>
      <c r="M606" s="1504"/>
      <c r="N606" s="1504"/>
      <c r="O606" s="1504"/>
      <c r="P606" s="1504"/>
      <c r="Q606" s="1504"/>
      <c r="R606" s="1504"/>
      <c r="S606"/>
      <c r="T606" s="22"/>
      <c r="U606" t="s">
        <v>18</v>
      </c>
      <c r="V606"/>
      <c r="W606"/>
      <c r="X606"/>
      <c r="Y606"/>
      <c r="Z606"/>
      <c r="AA606" s="1504"/>
      <c r="AB606" s="1504"/>
      <c r="AC606" s="1504"/>
      <c r="AD606" s="1504"/>
      <c r="AE606" s="1504"/>
      <c r="AF606" s="1504"/>
      <c r="AG606" s="1504"/>
      <c r="AH606" s="1504"/>
      <c r="AI606" s="1504"/>
      <c r="AJ606" s="1504"/>
      <c r="AK606" s="1504"/>
      <c r="AL606"/>
      <c r="AM606"/>
      <c r="AN606"/>
      <c r="AO606"/>
      <c r="AP606"/>
      <c r="AQ606"/>
      <c r="AR606"/>
      <c r="AS606"/>
      <c r="AT606"/>
      <c r="AU606"/>
      <c r="AV606"/>
      <c r="AW606"/>
      <c r="AX606"/>
      <c r="AY606"/>
      <c r="BB606" s="3"/>
      <c r="BC606" s="3"/>
    </row>
    <row r="607" spans="1:55" ht="12.95" customHeight="1">
      <c r="A607" s="22"/>
      <c r="B607" t="s">
        <v>20</v>
      </c>
      <c r="N607" s="1340" t="s">
        <v>545</v>
      </c>
      <c r="O607" s="1340"/>
      <c r="T607" s="22"/>
      <c r="U607" t="s">
        <v>20</v>
      </c>
      <c r="AG607" s="1340"/>
      <c r="AH607" s="1340"/>
      <c r="BB607" s="3"/>
      <c r="BC607" s="3"/>
    </row>
    <row r="608" spans="1:55" ht="12.95" customHeight="1">
      <c r="A608" s="22"/>
      <c r="T608" s="22"/>
      <c r="BB608" s="3"/>
      <c r="BC608" s="3"/>
    </row>
    <row r="609" spans="1:55" ht="12.95" customHeight="1">
      <c r="A609" s="55" t="s">
        <v>461</v>
      </c>
      <c r="B609" t="s">
        <v>463</v>
      </c>
      <c r="G609" s="1484">
        <f>C570</f>
        <v>0</v>
      </c>
      <c r="H609" s="1484"/>
      <c r="I609" s="1484"/>
      <c r="J609" s="1484"/>
      <c r="K609" s="1484"/>
      <c r="L609" s="1484"/>
      <c r="M609" s="1484"/>
      <c r="N609" s="1484"/>
      <c r="O609" s="1484"/>
      <c r="P609" s="1484"/>
      <c r="Q609" s="1484"/>
      <c r="R609" s="1484"/>
      <c r="T609" s="55" t="s">
        <v>646</v>
      </c>
      <c r="U609" t="s">
        <v>463</v>
      </c>
      <c r="Z609" s="1484">
        <f>C571</f>
        <v>0</v>
      </c>
      <c r="AA609" s="1484"/>
      <c r="AB609" s="1484"/>
      <c r="AC609" s="1484"/>
      <c r="AD609" s="1484"/>
      <c r="AE609" s="1484"/>
      <c r="AF609" s="1484"/>
      <c r="AG609" s="1484"/>
      <c r="AH609" s="1484"/>
      <c r="AI609" s="1484"/>
      <c r="AJ609" s="1484"/>
      <c r="AK609" s="1484"/>
      <c r="BB609" s="3"/>
      <c r="BC609" s="3"/>
    </row>
    <row r="610" spans="1:55" ht="12.95" customHeight="1">
      <c r="A610" s="22"/>
      <c r="B610" t="s">
        <v>85</v>
      </c>
      <c r="G610" s="1504"/>
      <c r="H610" s="1504"/>
      <c r="I610" s="1504"/>
      <c r="J610" s="1504"/>
      <c r="K610" s="1504"/>
      <c r="L610" s="1504"/>
      <c r="M610" s="1504"/>
      <c r="N610" s="1504"/>
      <c r="O610" s="1504"/>
      <c r="P610" s="1504"/>
      <c r="Q610" s="1504"/>
      <c r="R610" s="1504"/>
      <c r="T610" s="22"/>
      <c r="U610" t="s">
        <v>85</v>
      </c>
      <c r="Z610" s="1504"/>
      <c r="AA610" s="1504"/>
      <c r="AB610" s="1504"/>
      <c r="AC610" s="1504"/>
      <c r="AD610" s="1504"/>
      <c r="AE610" s="1504"/>
      <c r="AF610" s="1504"/>
      <c r="AG610" s="1504"/>
      <c r="AH610" s="1504"/>
      <c r="AI610" s="1504"/>
      <c r="AJ610" s="1504"/>
      <c r="AK610" s="1504"/>
      <c r="AZ610" s="3"/>
      <c r="BA610" s="3"/>
      <c r="BB610" s="3"/>
      <c r="BC610" s="3"/>
    </row>
    <row r="611" spans="1:55" ht="12.95" customHeight="1">
      <c r="A611" s="22"/>
      <c r="B611" t="s">
        <v>580</v>
      </c>
      <c r="G611" s="1504"/>
      <c r="H611" s="1504"/>
      <c r="I611" s="1504"/>
      <c r="J611" s="1504"/>
      <c r="K611" s="1504"/>
      <c r="L611" s="1504"/>
      <c r="M611" s="1504"/>
      <c r="N611" s="1504"/>
      <c r="O611" s="1504"/>
      <c r="P611" s="1504"/>
      <c r="Q611" s="1504"/>
      <c r="R611" s="1504"/>
      <c r="T611" s="22"/>
      <c r="U611" t="s">
        <v>580</v>
      </c>
      <c r="Z611" s="1485"/>
      <c r="AA611" s="1485"/>
      <c r="AB611" s="1485"/>
      <c r="AC611" s="1485"/>
      <c r="AD611" s="1485"/>
      <c r="AE611" s="1485"/>
      <c r="AF611" s="1485"/>
      <c r="AG611" s="1485"/>
      <c r="AH611" s="1485"/>
      <c r="AI611" s="1485"/>
      <c r="AJ611" s="1485"/>
      <c r="AK611" s="1485"/>
      <c r="AZ611" s="3"/>
      <c r="BA611" s="3"/>
      <c r="BB611" s="3"/>
      <c r="BC611" s="3"/>
    </row>
    <row r="612" spans="1:55" ht="12.95" customHeight="1">
      <c r="A612" s="22"/>
      <c r="B612" t="s">
        <v>17</v>
      </c>
      <c r="G612" s="1504"/>
      <c r="H612" s="1504"/>
      <c r="I612" s="1504"/>
      <c r="J612" s="1504"/>
      <c r="K612" s="1504"/>
      <c r="L612" s="1504"/>
      <c r="M612" s="1504"/>
      <c r="N612" s="1504"/>
      <c r="O612" s="1504"/>
      <c r="P612" s="1504"/>
      <c r="Q612" s="1504"/>
      <c r="R612" s="1504"/>
      <c r="T612" s="22"/>
      <c r="U612" t="s">
        <v>17</v>
      </c>
      <c r="Z612" s="1485"/>
      <c r="AA612" s="1485"/>
      <c r="AB612" s="1485"/>
      <c r="AC612" s="1485"/>
      <c r="AD612" s="1485"/>
      <c r="AE612" s="1485"/>
      <c r="AF612" s="1485"/>
      <c r="AG612" s="1485"/>
      <c r="AH612" s="1485"/>
      <c r="AI612" s="1485"/>
      <c r="AJ612" s="1485"/>
      <c r="AK612" s="1485"/>
      <c r="AZ612" s="3"/>
      <c r="BA612" s="3"/>
      <c r="BB612" s="3"/>
      <c r="BC612" s="3"/>
    </row>
    <row r="613" spans="1:55" s="4" customFormat="1" ht="12.95" customHeight="1">
      <c r="A613" s="22"/>
      <c r="B613" t="s">
        <v>316</v>
      </c>
      <c r="C613"/>
      <c r="D613"/>
      <c r="E613"/>
      <c r="F613"/>
      <c r="G613" s="1529"/>
      <c r="H613" s="1529"/>
      <c r="I613" s="1529"/>
      <c r="J613" s="1529"/>
      <c r="K613" s="1529"/>
      <c r="L613" s="1529"/>
      <c r="M613"/>
      <c r="N613"/>
      <c r="O613" s="33" t="s">
        <v>206</v>
      </c>
      <c r="P613" s="1519"/>
      <c r="Q613" s="1519"/>
      <c r="R613" s="1519"/>
      <c r="S613"/>
      <c r="T613" s="22"/>
      <c r="U613" t="s">
        <v>316</v>
      </c>
      <c r="V613"/>
      <c r="W613"/>
      <c r="X613"/>
      <c r="Y613"/>
      <c r="Z613" s="1529"/>
      <c r="AA613" s="1529"/>
      <c r="AB613" s="1529"/>
      <c r="AC613" s="1529"/>
      <c r="AD613" s="1529"/>
      <c r="AE613" s="1529"/>
      <c r="AF613"/>
      <c r="AG613"/>
      <c r="AH613" s="33" t="s">
        <v>206</v>
      </c>
      <c r="AI613" s="1519"/>
      <c r="AJ613" s="1519"/>
      <c r="AK613" s="151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504"/>
      <c r="I614" s="1504"/>
      <c r="J614" s="1504"/>
      <c r="K614" s="1504"/>
      <c r="L614" s="1504"/>
      <c r="M614" s="1504"/>
      <c r="N614" s="1504"/>
      <c r="O614" s="1504"/>
      <c r="P614" s="1504"/>
      <c r="Q614" s="1504"/>
      <c r="R614" s="1504"/>
      <c r="S614"/>
      <c r="T614" s="22"/>
      <c r="U614" t="s">
        <v>18</v>
      </c>
      <c r="V614"/>
      <c r="W614"/>
      <c r="X614"/>
      <c r="Y614"/>
      <c r="Z614"/>
      <c r="AA614" s="1504"/>
      <c r="AB614" s="1504"/>
      <c r="AC614" s="1504"/>
      <c r="AD614" s="1504"/>
      <c r="AE614" s="1504"/>
      <c r="AF614" s="1504"/>
      <c r="AG614" s="1504"/>
      <c r="AH614" s="1504"/>
      <c r="AI614" s="1504"/>
      <c r="AJ614" s="1504"/>
      <c r="AK614" s="1504"/>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0" t="s">
        <v>669</v>
      </c>
      <c r="O615" s="1340"/>
      <c r="P615"/>
      <c r="Q615"/>
      <c r="R615"/>
      <c r="S615"/>
      <c r="T615" s="22"/>
      <c r="U615" t="s">
        <v>20</v>
      </c>
      <c r="V615"/>
      <c r="W615"/>
      <c r="X615"/>
      <c r="Y615"/>
      <c r="Z615"/>
      <c r="AA615"/>
      <c r="AB615"/>
      <c r="AC615"/>
      <c r="AD615"/>
      <c r="AE615"/>
      <c r="AF615"/>
      <c r="AG615" s="1340" t="s">
        <v>669</v>
      </c>
      <c r="AH615" s="134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84">
        <f>C572</f>
        <v>0</v>
      </c>
      <c r="H617" s="1484"/>
      <c r="I617" s="1484"/>
      <c r="J617" s="1484"/>
      <c r="K617" s="1484"/>
      <c r="L617" s="1484"/>
      <c r="M617" s="1484"/>
      <c r="N617" s="1484"/>
      <c r="O617" s="1484"/>
      <c r="P617" s="1484"/>
      <c r="Q617" s="1484"/>
      <c r="R617" s="1484"/>
      <c r="T617" s="55" t="s">
        <v>363</v>
      </c>
      <c r="U617" t="s">
        <v>463</v>
      </c>
      <c r="Z617" s="1484">
        <f>C573</f>
        <v>0</v>
      </c>
      <c r="AA617" s="1484"/>
      <c r="AB617" s="1484"/>
      <c r="AC617" s="1484"/>
      <c r="AD617" s="1484"/>
      <c r="AE617" s="1484"/>
      <c r="AF617" s="1484"/>
      <c r="AG617" s="1484"/>
      <c r="AH617" s="1484"/>
      <c r="AI617" s="1484"/>
      <c r="AJ617" s="1484"/>
      <c r="AK617" s="1484"/>
      <c r="AZ617" s="3"/>
      <c r="BA617" s="3"/>
      <c r="BB617" s="3"/>
      <c r="BC617" s="3"/>
    </row>
    <row r="618" spans="1:55" ht="12.95" customHeight="1">
      <c r="B618" t="s">
        <v>85</v>
      </c>
      <c r="G618" s="1504"/>
      <c r="H618" s="1504"/>
      <c r="I618" s="1504"/>
      <c r="J618" s="1504"/>
      <c r="K618" s="1504"/>
      <c r="L618" s="1504"/>
      <c r="M618" s="1504"/>
      <c r="N618" s="1504"/>
      <c r="O618" s="1504"/>
      <c r="P618" s="1504"/>
      <c r="Q618" s="1504"/>
      <c r="R618" s="1504"/>
      <c r="U618" t="s">
        <v>85</v>
      </c>
      <c r="Z618" s="1504"/>
      <c r="AA618" s="1504"/>
      <c r="AB618" s="1504"/>
      <c r="AC618" s="1504"/>
      <c r="AD618" s="1504"/>
      <c r="AE618" s="1504"/>
      <c r="AF618" s="1504"/>
      <c r="AG618" s="1504"/>
      <c r="AH618" s="1504"/>
      <c r="AI618" s="1504"/>
      <c r="AJ618" s="1504"/>
      <c r="AK618" s="1504"/>
      <c r="AZ618" s="3"/>
      <c r="BA618" s="3"/>
      <c r="BB618" s="3"/>
      <c r="BC618" s="3"/>
    </row>
    <row r="619" spans="1:55" ht="12.95" customHeight="1">
      <c r="B619" t="s">
        <v>580</v>
      </c>
      <c r="G619" s="1504"/>
      <c r="H619" s="1504"/>
      <c r="I619" s="1504"/>
      <c r="J619" s="1504"/>
      <c r="K619" s="1504"/>
      <c r="L619" s="1504"/>
      <c r="M619" s="1504"/>
      <c r="N619" s="1504"/>
      <c r="O619" s="1504"/>
      <c r="P619" s="1504"/>
      <c r="Q619" s="1504"/>
      <c r="R619" s="1504"/>
      <c r="U619" t="s">
        <v>580</v>
      </c>
      <c r="Z619" s="1485"/>
      <c r="AA619" s="1485"/>
      <c r="AB619" s="1485"/>
      <c r="AC619" s="1485"/>
      <c r="AD619" s="1485"/>
      <c r="AE619" s="1485"/>
      <c r="AF619" s="1485"/>
      <c r="AG619" s="1485"/>
      <c r="AH619" s="1485"/>
      <c r="AI619" s="1485"/>
      <c r="AJ619" s="1485"/>
      <c r="AK619" s="1485"/>
      <c r="AZ619" s="3"/>
      <c r="BA619" s="3"/>
      <c r="BB619" s="3"/>
      <c r="BC619" s="3"/>
    </row>
    <row r="620" spans="1:55" ht="12.95" customHeight="1">
      <c r="B620" t="s">
        <v>17</v>
      </c>
      <c r="G620" s="1504"/>
      <c r="H620" s="1504"/>
      <c r="I620" s="1504"/>
      <c r="J620" s="1504"/>
      <c r="K620" s="1504"/>
      <c r="L620" s="1504"/>
      <c r="M620" s="1504"/>
      <c r="N620" s="1504"/>
      <c r="O620" s="1504"/>
      <c r="P620" s="1504"/>
      <c r="Q620" s="1504"/>
      <c r="R620" s="1504"/>
      <c r="U620" t="s">
        <v>17</v>
      </c>
      <c r="Z620" s="1485"/>
      <c r="AA620" s="1485"/>
      <c r="AB620" s="1485"/>
      <c r="AC620" s="1485"/>
      <c r="AD620" s="1485"/>
      <c r="AE620" s="1485"/>
      <c r="AF620" s="1485"/>
      <c r="AG620" s="1485"/>
      <c r="AH620" s="1485"/>
      <c r="AI620" s="1485"/>
      <c r="AJ620" s="1485"/>
      <c r="AK620" s="1485"/>
      <c r="AZ620" s="3"/>
      <c r="BA620" s="3"/>
      <c r="BB620" s="3"/>
      <c r="BC620" s="3"/>
    </row>
    <row r="621" spans="1:55" ht="12.95" customHeight="1">
      <c r="B621" t="s">
        <v>316</v>
      </c>
      <c r="G621" s="1529"/>
      <c r="H621" s="1529"/>
      <c r="I621" s="1529"/>
      <c r="J621" s="1529"/>
      <c r="K621" s="1529"/>
      <c r="L621" s="1529"/>
      <c r="O621" s="33" t="s">
        <v>206</v>
      </c>
      <c r="P621" s="1519"/>
      <c r="Q621" s="1519"/>
      <c r="R621" s="1519"/>
      <c r="U621" t="s">
        <v>316</v>
      </c>
      <c r="Z621" s="1529"/>
      <c r="AA621" s="1529"/>
      <c r="AB621" s="1529"/>
      <c r="AC621" s="1529"/>
      <c r="AD621" s="1529"/>
      <c r="AE621" s="1529"/>
      <c r="AH621" s="33" t="s">
        <v>206</v>
      </c>
      <c r="AI621" s="1519"/>
      <c r="AJ621" s="1519"/>
      <c r="AK621" s="1519"/>
      <c r="AZ621" s="3"/>
      <c r="BA621" s="3"/>
      <c r="BB621" s="3"/>
      <c r="BC621" s="3"/>
    </row>
    <row r="622" spans="1:55" ht="12.95" customHeight="1">
      <c r="B622" t="s">
        <v>18</v>
      </c>
      <c r="H622" s="1504"/>
      <c r="I622" s="1504"/>
      <c r="J622" s="1504"/>
      <c r="K622" s="1504"/>
      <c r="L622" s="1504"/>
      <c r="M622" s="1504"/>
      <c r="N622" s="1504"/>
      <c r="O622" s="1504"/>
      <c r="P622" s="1504"/>
      <c r="Q622" s="1504"/>
      <c r="R622" s="1504"/>
      <c r="U622" t="s">
        <v>18</v>
      </c>
      <c r="AA622" s="1504"/>
      <c r="AB622" s="1504"/>
      <c r="AC622" s="1504"/>
      <c r="AD622" s="1504"/>
      <c r="AE622" s="1504"/>
      <c r="AF622" s="1504"/>
      <c r="AG622" s="1504"/>
      <c r="AH622" s="1504"/>
      <c r="AI622" s="1504"/>
      <c r="AJ622" s="1504"/>
      <c r="AK622" s="1504"/>
      <c r="AU622" s="895"/>
      <c r="AV622" s="895"/>
      <c r="AW622" s="895"/>
      <c r="AX622" s="895"/>
      <c r="AY622" s="895"/>
      <c r="AZ622" s="3"/>
      <c r="BA622" s="3"/>
      <c r="BB622" s="3"/>
      <c r="BC622" s="3"/>
    </row>
    <row r="623" spans="1:55" ht="12.95" customHeight="1">
      <c r="B623" t="s">
        <v>20</v>
      </c>
      <c r="N623" s="1340" t="s">
        <v>669</v>
      </c>
      <c r="O623" s="1340"/>
      <c r="U623" t="s">
        <v>20</v>
      </c>
      <c r="AG623" s="1340" t="s">
        <v>669</v>
      </c>
      <c r="AH623" s="1340"/>
      <c r="AU623" s="895"/>
      <c r="AV623" s="895"/>
      <c r="AW623" s="895"/>
      <c r="AX623" s="895"/>
      <c r="AY623" s="895"/>
      <c r="AZ623" s="3"/>
      <c r="BA623" s="3"/>
      <c r="BB623" s="3"/>
      <c r="BC623" s="3"/>
    </row>
    <row r="624" spans="1:55" ht="12.95" customHeight="1">
      <c r="AZ624" s="3"/>
      <c r="BA624" s="3"/>
      <c r="BB624" s="3"/>
      <c r="BC624" s="3"/>
    </row>
    <row r="625" spans="1:56" ht="12.95" customHeight="1">
      <c r="A625" s="1267" t="s">
        <v>544</v>
      </c>
      <c r="B625" s="1267"/>
      <c r="C625" s="1267"/>
      <c r="D625" s="1267"/>
      <c r="E625" s="1267"/>
      <c r="F625" s="1267"/>
      <c r="G625" s="1267"/>
      <c r="H625" s="1267"/>
      <c r="I625" s="1267"/>
      <c r="J625" s="1267"/>
      <c r="K625" s="1267"/>
      <c r="L625" s="1267"/>
      <c r="M625" s="1267"/>
      <c r="N625" s="1267"/>
      <c r="O625" s="1267"/>
      <c r="P625" s="1267"/>
      <c r="Q625" s="1267"/>
      <c r="R625" s="1267"/>
      <c r="S625" s="1267"/>
      <c r="T625" s="1267"/>
      <c r="U625" s="1267"/>
      <c r="V625" s="1267"/>
      <c r="W625" s="1267"/>
      <c r="X625" s="1267"/>
      <c r="Y625" s="1267"/>
      <c r="Z625" s="1267"/>
      <c r="AA625" s="1267"/>
      <c r="AB625" s="1267"/>
      <c r="AC625" s="1267"/>
      <c r="AD625" s="1267"/>
      <c r="AE625" s="1267"/>
      <c r="AF625" s="1267"/>
      <c r="AG625" s="1267"/>
      <c r="AH625" s="1267"/>
      <c r="AI625" s="1267"/>
      <c r="AJ625" s="1267"/>
      <c r="AK625" s="1267"/>
      <c r="AL625" s="1267"/>
      <c r="AM625" s="1267"/>
      <c r="AN625" s="1267"/>
      <c r="AO625" s="1267"/>
      <c r="AP625" s="1267"/>
      <c r="AQ625" s="1267"/>
      <c r="AR625" s="1267"/>
      <c r="AS625" s="1267"/>
      <c r="AT625" s="1267"/>
      <c r="AZ625" s="3"/>
      <c r="BA625" s="3"/>
      <c r="BB625" s="3"/>
      <c r="BC625" s="3"/>
    </row>
    <row r="626" spans="1:56" ht="12.95" customHeight="1">
      <c r="A626" s="1267"/>
      <c r="B626" s="1267"/>
      <c r="C626" s="1267"/>
      <c r="D626" s="1267"/>
      <c r="E626" s="1267"/>
      <c r="F626" s="1267"/>
      <c r="G626" s="1267"/>
      <c r="H626" s="1267"/>
      <c r="I626" s="1267"/>
      <c r="J626" s="1267"/>
      <c r="K626" s="1267"/>
      <c r="L626" s="1267"/>
      <c r="M626" s="1267"/>
      <c r="N626" s="1267"/>
      <c r="O626" s="1267"/>
      <c r="P626" s="1267"/>
      <c r="Q626" s="1267"/>
      <c r="R626" s="1267"/>
      <c r="S626" s="1267"/>
      <c r="T626" s="1267"/>
      <c r="U626" s="1267"/>
      <c r="V626" s="1267"/>
      <c r="W626" s="1267"/>
      <c r="X626" s="1267"/>
      <c r="Y626" s="1267"/>
      <c r="Z626" s="1267"/>
      <c r="AA626" s="1267"/>
      <c r="AB626" s="1267"/>
      <c r="AC626" s="1267"/>
      <c r="AD626" s="1267"/>
      <c r="AE626" s="1267"/>
      <c r="AF626" s="1267"/>
      <c r="AG626" s="1267"/>
      <c r="AH626" s="1267"/>
      <c r="AI626" s="1267"/>
      <c r="AJ626" s="1267"/>
      <c r="AK626" s="1267"/>
      <c r="AL626" s="1267"/>
      <c r="AM626" s="1267"/>
      <c r="AN626" s="1267"/>
      <c r="AO626" s="1267"/>
      <c r="AP626" s="1267"/>
      <c r="AQ626" s="1267"/>
      <c r="AR626" s="1267"/>
      <c r="AS626" s="1267"/>
      <c r="AT626" s="1267"/>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699" t="s">
        <v>2059</v>
      </c>
      <c r="C632" s="1699"/>
      <c r="D632" s="1699"/>
      <c r="E632" s="1699"/>
      <c r="F632" s="1699"/>
      <c r="G632" s="1699"/>
      <c r="H632" s="1699"/>
      <c r="I632" s="1699"/>
      <c r="J632" s="1699"/>
      <c r="K632" s="1699"/>
      <c r="L632" s="1699"/>
      <c r="M632" s="1554" t="s">
        <v>2060</v>
      </c>
      <c r="N632" s="1554"/>
      <c r="O632" s="1554"/>
      <c r="P632" s="1554"/>
      <c r="Q632" s="1554" t="s">
        <v>1829</v>
      </c>
      <c r="R632" s="1554"/>
      <c r="S632" s="1554"/>
      <c r="T632" s="1554" t="s">
        <v>1827</v>
      </c>
      <c r="U632" s="1554"/>
      <c r="V632" s="1554"/>
      <c r="W632" s="1713" t="s">
        <v>453</v>
      </c>
      <c r="X632" s="1713"/>
      <c r="Y632" s="1713"/>
      <c r="Z632" s="1513" t="s">
        <v>2089</v>
      </c>
      <c r="AA632" s="1513"/>
      <c r="AB632" s="1514"/>
      <c r="AC632" s="1700" t="s">
        <v>1665</v>
      </c>
      <c r="AD632" s="1701"/>
      <c r="AE632" s="1702"/>
      <c r="AF632" s="1709" t="s">
        <v>1904</v>
      </c>
      <c r="AG632" s="1513"/>
      <c r="AH632" s="1513"/>
      <c r="AI632" s="1513"/>
      <c r="AJ632" s="1514"/>
      <c r="AK632" s="1714" t="s">
        <v>1905</v>
      </c>
      <c r="AL632" s="1715"/>
      <c r="AM632" s="1715"/>
      <c r="AN632" s="1716"/>
      <c r="AO632" s="1554" t="s">
        <v>454</v>
      </c>
      <c r="AP632" s="1554"/>
      <c r="AQ632" s="1554"/>
      <c r="AR632" s="1554"/>
      <c r="AS632" s="1554"/>
      <c r="AU632" s="3"/>
      <c r="AZ632" s="3"/>
      <c r="BA632" s="3"/>
      <c r="BB632" s="3"/>
      <c r="BC632" s="3"/>
    </row>
    <row r="633" spans="1:56" ht="12.95" customHeight="1">
      <c r="B633" s="1699"/>
      <c r="C633" s="1699"/>
      <c r="D633" s="1699"/>
      <c r="E633" s="1699"/>
      <c r="F633" s="1699"/>
      <c r="G633" s="1699"/>
      <c r="H633" s="1699"/>
      <c r="I633" s="1699"/>
      <c r="J633" s="1699"/>
      <c r="K633" s="1699"/>
      <c r="L633" s="1699"/>
      <c r="M633" s="1554"/>
      <c r="N633" s="1554"/>
      <c r="O633" s="1554"/>
      <c r="P633" s="1554"/>
      <c r="Q633" s="1554"/>
      <c r="R633" s="1554"/>
      <c r="S633" s="1554"/>
      <c r="T633" s="1554"/>
      <c r="U633" s="1554"/>
      <c r="V633" s="1554"/>
      <c r="W633" s="1713"/>
      <c r="X633" s="1713"/>
      <c r="Y633" s="1713"/>
      <c r="Z633" s="1515"/>
      <c r="AA633" s="1515"/>
      <c r="AB633" s="1516"/>
      <c r="AC633" s="1703"/>
      <c r="AD633" s="1704"/>
      <c r="AE633" s="1705"/>
      <c r="AF633" s="1710"/>
      <c r="AG633" s="1515"/>
      <c r="AH633" s="1515"/>
      <c r="AI633" s="1515"/>
      <c r="AJ633" s="1516"/>
      <c r="AK633" s="1717"/>
      <c r="AL633" s="1718"/>
      <c r="AM633" s="1718"/>
      <c r="AN633" s="1719"/>
      <c r="AO633" s="1554"/>
      <c r="AP633" s="1554"/>
      <c r="AQ633" s="1554"/>
      <c r="AR633" s="1554"/>
      <c r="AS633" s="1554"/>
      <c r="AU633" s="3"/>
      <c r="AZ633" s="3"/>
      <c r="BA633" s="3"/>
      <c r="BB633" s="3"/>
      <c r="BC633" s="3"/>
      <c r="BD633" s="3"/>
    </row>
    <row r="634" spans="1:56" ht="12.95" customHeight="1">
      <c r="B634" s="1699"/>
      <c r="C634" s="1699"/>
      <c r="D634" s="1699"/>
      <c r="E634" s="1699"/>
      <c r="F634" s="1699"/>
      <c r="G634" s="1699"/>
      <c r="H634" s="1699"/>
      <c r="I634" s="1699"/>
      <c r="J634" s="1699"/>
      <c r="K634" s="1699"/>
      <c r="L634" s="1699"/>
      <c r="M634" s="1554"/>
      <c r="N634" s="1554"/>
      <c r="O634" s="1554"/>
      <c r="P634" s="1554"/>
      <c r="Q634" s="1554"/>
      <c r="R634" s="1554"/>
      <c r="S634" s="1554"/>
      <c r="T634" s="1554"/>
      <c r="U634" s="1554"/>
      <c r="V634" s="1554"/>
      <c r="W634" s="1713"/>
      <c r="X634" s="1713"/>
      <c r="Y634" s="1713"/>
      <c r="Z634" s="1517"/>
      <c r="AA634" s="1517"/>
      <c r="AB634" s="1518"/>
      <c r="AC634" s="1706"/>
      <c r="AD634" s="1707"/>
      <c r="AE634" s="1708"/>
      <c r="AF634" s="1711"/>
      <c r="AG634" s="1517"/>
      <c r="AH634" s="1517"/>
      <c r="AI634" s="1517"/>
      <c r="AJ634" s="1518"/>
      <c r="AK634" s="1720"/>
      <c r="AL634" s="1721"/>
      <c r="AM634" s="1721"/>
      <c r="AN634" s="1722"/>
      <c r="AO634" s="1554"/>
      <c r="AP634" s="1554"/>
      <c r="AQ634" s="1554"/>
      <c r="AR634" s="1554"/>
      <c r="AS634" s="1554"/>
      <c r="AT634" s="3"/>
      <c r="AU634" s="3"/>
      <c r="AZ634" s="3"/>
      <c r="BA634" s="3"/>
      <c r="BB634" s="3"/>
      <c r="BC634" s="3"/>
      <c r="BD634" s="3"/>
    </row>
    <row r="635" spans="1:56" ht="12.95" customHeight="1">
      <c r="B635" s="51" t="s">
        <v>112</v>
      </c>
      <c r="C635" s="1511" t="s">
        <v>2706</v>
      </c>
      <c r="D635" s="1511"/>
      <c r="E635" s="1511"/>
      <c r="F635" s="1511"/>
      <c r="G635" s="1511"/>
      <c r="H635" s="1511"/>
      <c r="I635" s="1511"/>
      <c r="J635" s="1511"/>
      <c r="K635" s="1511"/>
      <c r="L635" s="1511"/>
      <c r="M635" s="1553" t="s">
        <v>2070</v>
      </c>
      <c r="N635" s="1553"/>
      <c r="O635" s="1553"/>
      <c r="P635" s="1553"/>
      <c r="Q635" s="1506">
        <f>17*12</f>
        <v>204</v>
      </c>
      <c r="R635" s="1506"/>
      <c r="S635" s="1507"/>
      <c r="T635" s="1505">
        <f>40*12</f>
        <v>480</v>
      </c>
      <c r="U635" s="1506"/>
      <c r="V635" s="1507"/>
      <c r="W635" s="1520">
        <v>6.7599999999999993E-2</v>
      </c>
      <c r="X635" s="1521"/>
      <c r="Y635" s="1522"/>
      <c r="Z635" s="1523" t="s">
        <v>2088</v>
      </c>
      <c r="AA635" s="1524"/>
      <c r="AB635" s="1525"/>
      <c r="AC635" s="1534">
        <v>1</v>
      </c>
      <c r="AD635" s="1535"/>
      <c r="AE635" s="1536"/>
      <c r="AF635" s="1445">
        <f>-PMT(W635/12,T635,AO635)*12</f>
        <v>258968.61962753115</v>
      </c>
      <c r="AG635" s="1446"/>
      <c r="AH635" s="1446"/>
      <c r="AI635" s="1446"/>
      <c r="AJ635" s="1447"/>
      <c r="AK635" s="1508"/>
      <c r="AL635" s="1509"/>
      <c r="AM635" s="1509"/>
      <c r="AN635" s="1510"/>
      <c r="AO635" s="1561">
        <v>3572514</v>
      </c>
      <c r="AP635" s="1561"/>
      <c r="AQ635" s="1561"/>
      <c r="AR635" s="1561"/>
      <c r="AS635" s="1561"/>
      <c r="AT635" s="3"/>
      <c r="AU635" s="3"/>
      <c r="AZ635" s="3"/>
      <c r="BA635" s="3"/>
      <c r="BB635" s="3"/>
      <c r="BC635" s="3"/>
      <c r="BD635" s="3"/>
    </row>
    <row r="636" spans="1:56" ht="12.95" customHeight="1">
      <c r="B636" s="52" t="s">
        <v>113</v>
      </c>
      <c r="C636" s="1511" t="s">
        <v>2756</v>
      </c>
      <c r="D636" s="1511"/>
      <c r="E636" s="1511"/>
      <c r="F636" s="1511"/>
      <c r="G636" s="1511"/>
      <c r="H636" s="1511"/>
      <c r="I636" s="1511"/>
      <c r="J636" s="1511"/>
      <c r="K636" s="1511"/>
      <c r="L636" s="1511"/>
      <c r="M636" s="1553" t="s">
        <v>2072</v>
      </c>
      <c r="N636" s="1553"/>
      <c r="O636" s="1553"/>
      <c r="P636" s="1553"/>
      <c r="Q636" s="1505">
        <v>660</v>
      </c>
      <c r="R636" s="1506"/>
      <c r="S636" s="1507"/>
      <c r="T636" s="1505">
        <v>660</v>
      </c>
      <c r="U636" s="1506"/>
      <c r="V636" s="1507"/>
      <c r="W636" s="1520">
        <v>0.03</v>
      </c>
      <c r="X636" s="1521"/>
      <c r="Y636" s="1522"/>
      <c r="Z636" s="1523" t="s">
        <v>457</v>
      </c>
      <c r="AA636" s="1524"/>
      <c r="AB636" s="1525"/>
      <c r="AC636" s="1534"/>
      <c r="AD636" s="1535"/>
      <c r="AE636" s="1536"/>
      <c r="AF636" s="1445"/>
      <c r="AG636" s="1446"/>
      <c r="AH636" s="1446"/>
      <c r="AI636" s="1446"/>
      <c r="AJ636" s="1447"/>
      <c r="AK636" s="1508"/>
      <c r="AL636" s="1509"/>
      <c r="AM636" s="1509"/>
      <c r="AN636" s="1510"/>
      <c r="AO636" s="1530">
        <v>7000000</v>
      </c>
      <c r="AP636" s="1531"/>
      <c r="AQ636" s="1531"/>
      <c r="AR636" s="1531"/>
      <c r="AS636" s="1532"/>
      <c r="AT636" s="1142" t="str">
        <f>IF(AND(NOT(C635=""),C636="",NOT(C637="")),"!","")</f>
        <v/>
      </c>
      <c r="AU636" s="3"/>
      <c r="AZ636" s="3"/>
      <c r="BA636" s="3"/>
      <c r="BB636" s="3"/>
      <c r="BC636" s="3"/>
      <c r="BD636" s="3"/>
    </row>
    <row r="637" spans="1:56" ht="12.95" customHeight="1">
      <c r="B637" s="52" t="s">
        <v>119</v>
      </c>
      <c r="C637" s="1511" t="s">
        <v>2756</v>
      </c>
      <c r="D637" s="1511"/>
      <c r="E637" s="1511"/>
      <c r="F637" s="1511"/>
      <c r="G637" s="1511"/>
      <c r="H637" s="1511"/>
      <c r="I637" s="1511"/>
      <c r="J637" s="1511"/>
      <c r="K637" s="1511"/>
      <c r="L637" s="1511"/>
      <c r="M637" s="1553" t="s">
        <v>2072</v>
      </c>
      <c r="N637" s="1553"/>
      <c r="O637" s="1553"/>
      <c r="P637" s="1553"/>
      <c r="Q637" s="1505">
        <v>660</v>
      </c>
      <c r="R637" s="1506"/>
      <c r="S637" s="1507"/>
      <c r="T637" s="1505">
        <v>660</v>
      </c>
      <c r="U637" s="1506"/>
      <c r="V637" s="1507"/>
      <c r="W637" s="1520">
        <v>0.03</v>
      </c>
      <c r="X637" s="1521"/>
      <c r="Y637" s="1522"/>
      <c r="Z637" s="1523" t="s">
        <v>457</v>
      </c>
      <c r="AA637" s="1524"/>
      <c r="AB637" s="1525"/>
      <c r="AC637" s="1534"/>
      <c r="AD637" s="1535"/>
      <c r="AE637" s="1536"/>
      <c r="AF637" s="1445"/>
      <c r="AG637" s="1446"/>
      <c r="AH637" s="1446"/>
      <c r="AI637" s="1446"/>
      <c r="AJ637" s="1447"/>
      <c r="AK637" s="1508"/>
      <c r="AL637" s="1509"/>
      <c r="AM637" s="1509"/>
      <c r="AN637" s="1510"/>
      <c r="AO637" s="1530">
        <v>875000</v>
      </c>
      <c r="AP637" s="1531"/>
      <c r="AQ637" s="1531"/>
      <c r="AR637" s="1531"/>
      <c r="AS637" s="1532"/>
      <c r="AT637" s="1142" t="str">
        <f t="shared" ref="AT637:AT646" si="3">IF(AND(NOT(C636=""),C637="",NOT(C638="")),"!","")</f>
        <v/>
      </c>
      <c r="AU637" s="3"/>
      <c r="AZ637" s="3"/>
      <c r="BA637" s="3"/>
      <c r="BB637" s="3"/>
      <c r="BC637" s="3"/>
      <c r="BD637" s="3"/>
    </row>
    <row r="638" spans="1:56" ht="12.95" customHeight="1">
      <c r="B638" s="52" t="s">
        <v>581</v>
      </c>
      <c r="C638" s="1511" t="s">
        <v>2753</v>
      </c>
      <c r="D638" s="1512"/>
      <c r="E638" s="1512"/>
      <c r="F638" s="1512"/>
      <c r="G638" s="1512"/>
      <c r="H638" s="1512"/>
      <c r="I638" s="1512"/>
      <c r="J638" s="1512"/>
      <c r="K638" s="1512"/>
      <c r="L638" s="1512"/>
      <c r="M638" s="1553" t="s">
        <v>2072</v>
      </c>
      <c r="N638" s="1553"/>
      <c r="O638" s="1553"/>
      <c r="P638" s="1553"/>
      <c r="Q638" s="1505">
        <v>660</v>
      </c>
      <c r="R638" s="1506"/>
      <c r="S638" s="1507"/>
      <c r="T638" s="1505">
        <v>660</v>
      </c>
      <c r="U638" s="1506"/>
      <c r="V638" s="1507"/>
      <c r="W638" s="1520">
        <v>0.03</v>
      </c>
      <c r="X638" s="1521"/>
      <c r="Y638" s="1522"/>
      <c r="Z638" s="1523" t="s">
        <v>457</v>
      </c>
      <c r="AA638" s="1524"/>
      <c r="AB638" s="1525"/>
      <c r="AC638" s="1534"/>
      <c r="AD638" s="1535"/>
      <c r="AE638" s="1536"/>
      <c r="AF638" s="1445"/>
      <c r="AG638" s="1446"/>
      <c r="AH638" s="1446"/>
      <c r="AI638" s="1446"/>
      <c r="AJ638" s="1447"/>
      <c r="AK638" s="1508"/>
      <c r="AL638" s="1509"/>
      <c r="AM638" s="1509"/>
      <c r="AN638" s="1510"/>
      <c r="AO638" s="1530">
        <v>875000</v>
      </c>
      <c r="AP638" s="1531"/>
      <c r="AQ638" s="1531"/>
      <c r="AR638" s="1531"/>
      <c r="AS638" s="1532"/>
      <c r="AT638" s="1142" t="str">
        <f t="shared" si="3"/>
        <v/>
      </c>
      <c r="AU638" s="3"/>
      <c r="AZ638" s="3"/>
      <c r="BA638" s="3"/>
      <c r="BB638" s="3"/>
      <c r="BC638" s="3"/>
      <c r="BD638" s="3"/>
    </row>
    <row r="639" spans="1:56" ht="12.95" customHeight="1">
      <c r="B639" s="52" t="s">
        <v>763</v>
      </c>
      <c r="C639" s="1511" t="s">
        <v>2755</v>
      </c>
      <c r="D639" s="1512"/>
      <c r="E639" s="1512"/>
      <c r="F639" s="1512"/>
      <c r="G639" s="1512"/>
      <c r="H639" s="1512"/>
      <c r="I639" s="1512"/>
      <c r="J639" s="1512"/>
      <c r="K639" s="1512"/>
      <c r="L639" s="1512"/>
      <c r="M639" s="1553" t="s">
        <v>2067</v>
      </c>
      <c r="N639" s="1553"/>
      <c r="O639" s="1553"/>
      <c r="P639" s="1553"/>
      <c r="Q639" s="1505"/>
      <c r="R639" s="1506"/>
      <c r="S639" s="1507"/>
      <c r="T639" s="1505"/>
      <c r="U639" s="1506"/>
      <c r="V639" s="1507"/>
      <c r="W639" s="1520"/>
      <c r="X639" s="1521"/>
      <c r="Y639" s="1522"/>
      <c r="Z639" s="1523" t="s">
        <v>300</v>
      </c>
      <c r="AA639" s="1524"/>
      <c r="AB639" s="1525"/>
      <c r="AC639" s="1534"/>
      <c r="AD639" s="1535"/>
      <c r="AE639" s="1536"/>
      <c r="AF639" s="1445"/>
      <c r="AG639" s="1446"/>
      <c r="AH639" s="1446"/>
      <c r="AI639" s="1446"/>
      <c r="AJ639" s="1447"/>
      <c r="AK639" s="1508"/>
      <c r="AL639" s="1509"/>
      <c r="AM639" s="1509"/>
      <c r="AN639" s="1510"/>
      <c r="AO639" s="1530">
        <f>4837711+3268301</f>
        <v>8106012</v>
      </c>
      <c r="AP639" s="1531"/>
      <c r="AQ639" s="1531"/>
      <c r="AR639" s="1531"/>
      <c r="AS639" s="1532"/>
      <c r="AT639" s="1142" t="str">
        <f t="shared" si="3"/>
        <v/>
      </c>
      <c r="AU639" s="3"/>
      <c r="AZ639" s="3"/>
      <c r="BA639" s="3"/>
      <c r="BB639" s="3"/>
      <c r="BC639" s="3"/>
      <c r="BD639" s="3"/>
    </row>
    <row r="640" spans="1:56" ht="12.95" customHeight="1">
      <c r="B640" s="52" t="s">
        <v>584</v>
      </c>
      <c r="C640" s="1511" t="s">
        <v>2645</v>
      </c>
      <c r="D640" s="1512"/>
      <c r="E640" s="1512"/>
      <c r="F640" s="1512"/>
      <c r="G640" s="1512"/>
      <c r="H640" s="1512"/>
      <c r="I640" s="1512"/>
      <c r="J640" s="1512"/>
      <c r="K640" s="1512"/>
      <c r="L640" s="1512"/>
      <c r="M640" s="1553" t="s">
        <v>2063</v>
      </c>
      <c r="N640" s="1553"/>
      <c r="O640" s="1553"/>
      <c r="P640" s="1553"/>
      <c r="Q640" s="1505"/>
      <c r="R640" s="1506"/>
      <c r="S640" s="1507"/>
      <c r="T640" s="1505"/>
      <c r="U640" s="1506"/>
      <c r="V640" s="1507"/>
      <c r="W640" s="1520"/>
      <c r="X640" s="1521"/>
      <c r="Y640" s="1522"/>
      <c r="Z640" s="1523" t="s">
        <v>300</v>
      </c>
      <c r="AA640" s="1524"/>
      <c r="AB640" s="1525"/>
      <c r="AC640" s="1534"/>
      <c r="AD640" s="1535"/>
      <c r="AE640" s="1536"/>
      <c r="AF640" s="1445"/>
      <c r="AG640" s="1446"/>
      <c r="AH640" s="1446"/>
      <c r="AI640" s="1446"/>
      <c r="AJ640" s="1447"/>
      <c r="AK640" s="1508"/>
      <c r="AL640" s="1509"/>
      <c r="AM640" s="1509"/>
      <c r="AN640" s="1510"/>
      <c r="AO640" s="1530">
        <f>'Sources and Uses Budget'!B105-SUM(Application!AO635:AS639,Application!AO641,Application!AO648)</f>
        <v>1122078</v>
      </c>
      <c r="AP640" s="1531"/>
      <c r="AQ640" s="1531"/>
      <c r="AR640" s="1531"/>
      <c r="AS640" s="1532"/>
      <c r="AT640" s="1142" t="str">
        <f t="shared" si="3"/>
        <v/>
      </c>
      <c r="AU640" s="3"/>
      <c r="AZ640" s="3"/>
      <c r="BA640" s="3"/>
      <c r="BB640" s="3"/>
      <c r="BC640" s="3"/>
      <c r="BD640" s="3"/>
    </row>
    <row r="641" spans="1:157" ht="12.95" customHeight="1">
      <c r="B641" s="52" t="s">
        <v>455</v>
      </c>
      <c r="C641" s="1511" t="s">
        <v>2767</v>
      </c>
      <c r="D641" s="1512"/>
      <c r="E641" s="1512"/>
      <c r="F641" s="1512"/>
      <c r="G641" s="1512"/>
      <c r="H641" s="1512"/>
      <c r="I641" s="1512"/>
      <c r="J641" s="1512"/>
      <c r="K641" s="1512"/>
      <c r="L641" s="1512"/>
      <c r="M641" s="1553" t="s">
        <v>2079</v>
      </c>
      <c r="N641" s="1553"/>
      <c r="O641" s="1553"/>
      <c r="P641" s="1553"/>
      <c r="Q641" s="1505"/>
      <c r="R641" s="1506"/>
      <c r="S641" s="1507"/>
      <c r="T641" s="1505"/>
      <c r="U641" s="1506"/>
      <c r="V641" s="1507"/>
      <c r="W641" s="1520"/>
      <c r="X641" s="1521"/>
      <c r="Y641" s="1522"/>
      <c r="Z641" s="1523" t="s">
        <v>300</v>
      </c>
      <c r="AA641" s="1524"/>
      <c r="AB641" s="1525"/>
      <c r="AC641" s="1534"/>
      <c r="AD641" s="1535"/>
      <c r="AE641" s="1536"/>
      <c r="AF641" s="1445"/>
      <c r="AG641" s="1446"/>
      <c r="AH641" s="1446"/>
      <c r="AI641" s="1446"/>
      <c r="AJ641" s="1447"/>
      <c r="AK641" s="1508"/>
      <c r="AL641" s="1509"/>
      <c r="AM641" s="1509"/>
      <c r="AN641" s="1510"/>
      <c r="AO641" s="1530">
        <f>29011421-6867267</f>
        <v>22144154</v>
      </c>
      <c r="AP641" s="1531"/>
      <c r="AQ641" s="1531"/>
      <c r="AR641" s="1531"/>
      <c r="AS641" s="1532"/>
      <c r="AT641" s="1142" t="str">
        <f t="shared" si="3"/>
        <v/>
      </c>
      <c r="AU641" s="3"/>
      <c r="AV641" s="3"/>
      <c r="AW641" s="3"/>
      <c r="AX641" s="3"/>
      <c r="AY641" s="3"/>
      <c r="AZ641" s="3"/>
      <c r="BA641" s="3"/>
      <c r="BB641" s="3"/>
      <c r="BC641" s="3"/>
      <c r="BD641" s="3"/>
    </row>
    <row r="642" spans="1:157" ht="12.95" customHeight="1">
      <c r="B642" s="52" t="s">
        <v>456</v>
      </c>
      <c r="C642" s="1512"/>
      <c r="D642" s="1512"/>
      <c r="E642" s="1512"/>
      <c r="F642" s="1512"/>
      <c r="G642" s="1512"/>
      <c r="H642" s="1512"/>
      <c r="I642" s="1512"/>
      <c r="J642" s="1512"/>
      <c r="K642" s="1512"/>
      <c r="L642" s="1512"/>
      <c r="M642" s="1553" t="s">
        <v>1184</v>
      </c>
      <c r="N642" s="1553"/>
      <c r="O642" s="1553"/>
      <c r="P642" s="1553"/>
      <c r="Q642" s="1505"/>
      <c r="R642" s="1506"/>
      <c r="S642" s="1507"/>
      <c r="T642" s="1505"/>
      <c r="U642" s="1506"/>
      <c r="V642" s="1507"/>
      <c r="W642" s="1520"/>
      <c r="X642" s="1521"/>
      <c r="Y642" s="1522"/>
      <c r="Z642" s="1523" t="s">
        <v>1184</v>
      </c>
      <c r="AA642" s="1524"/>
      <c r="AB642" s="1525"/>
      <c r="AC642" s="1534"/>
      <c r="AD642" s="1535"/>
      <c r="AE642" s="1536"/>
      <c r="AF642" s="1445"/>
      <c r="AG642" s="1446"/>
      <c r="AH642" s="1446"/>
      <c r="AI642" s="1446"/>
      <c r="AJ642" s="1447"/>
      <c r="AK642" s="1508"/>
      <c r="AL642" s="1509"/>
      <c r="AM642" s="1509"/>
      <c r="AN642" s="1510"/>
      <c r="AO642" s="1530"/>
      <c r="AP642" s="1531"/>
      <c r="AQ642" s="1531"/>
      <c r="AR642" s="1531"/>
      <c r="AS642" s="1532"/>
      <c r="AT642" s="1142" t="str">
        <f t="shared" si="3"/>
        <v/>
      </c>
      <c r="AU642" s="3"/>
      <c r="AV642" s="3"/>
      <c r="AW642" s="3"/>
      <c r="AX642" s="3"/>
      <c r="AY642" s="3"/>
      <c r="AZ642" s="3"/>
      <c r="BA642" s="3" t="s">
        <v>1184</v>
      </c>
      <c r="BB642" s="3"/>
      <c r="BC642" s="3"/>
      <c r="BD642" s="3"/>
    </row>
    <row r="643" spans="1:157" ht="12.95" customHeight="1">
      <c r="B643" s="52" t="s">
        <v>461</v>
      </c>
      <c r="C643" s="1512"/>
      <c r="D643" s="1512"/>
      <c r="E643" s="1512"/>
      <c r="F643" s="1512"/>
      <c r="G643" s="1512"/>
      <c r="H643" s="1512"/>
      <c r="I643" s="1512"/>
      <c r="J643" s="1512"/>
      <c r="K643" s="1512"/>
      <c r="L643" s="1512"/>
      <c r="M643" s="1553" t="s">
        <v>1184</v>
      </c>
      <c r="N643" s="1553"/>
      <c r="O643" s="1553"/>
      <c r="P643" s="1553"/>
      <c r="Q643" s="1505"/>
      <c r="R643" s="1506"/>
      <c r="S643" s="1507"/>
      <c r="T643" s="1505"/>
      <c r="U643" s="1506"/>
      <c r="V643" s="1507"/>
      <c r="W643" s="1520"/>
      <c r="X643" s="1521"/>
      <c r="Y643" s="1522"/>
      <c r="Z643" s="1523" t="s">
        <v>1184</v>
      </c>
      <c r="AA643" s="1524"/>
      <c r="AB643" s="1525"/>
      <c r="AC643" s="1534"/>
      <c r="AD643" s="1535"/>
      <c r="AE643" s="1536"/>
      <c r="AF643" s="1445"/>
      <c r="AG643" s="1446"/>
      <c r="AH643" s="1446"/>
      <c r="AI643" s="1446"/>
      <c r="AJ643" s="1447"/>
      <c r="AK643" s="1508"/>
      <c r="AL643" s="1509"/>
      <c r="AM643" s="1509"/>
      <c r="AN643" s="1510"/>
      <c r="AO643" s="1530"/>
      <c r="AP643" s="1531"/>
      <c r="AQ643" s="1531"/>
      <c r="AR643" s="1531"/>
      <c r="AS643" s="1532"/>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3">
        <f t="shared" ref="DX643:DX677" si="4">EZ726*(CP726/$CP$761)</f>
        <v>397.5</v>
      </c>
      <c r="DY643" s="1533"/>
      <c r="DZ643" s="1533"/>
      <c r="EA643" s="1533"/>
      <c r="EB643" s="1533"/>
      <c r="EC643" s="1533" t="e">
        <f t="shared" ref="EC643:EC677" si="5">FE726*(CU726/$CU$761)</f>
        <v>#VALUE!</v>
      </c>
      <c r="ED643" s="1533"/>
      <c r="EE643" s="1533"/>
      <c r="EF643" s="1533"/>
      <c r="EG643" s="1533"/>
      <c r="EH643" s="1533" t="e">
        <f t="shared" ref="EH643:EH677" si="6">FJ726*(CZ726/$CZ$761)</f>
        <v>#VALUE!</v>
      </c>
      <c r="EI643" s="1533"/>
      <c r="EJ643" s="1533"/>
      <c r="EK643" s="1533"/>
      <c r="EL643" s="1533"/>
      <c r="EM643" s="1533" t="e">
        <f t="shared" ref="EM643:EM677" si="7">FO726*(DE726/$DE$761)</f>
        <v>#VALUE!</v>
      </c>
      <c r="EN643" s="1533"/>
      <c r="EO643" s="1533"/>
      <c r="EP643" s="1533"/>
      <c r="EQ643" s="1533"/>
      <c r="ER643" s="1533" t="e">
        <f t="shared" ref="ER643:ER677" si="8">FT726*(DJ726/$DJ$761)</f>
        <v>#VALUE!</v>
      </c>
      <c r="ES643" s="1533"/>
      <c r="ET643" s="1533"/>
      <c r="EU643" s="1533"/>
      <c r="EV643" s="1533"/>
      <c r="EW643" s="1533" t="e">
        <f t="shared" ref="EW643:EW677" si="9">FY726*(DO726/$DO$761)</f>
        <v>#VALUE!</v>
      </c>
      <c r="EX643" s="1533"/>
      <c r="EY643" s="1533"/>
      <c r="EZ643" s="1533"/>
      <c r="FA643" s="1533"/>
    </row>
    <row r="644" spans="1:157" ht="12.95" customHeight="1">
      <c r="B644" s="52" t="s">
        <v>646</v>
      </c>
      <c r="C644" s="1512"/>
      <c r="D644" s="1512"/>
      <c r="E644" s="1512"/>
      <c r="F644" s="1512"/>
      <c r="G644" s="1512"/>
      <c r="H644" s="1512"/>
      <c r="I644" s="1512"/>
      <c r="J644" s="1512"/>
      <c r="K644" s="1512"/>
      <c r="L644" s="1512"/>
      <c r="M644" s="1553" t="s">
        <v>1184</v>
      </c>
      <c r="N644" s="1553"/>
      <c r="O644" s="1553"/>
      <c r="P644" s="1553"/>
      <c r="Q644" s="1505"/>
      <c r="R644" s="1506"/>
      <c r="S644" s="1507"/>
      <c r="T644" s="1505"/>
      <c r="U644" s="1506"/>
      <c r="V644" s="1507"/>
      <c r="W644" s="1520"/>
      <c r="X644" s="1521"/>
      <c r="Y644" s="1522"/>
      <c r="Z644" s="1523" t="s">
        <v>1184</v>
      </c>
      <c r="AA644" s="1524"/>
      <c r="AB644" s="1525"/>
      <c r="AC644" s="1534"/>
      <c r="AD644" s="1535"/>
      <c r="AE644" s="1536"/>
      <c r="AF644" s="1445"/>
      <c r="AG644" s="1446"/>
      <c r="AH644" s="1446"/>
      <c r="AI644" s="1446"/>
      <c r="AJ644" s="1447"/>
      <c r="AK644" s="1508"/>
      <c r="AL644" s="1509"/>
      <c r="AM644" s="1509"/>
      <c r="AN644" s="1510"/>
      <c r="AO644" s="1530"/>
      <c r="AP644" s="1531"/>
      <c r="AQ644" s="1531"/>
      <c r="AR644" s="1531"/>
      <c r="AS644" s="1532"/>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3">
        <f t="shared" si="4"/>
        <v>662.5</v>
      </c>
      <c r="DY644" s="1533"/>
      <c r="DZ644" s="1533"/>
      <c r="EA644" s="1533"/>
      <c r="EB644" s="1533"/>
      <c r="EC644" s="1533" t="e">
        <f t="shared" si="5"/>
        <v>#VALUE!</v>
      </c>
      <c r="ED644" s="1533"/>
      <c r="EE644" s="1533"/>
      <c r="EF644" s="1533"/>
      <c r="EG644" s="1533"/>
      <c r="EH644" s="1533" t="e">
        <f t="shared" si="6"/>
        <v>#VALUE!</v>
      </c>
      <c r="EI644" s="1533"/>
      <c r="EJ644" s="1533"/>
      <c r="EK644" s="1533"/>
      <c r="EL644" s="1533"/>
      <c r="EM644" s="1533" t="e">
        <f t="shared" si="7"/>
        <v>#VALUE!</v>
      </c>
      <c r="EN644" s="1533"/>
      <c r="EO644" s="1533"/>
      <c r="EP644" s="1533"/>
      <c r="EQ644" s="1533"/>
      <c r="ER644" s="1533" t="e">
        <f t="shared" si="8"/>
        <v>#VALUE!</v>
      </c>
      <c r="ES644" s="1533"/>
      <c r="ET644" s="1533"/>
      <c r="EU644" s="1533"/>
      <c r="EV644" s="1533"/>
      <c r="EW644" s="1533" t="e">
        <f t="shared" si="9"/>
        <v>#VALUE!</v>
      </c>
      <c r="EX644" s="1533"/>
      <c r="EY644" s="1533"/>
      <c r="EZ644" s="1533"/>
      <c r="FA644" s="1533"/>
    </row>
    <row r="645" spans="1:157" ht="12.95" customHeight="1">
      <c r="B645" s="52" t="s">
        <v>362</v>
      </c>
      <c r="C645" s="1512"/>
      <c r="D645" s="1512"/>
      <c r="E645" s="1512"/>
      <c r="F645" s="1512"/>
      <c r="G645" s="1512"/>
      <c r="H645" s="1512"/>
      <c r="I645" s="1512"/>
      <c r="J645" s="1512"/>
      <c r="K645" s="1512"/>
      <c r="L645" s="1512"/>
      <c r="M645" s="1553" t="s">
        <v>1184</v>
      </c>
      <c r="N645" s="1553"/>
      <c r="O645" s="1553"/>
      <c r="P645" s="1553"/>
      <c r="Q645" s="1505"/>
      <c r="R645" s="1506"/>
      <c r="S645" s="1507"/>
      <c r="T645" s="1505"/>
      <c r="U645" s="1506"/>
      <c r="V645" s="1507"/>
      <c r="W645" s="1520"/>
      <c r="X645" s="1521"/>
      <c r="Y645" s="1522"/>
      <c r="Z645" s="1523" t="s">
        <v>1184</v>
      </c>
      <c r="AA645" s="1524"/>
      <c r="AB645" s="1525"/>
      <c r="AC645" s="1534"/>
      <c r="AD645" s="1535"/>
      <c r="AE645" s="1536"/>
      <c r="AF645" s="1445"/>
      <c r="AG645" s="1446"/>
      <c r="AH645" s="1446"/>
      <c r="AI645" s="1446"/>
      <c r="AJ645" s="1447"/>
      <c r="AK645" s="1508"/>
      <c r="AL645" s="1509"/>
      <c r="AM645" s="1509"/>
      <c r="AN645" s="1510"/>
      <c r="AO645" s="1530"/>
      <c r="AP645" s="1531"/>
      <c r="AQ645" s="1531"/>
      <c r="AR645" s="1531"/>
      <c r="AS645" s="1532"/>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33" t="e">
        <f t="shared" si="4"/>
        <v>#VALUE!</v>
      </c>
      <c r="DY645" s="1533"/>
      <c r="DZ645" s="1533"/>
      <c r="EA645" s="1533"/>
      <c r="EB645" s="1533"/>
      <c r="EC645" s="1533">
        <f t="shared" si="5"/>
        <v>448.4210526315789</v>
      </c>
      <c r="ED645" s="1533"/>
      <c r="EE645" s="1533"/>
      <c r="EF645" s="1533"/>
      <c r="EG645" s="1533"/>
      <c r="EH645" s="1533" t="e">
        <f t="shared" si="6"/>
        <v>#VALUE!</v>
      </c>
      <c r="EI645" s="1533"/>
      <c r="EJ645" s="1533"/>
      <c r="EK645" s="1533"/>
      <c r="EL645" s="1533"/>
      <c r="EM645" s="1533" t="e">
        <f t="shared" si="7"/>
        <v>#VALUE!</v>
      </c>
      <c r="EN645" s="1533"/>
      <c r="EO645" s="1533"/>
      <c r="EP645" s="1533"/>
      <c r="EQ645" s="1533"/>
      <c r="ER645" s="1533" t="e">
        <f t="shared" si="8"/>
        <v>#VALUE!</v>
      </c>
      <c r="ES645" s="1533"/>
      <c r="ET645" s="1533"/>
      <c r="EU645" s="1533"/>
      <c r="EV645" s="1533"/>
      <c r="EW645" s="1533" t="e">
        <f t="shared" si="9"/>
        <v>#VALUE!</v>
      </c>
      <c r="EX645" s="1533"/>
      <c r="EY645" s="1533"/>
      <c r="EZ645" s="1533"/>
      <c r="FA645" s="1533"/>
    </row>
    <row r="646" spans="1:157" ht="12.95" customHeight="1">
      <c r="B646" s="52" t="s">
        <v>363</v>
      </c>
      <c r="C646" s="1512"/>
      <c r="D646" s="1512"/>
      <c r="E646" s="1512"/>
      <c r="F646" s="1512"/>
      <c r="G646" s="1512"/>
      <c r="H646" s="1512"/>
      <c r="I646" s="1512"/>
      <c r="J646" s="1512"/>
      <c r="K646" s="1512"/>
      <c r="L646" s="1512"/>
      <c r="M646" s="1553" t="s">
        <v>1184</v>
      </c>
      <c r="N646" s="1553"/>
      <c r="O646" s="1553"/>
      <c r="P646" s="1553"/>
      <c r="Q646" s="1505"/>
      <c r="R646" s="1506"/>
      <c r="S646" s="1507"/>
      <c r="T646" s="1505"/>
      <c r="U646" s="1506"/>
      <c r="V646" s="1507"/>
      <c r="W646" s="1520"/>
      <c r="X646" s="1521"/>
      <c r="Y646" s="1522"/>
      <c r="Z646" s="1523" t="s">
        <v>1184</v>
      </c>
      <c r="AA646" s="1524"/>
      <c r="AB646" s="1525"/>
      <c r="AC646" s="1534"/>
      <c r="AD646" s="1535"/>
      <c r="AE646" s="1536"/>
      <c r="AF646" s="1445"/>
      <c r="AG646" s="1446"/>
      <c r="AH646" s="1446"/>
      <c r="AI646" s="1446"/>
      <c r="AJ646" s="1447"/>
      <c r="AK646" s="1508"/>
      <c r="AL646" s="1509"/>
      <c r="AM646" s="1509"/>
      <c r="AN646" s="1510"/>
      <c r="AO646" s="1530"/>
      <c r="AP646" s="1531"/>
      <c r="AQ646" s="1531"/>
      <c r="AR646" s="1531"/>
      <c r="AS646" s="1532"/>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3" t="e">
        <f t="shared" si="4"/>
        <v>#VALUE!</v>
      </c>
      <c r="DY646" s="1533"/>
      <c r="DZ646" s="1533"/>
      <c r="EA646" s="1533"/>
      <c r="EB646" s="1533"/>
      <c r="EC646" s="1533">
        <f t="shared" si="5"/>
        <v>672.63157894736844</v>
      </c>
      <c r="ED646" s="1533"/>
      <c r="EE646" s="1533"/>
      <c r="EF646" s="1533"/>
      <c r="EG646" s="1533"/>
      <c r="EH646" s="1533" t="e">
        <f t="shared" si="6"/>
        <v>#VALUE!</v>
      </c>
      <c r="EI646" s="1533"/>
      <c r="EJ646" s="1533"/>
      <c r="EK646" s="1533"/>
      <c r="EL646" s="1533"/>
      <c r="EM646" s="1533" t="e">
        <f t="shared" si="7"/>
        <v>#VALUE!</v>
      </c>
      <c r="EN646" s="1533"/>
      <c r="EO646" s="1533"/>
      <c r="EP646" s="1533"/>
      <c r="EQ646" s="1533"/>
      <c r="ER646" s="1533" t="e">
        <f t="shared" si="8"/>
        <v>#VALUE!</v>
      </c>
      <c r="ES646" s="1533"/>
      <c r="ET646" s="1533"/>
      <c r="EU646" s="1533"/>
      <c r="EV646" s="1533"/>
      <c r="EW646" s="1533" t="e">
        <f t="shared" si="9"/>
        <v>#VALUE!</v>
      </c>
      <c r="EX646" s="1533"/>
      <c r="EY646" s="1533"/>
      <c r="EZ646" s="1533"/>
      <c r="FA646" s="1533"/>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451">
        <f>SUM(AO635:AR646)</f>
        <v>43694758</v>
      </c>
      <c r="AP647" s="1452"/>
      <c r="AQ647" s="1452"/>
      <c r="AR647" s="1452"/>
      <c r="AS647" s="1453"/>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3" t="e">
        <f t="shared" si="4"/>
        <v>#VALUE!</v>
      </c>
      <c r="DY647" s="1533"/>
      <c r="DZ647" s="1533"/>
      <c r="EA647" s="1533"/>
      <c r="EB647" s="1533"/>
      <c r="EC647" s="1533" t="e">
        <f t="shared" si="5"/>
        <v>#VALUE!</v>
      </c>
      <c r="ED647" s="1533"/>
      <c r="EE647" s="1533"/>
      <c r="EF647" s="1533"/>
      <c r="EG647" s="1533"/>
      <c r="EH647" s="1533">
        <f t="shared" si="6"/>
        <v>511</v>
      </c>
      <c r="EI647" s="1533"/>
      <c r="EJ647" s="1533"/>
      <c r="EK647" s="1533"/>
      <c r="EL647" s="1533"/>
      <c r="EM647" s="1533" t="e">
        <f t="shared" si="7"/>
        <v>#VALUE!</v>
      </c>
      <c r="EN647" s="1533"/>
      <c r="EO647" s="1533"/>
      <c r="EP647" s="1533"/>
      <c r="EQ647" s="1533"/>
      <c r="ER647" s="1533" t="e">
        <f t="shared" si="8"/>
        <v>#VALUE!</v>
      </c>
      <c r="ES647" s="1533"/>
      <c r="ET647" s="1533"/>
      <c r="EU647" s="1533"/>
      <c r="EV647" s="1533"/>
      <c r="EW647" s="1533" t="e">
        <f t="shared" si="9"/>
        <v>#VALUE!</v>
      </c>
      <c r="EX647" s="1533"/>
      <c r="EY647" s="1533"/>
      <c r="EZ647" s="1533"/>
      <c r="FA647" s="1533"/>
    </row>
    <row r="648" spans="1:157" ht="12.95" customHeight="1">
      <c r="B648" s="1537" t="s">
        <v>267</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530">
        <f>16641520-AO639</f>
        <v>8535508</v>
      </c>
      <c r="AP648" s="1531"/>
      <c r="AQ648" s="1531"/>
      <c r="AR648" s="1531"/>
      <c r="AS648" s="153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3" t="e">
        <f t="shared" si="4"/>
        <v>#VALUE!</v>
      </c>
      <c r="DY648" s="1533"/>
      <c r="DZ648" s="1533"/>
      <c r="EA648" s="1533"/>
      <c r="EB648" s="1533"/>
      <c r="EC648" s="1533" t="e">
        <f t="shared" si="5"/>
        <v>#VALUE!</v>
      </c>
      <c r="ED648" s="1533"/>
      <c r="EE648" s="1533"/>
      <c r="EF648" s="1533"/>
      <c r="EG648" s="1533"/>
      <c r="EH648" s="1533">
        <f t="shared" si="6"/>
        <v>851.5</v>
      </c>
      <c r="EI648" s="1533"/>
      <c r="EJ648" s="1533"/>
      <c r="EK648" s="1533"/>
      <c r="EL648" s="1533"/>
      <c r="EM648" s="1533" t="e">
        <f t="shared" si="7"/>
        <v>#VALUE!</v>
      </c>
      <c r="EN648" s="1533"/>
      <c r="EO648" s="1533"/>
      <c r="EP648" s="1533"/>
      <c r="EQ648" s="1533"/>
      <c r="ER648" s="1533" t="e">
        <f t="shared" si="8"/>
        <v>#VALUE!</v>
      </c>
      <c r="ES648" s="1533"/>
      <c r="ET648" s="1533"/>
      <c r="EU648" s="1533"/>
      <c r="EV648" s="1533"/>
      <c r="EW648" s="1533" t="e">
        <f t="shared" si="9"/>
        <v>#VALUE!</v>
      </c>
      <c r="EX648" s="1533"/>
      <c r="EY648" s="1533"/>
      <c r="EZ648" s="1533"/>
      <c r="FA648" s="1533"/>
    </row>
    <row r="649" spans="1:157" ht="12.95" customHeight="1">
      <c r="B649" s="1696" t="s">
        <v>268</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451">
        <f>AO647+AO648</f>
        <v>52230266</v>
      </c>
      <c r="AP649" s="1452"/>
      <c r="AQ649" s="1452"/>
      <c r="AR649" s="1452"/>
      <c r="AS649" s="1453"/>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3" t="e">
        <f t="shared" si="4"/>
        <v>#VALUE!</v>
      </c>
      <c r="DY649" s="1533"/>
      <c r="DZ649" s="1533"/>
      <c r="EA649" s="1533"/>
      <c r="EB649" s="1533"/>
      <c r="EC649" s="1533" t="e">
        <f t="shared" si="5"/>
        <v>#VALUE!</v>
      </c>
      <c r="ED649" s="1533"/>
      <c r="EE649" s="1533"/>
      <c r="EF649" s="1533"/>
      <c r="EG649" s="1533"/>
      <c r="EH649" s="1533" t="e">
        <f t="shared" si="6"/>
        <v>#VALUE!</v>
      </c>
      <c r="EI649" s="1533"/>
      <c r="EJ649" s="1533"/>
      <c r="EK649" s="1533"/>
      <c r="EL649" s="1533"/>
      <c r="EM649" s="1533" t="e">
        <f t="shared" si="7"/>
        <v>#VALUE!</v>
      </c>
      <c r="EN649" s="1533"/>
      <c r="EO649" s="1533"/>
      <c r="EP649" s="1533"/>
      <c r="EQ649" s="1533"/>
      <c r="ER649" s="1533" t="e">
        <f t="shared" si="8"/>
        <v>#VALUE!</v>
      </c>
      <c r="ES649" s="1533"/>
      <c r="ET649" s="1533"/>
      <c r="EU649" s="1533"/>
      <c r="EV649" s="1533"/>
      <c r="EW649" s="1533" t="e">
        <f t="shared" si="9"/>
        <v>#VALUE!</v>
      </c>
      <c r="EX649" s="1533"/>
      <c r="EY649" s="1533"/>
      <c r="EZ649" s="1533"/>
      <c r="FA649" s="1533"/>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3" t="e">
        <f t="shared" si="4"/>
        <v>#VALUE!</v>
      </c>
      <c r="DY650" s="1533"/>
      <c r="DZ650" s="1533"/>
      <c r="EA650" s="1533"/>
      <c r="EB650" s="1533"/>
      <c r="EC650" s="1533" t="e">
        <f t="shared" si="5"/>
        <v>#VALUE!</v>
      </c>
      <c r="ED650" s="1533"/>
      <c r="EE650" s="1533"/>
      <c r="EF650" s="1533"/>
      <c r="EG650" s="1533"/>
      <c r="EH650" s="1533" t="e">
        <f t="shared" si="6"/>
        <v>#VALUE!</v>
      </c>
      <c r="EI650" s="1533"/>
      <c r="EJ650" s="1533"/>
      <c r="EK650" s="1533"/>
      <c r="EL650" s="1533"/>
      <c r="EM650" s="1533" t="e">
        <f t="shared" si="7"/>
        <v>#VALUE!</v>
      </c>
      <c r="EN650" s="1533"/>
      <c r="EO650" s="1533"/>
      <c r="EP650" s="1533"/>
      <c r="EQ650" s="1533"/>
      <c r="ER650" s="1533" t="e">
        <f t="shared" si="8"/>
        <v>#VALUE!</v>
      </c>
      <c r="ES650" s="1533"/>
      <c r="ET650" s="1533"/>
      <c r="EU650" s="1533"/>
      <c r="EV650" s="1533"/>
      <c r="EW650" s="1533" t="e">
        <f t="shared" si="9"/>
        <v>#VALUE!</v>
      </c>
      <c r="EX650" s="1533"/>
      <c r="EY650" s="1533"/>
      <c r="EZ650" s="1533"/>
      <c r="FA650" s="1533"/>
    </row>
    <row r="651" spans="1:157" ht="12.95" customHeight="1">
      <c r="A651" s="55" t="s">
        <v>112</v>
      </c>
      <c r="B651" t="s">
        <v>463</v>
      </c>
      <c r="G651" s="1484" t="str">
        <f>C635</f>
        <v>Citibank</v>
      </c>
      <c r="H651" s="1484"/>
      <c r="I651" s="1484"/>
      <c r="J651" s="1484"/>
      <c r="K651" s="1484"/>
      <c r="L651" s="1484"/>
      <c r="M651" s="1484"/>
      <c r="N651" s="1484"/>
      <c r="O651" s="1484"/>
      <c r="P651" s="1484"/>
      <c r="Q651" s="1484"/>
      <c r="R651" s="1484"/>
      <c r="S651" s="8"/>
      <c r="T651" s="55" t="s">
        <v>113</v>
      </c>
      <c r="U651" t="s">
        <v>463</v>
      </c>
      <c r="Z651" s="1484" t="str">
        <f>C636</f>
        <v>Stephen Siller Tunnel to Tower Foundation</v>
      </c>
      <c r="AA651" s="1484"/>
      <c r="AB651" s="1484"/>
      <c r="AC651" s="1484"/>
      <c r="AD651" s="1484"/>
      <c r="AE651" s="1484"/>
      <c r="AF651" s="1484"/>
      <c r="AG651" s="1484"/>
      <c r="AH651" s="1484"/>
      <c r="AI651" s="1484"/>
      <c r="AJ651" s="1484"/>
      <c r="AK651" s="148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3" t="e">
        <f t="shared" si="4"/>
        <v>#VALUE!</v>
      </c>
      <c r="DY651" s="1533"/>
      <c r="DZ651" s="1533"/>
      <c r="EA651" s="1533"/>
      <c r="EB651" s="1533"/>
      <c r="EC651" s="1533" t="e">
        <f t="shared" si="5"/>
        <v>#VALUE!</v>
      </c>
      <c r="ED651" s="1533"/>
      <c r="EE651" s="1533"/>
      <c r="EF651" s="1533"/>
      <c r="EG651" s="1533"/>
      <c r="EH651" s="1533" t="e">
        <f t="shared" si="6"/>
        <v>#VALUE!</v>
      </c>
      <c r="EI651" s="1533"/>
      <c r="EJ651" s="1533"/>
      <c r="EK651" s="1533"/>
      <c r="EL651" s="1533"/>
      <c r="EM651" s="1533" t="e">
        <f t="shared" si="7"/>
        <v>#VALUE!</v>
      </c>
      <c r="EN651" s="1533"/>
      <c r="EO651" s="1533"/>
      <c r="EP651" s="1533"/>
      <c r="EQ651" s="1533"/>
      <c r="ER651" s="1533" t="e">
        <f t="shared" si="8"/>
        <v>#VALUE!</v>
      </c>
      <c r="ES651" s="1533"/>
      <c r="ET651" s="1533"/>
      <c r="EU651" s="1533"/>
      <c r="EV651" s="1533"/>
      <c r="EW651" s="1533" t="e">
        <f t="shared" si="9"/>
        <v>#VALUE!</v>
      </c>
      <c r="EX651" s="1533"/>
      <c r="EY651" s="1533"/>
      <c r="EZ651" s="1533"/>
      <c r="FA651" s="1533"/>
    </row>
    <row r="652" spans="1:157" ht="12.95" customHeight="1">
      <c r="A652" s="22"/>
      <c r="B652" t="s">
        <v>85</v>
      </c>
      <c r="G652" s="1504" t="s">
        <v>2715</v>
      </c>
      <c r="H652" s="1504"/>
      <c r="I652" s="1504"/>
      <c r="J652" s="1504"/>
      <c r="K652" s="1504"/>
      <c r="L652" s="1504"/>
      <c r="M652" s="1504"/>
      <c r="N652" s="1504"/>
      <c r="O652" s="1504"/>
      <c r="P652" s="1504"/>
      <c r="Q652" s="1504"/>
      <c r="R652" s="1504"/>
      <c r="S652" s="8"/>
      <c r="T652" s="22"/>
      <c r="U652" t="s">
        <v>85</v>
      </c>
      <c r="Z652" s="1504" t="s">
        <v>2712</v>
      </c>
      <c r="AA652" s="1504"/>
      <c r="AB652" s="1504"/>
      <c r="AC652" s="1504"/>
      <c r="AD652" s="1504"/>
      <c r="AE652" s="1504"/>
      <c r="AF652" s="1504"/>
      <c r="AG652" s="1504"/>
      <c r="AH652" s="1504"/>
      <c r="AI652" s="1504"/>
      <c r="AJ652" s="1504"/>
      <c r="AK652" s="1504"/>
      <c r="AV652" s="3"/>
      <c r="AW652" s="3"/>
      <c r="AX652" s="3"/>
      <c r="AY652" s="3"/>
      <c r="AZ652" s="3"/>
      <c r="BA652" s="3"/>
      <c r="BB652" s="3"/>
      <c r="BC652" s="3"/>
      <c r="BD652" s="3"/>
      <c r="BE652" s="3"/>
      <c r="BF652" s="3"/>
      <c r="BG652" s="3"/>
      <c r="BH652" s="3"/>
      <c r="BI652" s="3"/>
      <c r="BJ652" s="3"/>
      <c r="BK652" s="3"/>
      <c r="BL652" s="3"/>
      <c r="BM652" s="3"/>
      <c r="DX652" s="1533" t="e">
        <f t="shared" si="4"/>
        <v>#VALUE!</v>
      </c>
      <c r="DY652" s="1533"/>
      <c r="DZ652" s="1533"/>
      <c r="EA652" s="1533"/>
      <c r="EB652" s="1533"/>
      <c r="EC652" s="1533" t="e">
        <f t="shared" si="5"/>
        <v>#VALUE!</v>
      </c>
      <c r="ED652" s="1533"/>
      <c r="EE652" s="1533"/>
      <c r="EF652" s="1533"/>
      <c r="EG652" s="1533"/>
      <c r="EH652" s="1533" t="e">
        <f t="shared" si="6"/>
        <v>#VALUE!</v>
      </c>
      <c r="EI652" s="1533"/>
      <c r="EJ652" s="1533"/>
      <c r="EK652" s="1533"/>
      <c r="EL652" s="1533"/>
      <c r="EM652" s="1533" t="e">
        <f t="shared" si="7"/>
        <v>#VALUE!</v>
      </c>
      <c r="EN652" s="1533"/>
      <c r="EO652" s="1533"/>
      <c r="EP652" s="1533"/>
      <c r="EQ652" s="1533"/>
      <c r="ER652" s="1533" t="e">
        <f t="shared" si="8"/>
        <v>#VALUE!</v>
      </c>
      <c r="ES652" s="1533"/>
      <c r="ET652" s="1533"/>
      <c r="EU652" s="1533"/>
      <c r="EV652" s="1533"/>
      <c r="EW652" s="1533" t="e">
        <f t="shared" si="9"/>
        <v>#VALUE!</v>
      </c>
      <c r="EX652" s="1533"/>
      <c r="EY652" s="1533"/>
      <c r="EZ652" s="1533"/>
      <c r="FA652" s="1533"/>
    </row>
    <row r="653" spans="1:157" ht="12.95" customHeight="1">
      <c r="A653" s="22"/>
      <c r="B653" t="s">
        <v>580</v>
      </c>
      <c r="G653" s="1504" t="s">
        <v>494</v>
      </c>
      <c r="H653" s="1504"/>
      <c r="I653" s="1504"/>
      <c r="J653" s="1504"/>
      <c r="K653" s="1504"/>
      <c r="L653" s="1504"/>
      <c r="M653" s="1504"/>
      <c r="N653" s="1504"/>
      <c r="O653" s="1504"/>
      <c r="P653" s="1504"/>
      <c r="Q653" s="1504"/>
      <c r="R653" s="1504"/>
      <c r="T653" s="22"/>
      <c r="U653" t="s">
        <v>580</v>
      </c>
      <c r="Z653" s="1485" t="s">
        <v>2713</v>
      </c>
      <c r="AA653" s="1485"/>
      <c r="AB653" s="1485"/>
      <c r="AC653" s="1485"/>
      <c r="AD653" s="1485"/>
      <c r="AE653" s="1485"/>
      <c r="AF653" s="1485"/>
      <c r="AG653" s="1485"/>
      <c r="AH653" s="1485"/>
      <c r="AI653" s="1485"/>
      <c r="AJ653" s="1485"/>
      <c r="AK653" s="1485"/>
      <c r="AV653" s="3"/>
      <c r="AW653" s="3"/>
      <c r="AX653" s="3"/>
      <c r="AY653" s="3"/>
      <c r="AZ653" s="3"/>
      <c r="BA653" s="3"/>
      <c r="BB653" s="3"/>
      <c r="BC653" s="3"/>
      <c r="BD653" s="3"/>
      <c r="BE653" s="3"/>
      <c r="BF653" s="3"/>
      <c r="BG653" s="3"/>
      <c r="BH653" s="3"/>
      <c r="BI653" s="3"/>
      <c r="BJ653" s="3"/>
      <c r="BK653" s="3"/>
      <c r="BL653" s="3"/>
      <c r="BM653" s="3"/>
      <c r="DX653" s="1533" t="e">
        <f t="shared" si="4"/>
        <v>#VALUE!</v>
      </c>
      <c r="DY653" s="1533"/>
      <c r="DZ653" s="1533"/>
      <c r="EA653" s="1533"/>
      <c r="EB653" s="1533"/>
      <c r="EC653" s="1533" t="e">
        <f t="shared" si="5"/>
        <v>#VALUE!</v>
      </c>
      <c r="ED653" s="1533"/>
      <c r="EE653" s="1533"/>
      <c r="EF653" s="1533"/>
      <c r="EG653" s="1533"/>
      <c r="EH653" s="1533" t="e">
        <f t="shared" si="6"/>
        <v>#VALUE!</v>
      </c>
      <c r="EI653" s="1533"/>
      <c r="EJ653" s="1533"/>
      <c r="EK653" s="1533"/>
      <c r="EL653" s="1533"/>
      <c r="EM653" s="1533" t="e">
        <f t="shared" si="7"/>
        <v>#VALUE!</v>
      </c>
      <c r="EN653" s="1533"/>
      <c r="EO653" s="1533"/>
      <c r="EP653" s="1533"/>
      <c r="EQ653" s="1533"/>
      <c r="ER653" s="1533" t="e">
        <f t="shared" si="8"/>
        <v>#VALUE!</v>
      </c>
      <c r="ES653" s="1533"/>
      <c r="ET653" s="1533"/>
      <c r="EU653" s="1533"/>
      <c r="EV653" s="1533"/>
      <c r="EW653" s="1533" t="e">
        <f t="shared" si="9"/>
        <v>#VALUE!</v>
      </c>
      <c r="EX653" s="1533"/>
      <c r="EY653" s="1533"/>
      <c r="EZ653" s="1533"/>
      <c r="FA653" s="1533"/>
    </row>
    <row r="654" spans="1:157" ht="12.95" customHeight="1">
      <c r="A654" s="22"/>
      <c r="B654" t="s">
        <v>17</v>
      </c>
      <c r="G654" s="1504" t="s">
        <v>2716</v>
      </c>
      <c r="H654" s="1504"/>
      <c r="I654" s="1504"/>
      <c r="J654" s="1504"/>
      <c r="K654" s="1504"/>
      <c r="L654" s="1504"/>
      <c r="M654" s="1504"/>
      <c r="N654" s="1504"/>
      <c r="O654" s="1504"/>
      <c r="P654" s="1504"/>
      <c r="Q654" s="1504"/>
      <c r="R654" s="1504"/>
      <c r="S654" s="8"/>
      <c r="T654" s="22"/>
      <c r="U654" t="s">
        <v>17</v>
      </c>
      <c r="Z654" s="1485" t="s">
        <v>2714</v>
      </c>
      <c r="AA654" s="1485"/>
      <c r="AB654" s="1485"/>
      <c r="AC654" s="1485"/>
      <c r="AD654" s="1485"/>
      <c r="AE654" s="1485"/>
      <c r="AF654" s="1485"/>
      <c r="AG654" s="1485"/>
      <c r="AH654" s="1485"/>
      <c r="AI654" s="1485"/>
      <c r="AJ654" s="1485"/>
      <c r="AK654" s="1485"/>
      <c r="AZ654" s="3"/>
      <c r="BA654" s="3"/>
      <c r="BB654" s="3"/>
      <c r="BC654" s="3"/>
      <c r="BD654" s="3"/>
      <c r="BE654" s="3"/>
      <c r="BF654" s="3"/>
      <c r="BG654" s="3"/>
      <c r="BH654" s="3"/>
      <c r="BI654" s="3"/>
      <c r="BJ654" s="3"/>
      <c r="BK654" s="3"/>
      <c r="BL654" s="3"/>
      <c r="BM654" s="3"/>
      <c r="DX654" s="1533" t="e">
        <f t="shared" si="4"/>
        <v>#VALUE!</v>
      </c>
      <c r="DY654" s="1533"/>
      <c r="DZ654" s="1533"/>
      <c r="EA654" s="1533"/>
      <c r="EB654" s="1533"/>
      <c r="EC654" s="1533" t="e">
        <f t="shared" si="5"/>
        <v>#VALUE!</v>
      </c>
      <c r="ED654" s="1533"/>
      <c r="EE654" s="1533"/>
      <c r="EF654" s="1533"/>
      <c r="EG654" s="1533"/>
      <c r="EH654" s="1533" t="e">
        <f t="shared" si="6"/>
        <v>#VALUE!</v>
      </c>
      <c r="EI654" s="1533"/>
      <c r="EJ654" s="1533"/>
      <c r="EK654" s="1533"/>
      <c r="EL654" s="1533"/>
      <c r="EM654" s="1533" t="e">
        <f t="shared" si="7"/>
        <v>#VALUE!</v>
      </c>
      <c r="EN654" s="1533"/>
      <c r="EO654" s="1533"/>
      <c r="EP654" s="1533"/>
      <c r="EQ654" s="1533"/>
      <c r="ER654" s="1533" t="e">
        <f t="shared" si="8"/>
        <v>#VALUE!</v>
      </c>
      <c r="ES654" s="1533"/>
      <c r="ET654" s="1533"/>
      <c r="EU654" s="1533"/>
      <c r="EV654" s="1533"/>
      <c r="EW654" s="1533" t="e">
        <f t="shared" si="9"/>
        <v>#VALUE!</v>
      </c>
      <c r="EX654" s="1533"/>
      <c r="EY654" s="1533"/>
      <c r="EZ654" s="1533"/>
      <c r="FA654" s="1533"/>
    </row>
    <row r="655" spans="1:157" ht="12.95" customHeight="1">
      <c r="A655" s="22"/>
      <c r="B655" t="s">
        <v>316</v>
      </c>
      <c r="G655" s="1529" t="s">
        <v>2717</v>
      </c>
      <c r="H655" s="1529"/>
      <c r="I655" s="1529"/>
      <c r="J655" s="1529"/>
      <c r="K655" s="1529"/>
      <c r="L655" s="1529"/>
      <c r="O655" s="33" t="s">
        <v>206</v>
      </c>
      <c r="P655" s="1519"/>
      <c r="Q655" s="1519"/>
      <c r="R655" s="1519"/>
      <c r="S655" s="10"/>
      <c r="T655" s="22"/>
      <c r="U655" t="s">
        <v>316</v>
      </c>
      <c r="Z655" s="1529">
        <v>7189871931</v>
      </c>
      <c r="AA655" s="1529"/>
      <c r="AB655" s="1529"/>
      <c r="AC655" s="1529"/>
      <c r="AD655" s="1529"/>
      <c r="AE655" s="1529"/>
      <c r="AH655" s="33" t="s">
        <v>206</v>
      </c>
      <c r="AI655" s="1519"/>
      <c r="AJ655" s="1519"/>
      <c r="AK655" s="1519"/>
      <c r="AZ655" s="34"/>
      <c r="BA655" s="34"/>
      <c r="BB655" s="34"/>
      <c r="BC655" s="34"/>
      <c r="BD655" s="34"/>
      <c r="BE655" s="34"/>
      <c r="BF655" s="34"/>
      <c r="BG655" s="34"/>
      <c r="BH655" s="34"/>
      <c r="BI655" s="34"/>
      <c r="BJ655" s="34"/>
      <c r="BK655" s="34"/>
      <c r="BL655" s="34"/>
      <c r="BM655" s="34"/>
      <c r="DX655" s="1533" t="e">
        <f t="shared" si="4"/>
        <v>#VALUE!</v>
      </c>
      <c r="DY655" s="1533"/>
      <c r="DZ655" s="1533"/>
      <c r="EA655" s="1533"/>
      <c r="EB655" s="1533"/>
      <c r="EC655" s="1533" t="e">
        <f t="shared" si="5"/>
        <v>#VALUE!</v>
      </c>
      <c r="ED655" s="1533"/>
      <c r="EE655" s="1533"/>
      <c r="EF655" s="1533"/>
      <c r="EG655" s="1533"/>
      <c r="EH655" s="1533" t="e">
        <f t="shared" si="6"/>
        <v>#VALUE!</v>
      </c>
      <c r="EI655" s="1533"/>
      <c r="EJ655" s="1533"/>
      <c r="EK655" s="1533"/>
      <c r="EL655" s="1533"/>
      <c r="EM655" s="1533" t="e">
        <f t="shared" si="7"/>
        <v>#VALUE!</v>
      </c>
      <c r="EN655" s="1533"/>
      <c r="EO655" s="1533"/>
      <c r="EP655" s="1533"/>
      <c r="EQ655" s="1533"/>
      <c r="ER655" s="1533" t="e">
        <f t="shared" si="8"/>
        <v>#VALUE!</v>
      </c>
      <c r="ES655" s="1533"/>
      <c r="ET655" s="1533"/>
      <c r="EU655" s="1533"/>
      <c r="EV655" s="1533"/>
      <c r="EW655" s="1533" t="e">
        <f t="shared" si="9"/>
        <v>#VALUE!</v>
      </c>
      <c r="EX655" s="1533"/>
      <c r="EY655" s="1533"/>
      <c r="EZ655" s="1533"/>
      <c r="FA655" s="1533"/>
    </row>
    <row r="656" spans="1:157" ht="12.95" customHeight="1">
      <c r="A656" s="22"/>
      <c r="B656" t="s">
        <v>18</v>
      </c>
      <c r="H656" s="1504" t="str">
        <f>M635</f>
        <v>Loan, Conventional</v>
      </c>
      <c r="I656" s="1504"/>
      <c r="J656" s="1504"/>
      <c r="K656" s="1504"/>
      <c r="L656" s="1504"/>
      <c r="M656" s="1504"/>
      <c r="N656" s="1504"/>
      <c r="O656" s="1504"/>
      <c r="P656" s="1504"/>
      <c r="Q656" s="1504"/>
      <c r="R656" s="1504"/>
      <c r="S656" s="8"/>
      <c r="T656" s="22"/>
      <c r="U656" t="s">
        <v>18</v>
      </c>
      <c r="AA656" s="1504" t="str">
        <f>M636</f>
        <v>Loan, Residual Receipts</v>
      </c>
      <c r="AB656" s="1504"/>
      <c r="AC656" s="1504"/>
      <c r="AD656" s="1504"/>
      <c r="AE656" s="1504"/>
      <c r="AF656" s="1504"/>
      <c r="AG656" s="1504"/>
      <c r="AH656" s="1504"/>
      <c r="AI656" s="1504"/>
      <c r="AJ656" s="1504"/>
      <c r="AK656" s="1504"/>
      <c r="AZ656" s="34"/>
      <c r="BA656" s="34"/>
      <c r="BB656" s="34"/>
      <c r="BC656" s="34"/>
      <c r="BD656" s="34"/>
      <c r="BE656" s="34"/>
      <c r="BF656" s="34"/>
      <c r="BG656" s="34"/>
      <c r="BH656" s="34"/>
      <c r="BI656" s="34"/>
      <c r="BJ656" s="34"/>
      <c r="BK656" s="34"/>
      <c r="BL656" s="34"/>
      <c r="BM656" s="34"/>
      <c r="DX656" s="1533" t="e">
        <f t="shared" si="4"/>
        <v>#VALUE!</v>
      </c>
      <c r="DY656" s="1533"/>
      <c r="DZ656" s="1533"/>
      <c r="EA656" s="1533"/>
      <c r="EB656" s="1533"/>
      <c r="EC656" s="1533" t="e">
        <f t="shared" si="5"/>
        <v>#VALUE!</v>
      </c>
      <c r="ED656" s="1533"/>
      <c r="EE656" s="1533"/>
      <c r="EF656" s="1533"/>
      <c r="EG656" s="1533"/>
      <c r="EH656" s="1533" t="e">
        <f t="shared" si="6"/>
        <v>#VALUE!</v>
      </c>
      <c r="EI656" s="1533"/>
      <c r="EJ656" s="1533"/>
      <c r="EK656" s="1533"/>
      <c r="EL656" s="1533"/>
      <c r="EM656" s="1533" t="e">
        <f t="shared" si="7"/>
        <v>#VALUE!</v>
      </c>
      <c r="EN656" s="1533"/>
      <c r="EO656" s="1533"/>
      <c r="EP656" s="1533"/>
      <c r="EQ656" s="1533"/>
      <c r="ER656" s="1533" t="e">
        <f t="shared" si="8"/>
        <v>#VALUE!</v>
      </c>
      <c r="ES656" s="1533"/>
      <c r="ET656" s="1533"/>
      <c r="EU656" s="1533"/>
      <c r="EV656" s="1533"/>
      <c r="EW656" s="1533" t="e">
        <f t="shared" si="9"/>
        <v>#VALUE!</v>
      </c>
      <c r="EX656" s="1533"/>
      <c r="EY656" s="1533"/>
      <c r="EZ656" s="1533"/>
      <c r="FA656" s="1533"/>
    </row>
    <row r="657" spans="1:157" ht="12.95" customHeight="1">
      <c r="A657" s="22"/>
      <c r="B657" t="s">
        <v>20</v>
      </c>
      <c r="N657" s="1340" t="s">
        <v>545</v>
      </c>
      <c r="O657" s="1340"/>
      <c r="T657" s="22"/>
      <c r="U657" t="s">
        <v>20</v>
      </c>
      <c r="AG657" s="1340" t="s">
        <v>545</v>
      </c>
      <c r="AH657" s="1340"/>
      <c r="AZ657" s="34"/>
      <c r="BA657" s="34"/>
      <c r="BB657" s="34"/>
      <c r="BC657" s="34"/>
      <c r="BD657" s="34"/>
      <c r="BE657" s="34"/>
      <c r="BF657" s="34"/>
      <c r="BG657" s="34"/>
      <c r="BH657" s="34"/>
      <c r="BI657" s="34"/>
      <c r="BJ657" s="34"/>
      <c r="BK657" s="34"/>
      <c r="BL657" s="34"/>
      <c r="BM657" s="34"/>
      <c r="DX657" s="1533" t="e">
        <f t="shared" si="4"/>
        <v>#VALUE!</v>
      </c>
      <c r="DY657" s="1533"/>
      <c r="DZ657" s="1533"/>
      <c r="EA657" s="1533"/>
      <c r="EB657" s="1533"/>
      <c r="EC657" s="1533" t="e">
        <f t="shared" si="5"/>
        <v>#VALUE!</v>
      </c>
      <c r="ED657" s="1533"/>
      <c r="EE657" s="1533"/>
      <c r="EF657" s="1533"/>
      <c r="EG657" s="1533"/>
      <c r="EH657" s="1533" t="e">
        <f t="shared" si="6"/>
        <v>#VALUE!</v>
      </c>
      <c r="EI657" s="1533"/>
      <c r="EJ657" s="1533"/>
      <c r="EK657" s="1533"/>
      <c r="EL657" s="1533"/>
      <c r="EM657" s="1533" t="e">
        <f t="shared" si="7"/>
        <v>#VALUE!</v>
      </c>
      <c r="EN657" s="1533"/>
      <c r="EO657" s="1533"/>
      <c r="EP657" s="1533"/>
      <c r="EQ657" s="1533"/>
      <c r="ER657" s="1533" t="e">
        <f t="shared" si="8"/>
        <v>#VALUE!</v>
      </c>
      <c r="ES657" s="1533"/>
      <c r="ET657" s="1533"/>
      <c r="EU657" s="1533"/>
      <c r="EV657" s="1533"/>
      <c r="EW657" s="1533" t="e">
        <f t="shared" si="9"/>
        <v>#VALUE!</v>
      </c>
      <c r="EX657" s="1533"/>
      <c r="EY657" s="1533"/>
      <c r="EZ657" s="1533"/>
      <c r="FA657" s="1533"/>
    </row>
    <row r="658" spans="1:157" ht="12.95" customHeight="1">
      <c r="A658" s="22"/>
      <c r="T658" s="22"/>
      <c r="AZ658" s="34"/>
      <c r="BA658" s="34"/>
      <c r="BB658" s="34"/>
      <c r="BC658" s="34"/>
      <c r="BD658" s="34"/>
      <c r="BE658" s="34"/>
      <c r="BF658" s="34"/>
      <c r="BG658" s="34"/>
      <c r="BH658" s="34"/>
      <c r="BI658" s="34"/>
      <c r="BJ658" s="34"/>
      <c r="BK658" s="34"/>
      <c r="BL658" s="34"/>
      <c r="BM658" s="34"/>
      <c r="DX658" s="1533" t="e">
        <f t="shared" si="4"/>
        <v>#VALUE!</v>
      </c>
      <c r="DY658" s="1533"/>
      <c r="DZ658" s="1533"/>
      <c r="EA658" s="1533"/>
      <c r="EB658" s="1533"/>
      <c r="EC658" s="1533" t="e">
        <f t="shared" si="5"/>
        <v>#VALUE!</v>
      </c>
      <c r="ED658" s="1533"/>
      <c r="EE658" s="1533"/>
      <c r="EF658" s="1533"/>
      <c r="EG658" s="1533"/>
      <c r="EH658" s="1533" t="e">
        <f t="shared" si="6"/>
        <v>#VALUE!</v>
      </c>
      <c r="EI658" s="1533"/>
      <c r="EJ658" s="1533"/>
      <c r="EK658" s="1533"/>
      <c r="EL658" s="1533"/>
      <c r="EM658" s="1533" t="e">
        <f t="shared" si="7"/>
        <v>#VALUE!</v>
      </c>
      <c r="EN658" s="1533"/>
      <c r="EO658" s="1533"/>
      <c r="EP658" s="1533"/>
      <c r="EQ658" s="1533"/>
      <c r="ER658" s="1533" t="e">
        <f t="shared" si="8"/>
        <v>#VALUE!</v>
      </c>
      <c r="ES658" s="1533"/>
      <c r="ET658" s="1533"/>
      <c r="EU658" s="1533"/>
      <c r="EV658" s="1533"/>
      <c r="EW658" s="1533" t="e">
        <f t="shared" si="9"/>
        <v>#VALUE!</v>
      </c>
      <c r="EX658" s="1533"/>
      <c r="EY658" s="1533"/>
      <c r="EZ658" s="1533"/>
      <c r="FA658" s="1533"/>
    </row>
    <row r="659" spans="1:157" ht="12.95" customHeight="1">
      <c r="A659" s="55" t="s">
        <v>119</v>
      </c>
      <c r="B659" t="s">
        <v>463</v>
      </c>
      <c r="G659" s="1484" t="str">
        <f>C637</f>
        <v>Stephen Siller Tunnel to Tower Foundation</v>
      </c>
      <c r="H659" s="1484"/>
      <c r="I659" s="1484"/>
      <c r="J659" s="1484"/>
      <c r="K659" s="1484"/>
      <c r="L659" s="1484"/>
      <c r="M659" s="1484"/>
      <c r="N659" s="1484"/>
      <c r="O659" s="1484"/>
      <c r="P659" s="1484"/>
      <c r="Q659" s="1484"/>
      <c r="R659" s="1484"/>
      <c r="T659" s="55" t="s">
        <v>581</v>
      </c>
      <c r="U659" t="s">
        <v>463</v>
      </c>
      <c r="Z659" s="1484" t="str">
        <f>C638</f>
        <v>The Home Depot Foundation</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533" t="e">
        <f t="shared" si="4"/>
        <v>#VALUE!</v>
      </c>
      <c r="DY659" s="1533"/>
      <c r="DZ659" s="1533"/>
      <c r="EA659" s="1533"/>
      <c r="EB659" s="1533"/>
      <c r="EC659" s="1533" t="e">
        <f t="shared" si="5"/>
        <v>#VALUE!</v>
      </c>
      <c r="ED659" s="1533"/>
      <c r="EE659" s="1533"/>
      <c r="EF659" s="1533"/>
      <c r="EG659" s="1533"/>
      <c r="EH659" s="1533" t="e">
        <f t="shared" si="6"/>
        <v>#VALUE!</v>
      </c>
      <c r="EI659" s="1533"/>
      <c r="EJ659" s="1533"/>
      <c r="EK659" s="1533"/>
      <c r="EL659" s="1533"/>
      <c r="EM659" s="1533" t="e">
        <f t="shared" si="7"/>
        <v>#VALUE!</v>
      </c>
      <c r="EN659" s="1533"/>
      <c r="EO659" s="1533"/>
      <c r="EP659" s="1533"/>
      <c r="EQ659" s="1533"/>
      <c r="ER659" s="1533" t="e">
        <f t="shared" si="8"/>
        <v>#VALUE!</v>
      </c>
      <c r="ES659" s="1533"/>
      <c r="ET659" s="1533"/>
      <c r="EU659" s="1533"/>
      <c r="EV659" s="1533"/>
      <c r="EW659" s="1533" t="e">
        <f t="shared" si="9"/>
        <v>#VALUE!</v>
      </c>
      <c r="EX659" s="1533"/>
      <c r="EY659" s="1533"/>
      <c r="EZ659" s="1533"/>
      <c r="FA659" s="1533"/>
    </row>
    <row r="660" spans="1:157" ht="12.95" customHeight="1">
      <c r="A660" s="22"/>
      <c r="B660" t="s">
        <v>85</v>
      </c>
      <c r="G660" s="1504" t="s">
        <v>2712</v>
      </c>
      <c r="H660" s="1504"/>
      <c r="I660" s="1504"/>
      <c r="J660" s="1504"/>
      <c r="K660" s="1504"/>
      <c r="L660" s="1504"/>
      <c r="M660" s="1504"/>
      <c r="N660" s="1504"/>
      <c r="O660" s="1504"/>
      <c r="P660" s="1504"/>
      <c r="Q660" s="1504"/>
      <c r="R660" s="1504"/>
      <c r="T660" s="22"/>
      <c r="U660" t="s">
        <v>85</v>
      </c>
      <c r="Z660" s="1504" t="s">
        <v>2708</v>
      </c>
      <c r="AA660" s="1504"/>
      <c r="AB660" s="1504"/>
      <c r="AC660" s="1504"/>
      <c r="AD660" s="1504"/>
      <c r="AE660" s="1504"/>
      <c r="AF660" s="1504"/>
      <c r="AG660" s="1504"/>
      <c r="AH660" s="1504"/>
      <c r="AI660" s="1504"/>
      <c r="AJ660" s="1504"/>
      <c r="AK660" s="1504"/>
      <c r="AZ660" s="34"/>
      <c r="BA660" s="34"/>
      <c r="BB660" s="34"/>
      <c r="BC660" s="34"/>
      <c r="BD660" s="34"/>
      <c r="BE660" s="34"/>
      <c r="BF660" s="34"/>
      <c r="BG660" s="34"/>
      <c r="BH660" s="34"/>
      <c r="BI660" s="34"/>
      <c r="BJ660" s="34"/>
      <c r="BK660" s="34"/>
      <c r="BL660" s="34"/>
      <c r="BM660" s="34"/>
      <c r="DX660" s="1533" t="e">
        <f t="shared" si="4"/>
        <v>#VALUE!</v>
      </c>
      <c r="DY660" s="1533"/>
      <c r="DZ660" s="1533"/>
      <c r="EA660" s="1533"/>
      <c r="EB660" s="1533"/>
      <c r="EC660" s="1533" t="e">
        <f t="shared" si="5"/>
        <v>#VALUE!</v>
      </c>
      <c r="ED660" s="1533"/>
      <c r="EE660" s="1533"/>
      <c r="EF660" s="1533"/>
      <c r="EG660" s="1533"/>
      <c r="EH660" s="1533" t="e">
        <f t="shared" si="6"/>
        <v>#VALUE!</v>
      </c>
      <c r="EI660" s="1533"/>
      <c r="EJ660" s="1533"/>
      <c r="EK660" s="1533"/>
      <c r="EL660" s="1533"/>
      <c r="EM660" s="1533" t="e">
        <f t="shared" si="7"/>
        <v>#VALUE!</v>
      </c>
      <c r="EN660" s="1533"/>
      <c r="EO660" s="1533"/>
      <c r="EP660" s="1533"/>
      <c r="EQ660" s="1533"/>
      <c r="ER660" s="1533" t="e">
        <f t="shared" si="8"/>
        <v>#VALUE!</v>
      </c>
      <c r="ES660" s="1533"/>
      <c r="ET660" s="1533"/>
      <c r="EU660" s="1533"/>
      <c r="EV660" s="1533"/>
      <c r="EW660" s="1533" t="e">
        <f t="shared" si="9"/>
        <v>#VALUE!</v>
      </c>
      <c r="EX660" s="1533"/>
      <c r="EY660" s="1533"/>
      <c r="EZ660" s="1533"/>
      <c r="FA660" s="1533"/>
    </row>
    <row r="661" spans="1:157" ht="12.95" customHeight="1">
      <c r="A661" s="22"/>
      <c r="B661" t="s">
        <v>580</v>
      </c>
      <c r="G661" s="1485" t="s">
        <v>2713</v>
      </c>
      <c r="H661" s="1485"/>
      <c r="I661" s="1485"/>
      <c r="J661" s="1485"/>
      <c r="K661" s="1485"/>
      <c r="L661" s="1485"/>
      <c r="M661" s="1485"/>
      <c r="N661" s="1485"/>
      <c r="O661" s="1485"/>
      <c r="P661" s="1485"/>
      <c r="Q661" s="1485"/>
      <c r="R661" s="1485"/>
      <c r="T661" s="22"/>
      <c r="U661" t="s">
        <v>580</v>
      </c>
      <c r="Z661" s="1485" t="s">
        <v>2709</v>
      </c>
      <c r="AA661" s="1485"/>
      <c r="AB661" s="1485"/>
      <c r="AC661" s="1485"/>
      <c r="AD661" s="1485"/>
      <c r="AE661" s="1485"/>
      <c r="AF661" s="1485"/>
      <c r="AG661" s="1485"/>
      <c r="AH661" s="1485"/>
      <c r="AI661" s="1485"/>
      <c r="AJ661" s="1485"/>
      <c r="AK661" s="1485"/>
      <c r="AZ661" s="34"/>
      <c r="BA661" s="34"/>
      <c r="BB661" s="34"/>
      <c r="BC661" s="34"/>
      <c r="BD661" s="34"/>
      <c r="BE661" s="34"/>
      <c r="BF661" s="34"/>
      <c r="BG661" s="34"/>
      <c r="BH661" s="34"/>
      <c r="BI661" s="34"/>
      <c r="BJ661" s="34"/>
      <c r="BK661" s="34"/>
      <c r="BL661" s="34"/>
      <c r="BM661" s="34"/>
      <c r="DX661" s="1533" t="e">
        <f t="shared" si="4"/>
        <v>#VALUE!</v>
      </c>
      <c r="DY661" s="1533"/>
      <c r="DZ661" s="1533"/>
      <c r="EA661" s="1533"/>
      <c r="EB661" s="1533"/>
      <c r="EC661" s="1533" t="e">
        <f t="shared" si="5"/>
        <v>#VALUE!</v>
      </c>
      <c r="ED661" s="1533"/>
      <c r="EE661" s="1533"/>
      <c r="EF661" s="1533"/>
      <c r="EG661" s="1533"/>
      <c r="EH661" s="1533" t="e">
        <f t="shared" si="6"/>
        <v>#VALUE!</v>
      </c>
      <c r="EI661" s="1533"/>
      <c r="EJ661" s="1533"/>
      <c r="EK661" s="1533"/>
      <c r="EL661" s="1533"/>
      <c r="EM661" s="1533" t="e">
        <f t="shared" si="7"/>
        <v>#VALUE!</v>
      </c>
      <c r="EN661" s="1533"/>
      <c r="EO661" s="1533"/>
      <c r="EP661" s="1533"/>
      <c r="EQ661" s="1533"/>
      <c r="ER661" s="1533" t="e">
        <f t="shared" si="8"/>
        <v>#VALUE!</v>
      </c>
      <c r="ES661" s="1533"/>
      <c r="ET661" s="1533"/>
      <c r="EU661" s="1533"/>
      <c r="EV661" s="1533"/>
      <c r="EW661" s="1533" t="e">
        <f t="shared" si="9"/>
        <v>#VALUE!</v>
      </c>
      <c r="EX661" s="1533"/>
      <c r="EY661" s="1533"/>
      <c r="EZ661" s="1533"/>
      <c r="FA661" s="1533"/>
    </row>
    <row r="662" spans="1:157" ht="12.95" customHeight="1">
      <c r="A662" s="22"/>
      <c r="B662" t="s">
        <v>17</v>
      </c>
      <c r="G662" s="1485" t="s">
        <v>2714</v>
      </c>
      <c r="H662" s="1485"/>
      <c r="I662" s="1485"/>
      <c r="J662" s="1485"/>
      <c r="K662" s="1485"/>
      <c r="L662" s="1485"/>
      <c r="M662" s="1485"/>
      <c r="N662" s="1485"/>
      <c r="O662" s="1485"/>
      <c r="P662" s="1485"/>
      <c r="Q662" s="1485"/>
      <c r="R662" s="1485"/>
      <c r="T662" s="22"/>
      <c r="U662" t="s">
        <v>17</v>
      </c>
      <c r="Z662" s="1485" t="s">
        <v>2710</v>
      </c>
      <c r="AA662" s="1485"/>
      <c r="AB662" s="1485"/>
      <c r="AC662" s="1485"/>
      <c r="AD662" s="1485"/>
      <c r="AE662" s="1485"/>
      <c r="AF662" s="1485"/>
      <c r="AG662" s="1485"/>
      <c r="AH662" s="1485"/>
      <c r="AI662" s="1485"/>
      <c r="AJ662" s="1485"/>
      <c r="AK662" s="1485"/>
      <c r="AZ662" s="34"/>
      <c r="BA662" s="34"/>
      <c r="BB662" s="34"/>
      <c r="BC662" s="34"/>
      <c r="BD662" s="34"/>
      <c r="BE662" s="34"/>
      <c r="BF662" s="34"/>
      <c r="BG662" s="34"/>
      <c r="BH662" s="34"/>
      <c r="BI662" s="34"/>
      <c r="BJ662" s="34"/>
      <c r="BK662" s="34"/>
      <c r="BL662" s="34"/>
      <c r="BM662" s="34"/>
      <c r="DX662" s="1533" t="e">
        <f t="shared" si="4"/>
        <v>#VALUE!</v>
      </c>
      <c r="DY662" s="1533"/>
      <c r="DZ662" s="1533"/>
      <c r="EA662" s="1533"/>
      <c r="EB662" s="1533"/>
      <c r="EC662" s="1533" t="e">
        <f t="shared" si="5"/>
        <v>#VALUE!</v>
      </c>
      <c r="ED662" s="1533"/>
      <c r="EE662" s="1533"/>
      <c r="EF662" s="1533"/>
      <c r="EG662" s="1533"/>
      <c r="EH662" s="1533" t="e">
        <f t="shared" si="6"/>
        <v>#VALUE!</v>
      </c>
      <c r="EI662" s="1533"/>
      <c r="EJ662" s="1533"/>
      <c r="EK662" s="1533"/>
      <c r="EL662" s="1533"/>
      <c r="EM662" s="1533" t="e">
        <f t="shared" si="7"/>
        <v>#VALUE!</v>
      </c>
      <c r="EN662" s="1533"/>
      <c r="EO662" s="1533"/>
      <c r="EP662" s="1533"/>
      <c r="EQ662" s="1533"/>
      <c r="ER662" s="1533" t="e">
        <f t="shared" si="8"/>
        <v>#VALUE!</v>
      </c>
      <c r="ES662" s="1533"/>
      <c r="ET662" s="1533"/>
      <c r="EU662" s="1533"/>
      <c r="EV662" s="1533"/>
      <c r="EW662" s="1533" t="e">
        <f t="shared" si="9"/>
        <v>#VALUE!</v>
      </c>
      <c r="EX662" s="1533"/>
      <c r="EY662" s="1533"/>
      <c r="EZ662" s="1533"/>
      <c r="FA662" s="1533"/>
    </row>
    <row r="663" spans="1:157" ht="12.95" customHeight="1">
      <c r="A663" s="22"/>
      <c r="B663" t="s">
        <v>316</v>
      </c>
      <c r="G663" s="1529">
        <v>7189871931</v>
      </c>
      <c r="H663" s="1529"/>
      <c r="I663" s="1529"/>
      <c r="J663" s="1529"/>
      <c r="K663" s="1529"/>
      <c r="L663" s="1529"/>
      <c r="O663" s="33" t="s">
        <v>206</v>
      </c>
      <c r="P663" s="1519"/>
      <c r="Q663" s="1519"/>
      <c r="R663" s="1519"/>
      <c r="T663" s="22"/>
      <c r="U663" t="s">
        <v>316</v>
      </c>
      <c r="Z663" s="1529">
        <v>7704338211</v>
      </c>
      <c r="AA663" s="1529"/>
      <c r="AB663" s="1529"/>
      <c r="AC663" s="1529"/>
      <c r="AD663" s="1529"/>
      <c r="AE663" s="1529"/>
      <c r="AH663" s="33" t="s">
        <v>206</v>
      </c>
      <c r="AI663" s="1519"/>
      <c r="AJ663" s="1519"/>
      <c r="AK663" s="1519"/>
      <c r="AZ663" s="34"/>
      <c r="BA663" s="34"/>
      <c r="BB663" s="34"/>
      <c r="BC663" s="34"/>
      <c r="BD663" s="34"/>
      <c r="BE663" s="34"/>
      <c r="BF663" s="34"/>
      <c r="BG663" s="34"/>
      <c r="BH663" s="34"/>
      <c r="BI663" s="34"/>
      <c r="BJ663" s="34"/>
      <c r="BK663" s="34"/>
      <c r="BL663" s="34"/>
      <c r="BM663" s="34"/>
      <c r="DX663" s="1533" t="e">
        <f t="shared" si="4"/>
        <v>#VALUE!</v>
      </c>
      <c r="DY663" s="1533"/>
      <c r="DZ663" s="1533"/>
      <c r="EA663" s="1533"/>
      <c r="EB663" s="1533"/>
      <c r="EC663" s="1533" t="e">
        <f t="shared" si="5"/>
        <v>#VALUE!</v>
      </c>
      <c r="ED663" s="1533"/>
      <c r="EE663" s="1533"/>
      <c r="EF663" s="1533"/>
      <c r="EG663" s="1533"/>
      <c r="EH663" s="1533" t="e">
        <f t="shared" si="6"/>
        <v>#VALUE!</v>
      </c>
      <c r="EI663" s="1533"/>
      <c r="EJ663" s="1533"/>
      <c r="EK663" s="1533"/>
      <c r="EL663" s="1533"/>
      <c r="EM663" s="1533" t="e">
        <f t="shared" si="7"/>
        <v>#VALUE!</v>
      </c>
      <c r="EN663" s="1533"/>
      <c r="EO663" s="1533"/>
      <c r="EP663" s="1533"/>
      <c r="EQ663" s="1533"/>
      <c r="ER663" s="1533" t="e">
        <f t="shared" si="8"/>
        <v>#VALUE!</v>
      </c>
      <c r="ES663" s="1533"/>
      <c r="ET663" s="1533"/>
      <c r="EU663" s="1533"/>
      <c r="EV663" s="1533"/>
      <c r="EW663" s="1533" t="e">
        <f t="shared" si="9"/>
        <v>#VALUE!</v>
      </c>
      <c r="EX663" s="1533"/>
      <c r="EY663" s="1533"/>
      <c r="EZ663" s="1533"/>
      <c r="FA663" s="1533"/>
    </row>
    <row r="664" spans="1:157" ht="12.95" customHeight="1">
      <c r="A664" s="22"/>
      <c r="B664" t="s">
        <v>18</v>
      </c>
      <c r="H664" s="1504" t="str">
        <f>M637</f>
        <v>Loan, Residual Receipts</v>
      </c>
      <c r="I664" s="1504"/>
      <c r="J664" s="1504"/>
      <c r="K664" s="1504"/>
      <c r="L664" s="1504"/>
      <c r="M664" s="1504"/>
      <c r="N664" s="1504"/>
      <c r="O664" s="1504"/>
      <c r="P664" s="1504"/>
      <c r="Q664" s="1504"/>
      <c r="R664" s="1504"/>
      <c r="T664" s="22"/>
      <c r="U664" t="s">
        <v>18</v>
      </c>
      <c r="AA664" s="1504" t="str">
        <f>M638</f>
        <v>Loan, Residual Receipts</v>
      </c>
      <c r="AB664" s="1504"/>
      <c r="AC664" s="1504"/>
      <c r="AD664" s="1504"/>
      <c r="AE664" s="1504"/>
      <c r="AF664" s="1504"/>
      <c r="AG664" s="1504"/>
      <c r="AH664" s="1504"/>
      <c r="AI664" s="1504"/>
      <c r="AJ664" s="1504"/>
      <c r="AK664" s="1504"/>
      <c r="AZ664" s="34"/>
      <c r="BA664" s="34"/>
      <c r="BB664" s="34"/>
      <c r="BC664" s="34"/>
      <c r="BD664" s="34"/>
      <c r="BE664" s="34"/>
      <c r="BF664" s="34"/>
      <c r="BG664" s="34"/>
      <c r="BH664" s="34"/>
      <c r="BI664" s="34"/>
      <c r="BJ664" s="34"/>
      <c r="BK664" s="34"/>
      <c r="BL664" s="34"/>
      <c r="BM664" s="34"/>
      <c r="DX664" s="1533" t="e">
        <f t="shared" si="4"/>
        <v>#VALUE!</v>
      </c>
      <c r="DY664" s="1533"/>
      <c r="DZ664" s="1533"/>
      <c r="EA664" s="1533"/>
      <c r="EB664" s="1533"/>
      <c r="EC664" s="1533" t="e">
        <f t="shared" si="5"/>
        <v>#VALUE!</v>
      </c>
      <c r="ED664" s="1533"/>
      <c r="EE664" s="1533"/>
      <c r="EF664" s="1533"/>
      <c r="EG664" s="1533"/>
      <c r="EH664" s="1533" t="e">
        <f t="shared" si="6"/>
        <v>#VALUE!</v>
      </c>
      <c r="EI664" s="1533"/>
      <c r="EJ664" s="1533"/>
      <c r="EK664" s="1533"/>
      <c r="EL664" s="1533"/>
      <c r="EM664" s="1533" t="e">
        <f t="shared" si="7"/>
        <v>#VALUE!</v>
      </c>
      <c r="EN664" s="1533"/>
      <c r="EO664" s="1533"/>
      <c r="EP664" s="1533"/>
      <c r="EQ664" s="1533"/>
      <c r="ER664" s="1533" t="e">
        <f t="shared" si="8"/>
        <v>#VALUE!</v>
      </c>
      <c r="ES664" s="1533"/>
      <c r="ET664" s="1533"/>
      <c r="EU664" s="1533"/>
      <c r="EV664" s="1533"/>
      <c r="EW664" s="1533" t="e">
        <f t="shared" si="9"/>
        <v>#VALUE!</v>
      </c>
      <c r="EX664" s="1533"/>
      <c r="EY664" s="1533"/>
      <c r="EZ664" s="1533"/>
      <c r="FA664" s="1533"/>
    </row>
    <row r="665" spans="1:157" ht="12.95" customHeight="1">
      <c r="A665" s="22"/>
      <c r="B665" t="s">
        <v>20</v>
      </c>
      <c r="N665" s="1340" t="s">
        <v>545</v>
      </c>
      <c r="O665" s="1340"/>
      <c r="T665" s="22"/>
      <c r="U665" t="s">
        <v>20</v>
      </c>
      <c r="AG665" s="1340" t="s">
        <v>545</v>
      </c>
      <c r="AH665" s="1340"/>
      <c r="AZ665" s="34"/>
      <c r="BA665" s="34"/>
      <c r="BB665" s="34"/>
      <c r="BC665" s="34"/>
      <c r="BD665" s="34"/>
      <c r="BE665" s="34"/>
      <c r="BF665" s="34"/>
      <c r="BG665" s="34"/>
      <c r="BH665" s="34"/>
      <c r="BI665" s="34"/>
      <c r="BJ665" s="34"/>
      <c r="BK665" s="34"/>
      <c r="BL665" s="34"/>
      <c r="BM665" s="34"/>
      <c r="DX665" s="1533" t="e">
        <f t="shared" si="4"/>
        <v>#VALUE!</v>
      </c>
      <c r="DY665" s="1533"/>
      <c r="DZ665" s="1533"/>
      <c r="EA665" s="1533"/>
      <c r="EB665" s="1533"/>
      <c r="EC665" s="1533" t="e">
        <f t="shared" si="5"/>
        <v>#VALUE!</v>
      </c>
      <c r="ED665" s="1533"/>
      <c r="EE665" s="1533"/>
      <c r="EF665" s="1533"/>
      <c r="EG665" s="1533"/>
      <c r="EH665" s="1533" t="e">
        <f t="shared" si="6"/>
        <v>#VALUE!</v>
      </c>
      <c r="EI665" s="1533"/>
      <c r="EJ665" s="1533"/>
      <c r="EK665" s="1533"/>
      <c r="EL665" s="1533"/>
      <c r="EM665" s="1533" t="e">
        <f t="shared" si="7"/>
        <v>#VALUE!</v>
      </c>
      <c r="EN665" s="1533"/>
      <c r="EO665" s="1533"/>
      <c r="EP665" s="1533"/>
      <c r="EQ665" s="1533"/>
      <c r="ER665" s="1533" t="e">
        <f t="shared" si="8"/>
        <v>#VALUE!</v>
      </c>
      <c r="ES665" s="1533"/>
      <c r="ET665" s="1533"/>
      <c r="EU665" s="1533"/>
      <c r="EV665" s="1533"/>
      <c r="EW665" s="1533" t="e">
        <f t="shared" si="9"/>
        <v>#VALUE!</v>
      </c>
      <c r="EX665" s="1533"/>
      <c r="EY665" s="1533"/>
      <c r="EZ665" s="1533"/>
      <c r="FA665" s="1533"/>
    </row>
    <row r="666" spans="1:157" ht="12.95" customHeight="1">
      <c r="A666" s="22"/>
      <c r="T666" s="22"/>
      <c r="AZ666" s="34"/>
      <c r="BA666" s="34"/>
      <c r="BB666" s="34"/>
      <c r="BC666" s="34"/>
      <c r="BD666" s="34"/>
      <c r="BE666" s="34"/>
      <c r="BF666" s="34"/>
      <c r="BG666" s="34"/>
      <c r="BH666" s="34"/>
      <c r="BI666" s="34"/>
      <c r="BJ666" s="34"/>
      <c r="BK666" s="34"/>
      <c r="BL666" s="34"/>
      <c r="BM666" s="34"/>
      <c r="DX666" s="1533" t="e">
        <f t="shared" si="4"/>
        <v>#VALUE!</v>
      </c>
      <c r="DY666" s="1533"/>
      <c r="DZ666" s="1533"/>
      <c r="EA666" s="1533"/>
      <c r="EB666" s="1533"/>
      <c r="EC666" s="1533" t="e">
        <f t="shared" si="5"/>
        <v>#VALUE!</v>
      </c>
      <c r="ED666" s="1533"/>
      <c r="EE666" s="1533"/>
      <c r="EF666" s="1533"/>
      <c r="EG666" s="1533"/>
      <c r="EH666" s="1533" t="e">
        <f t="shared" si="6"/>
        <v>#VALUE!</v>
      </c>
      <c r="EI666" s="1533"/>
      <c r="EJ666" s="1533"/>
      <c r="EK666" s="1533"/>
      <c r="EL666" s="1533"/>
      <c r="EM666" s="1533" t="e">
        <f t="shared" si="7"/>
        <v>#VALUE!</v>
      </c>
      <c r="EN666" s="1533"/>
      <c r="EO666" s="1533"/>
      <c r="EP666" s="1533"/>
      <c r="EQ666" s="1533"/>
      <c r="ER666" s="1533" t="e">
        <f t="shared" si="8"/>
        <v>#VALUE!</v>
      </c>
      <c r="ES666" s="1533"/>
      <c r="ET666" s="1533"/>
      <c r="EU666" s="1533"/>
      <c r="EV666" s="1533"/>
      <c r="EW666" s="1533" t="e">
        <f t="shared" si="9"/>
        <v>#VALUE!</v>
      </c>
      <c r="EX666" s="1533"/>
      <c r="EY666" s="1533"/>
      <c r="EZ666" s="1533"/>
      <c r="FA666" s="1533"/>
    </row>
    <row r="667" spans="1:157" ht="12.95" customHeight="1">
      <c r="A667" s="55" t="s">
        <v>763</v>
      </c>
      <c r="B667" t="s">
        <v>463</v>
      </c>
      <c r="G667" s="1484" t="str">
        <f>C639</f>
        <v>R4 Capital - Historic Tax Credits</v>
      </c>
      <c r="H667" s="1484"/>
      <c r="I667" s="1484"/>
      <c r="J667" s="1484"/>
      <c r="K667" s="1484"/>
      <c r="L667" s="1484"/>
      <c r="M667" s="1484"/>
      <c r="N667" s="1484"/>
      <c r="O667" s="1484"/>
      <c r="P667" s="1484"/>
      <c r="Q667" s="1484"/>
      <c r="R667" s="1484"/>
      <c r="T667" s="55" t="s">
        <v>584</v>
      </c>
      <c r="U667" t="s">
        <v>463</v>
      </c>
      <c r="Z667" s="1484" t="str">
        <f>C640</f>
        <v>U.S.VETS Housing Corporation</v>
      </c>
      <c r="AA667" s="1484"/>
      <c r="AB667" s="1484"/>
      <c r="AC667" s="1484"/>
      <c r="AD667" s="1484"/>
      <c r="AE667" s="1484"/>
      <c r="AF667" s="1484"/>
      <c r="AG667" s="1484"/>
      <c r="AH667" s="1484"/>
      <c r="AI667" s="1484"/>
      <c r="AJ667" s="1484"/>
      <c r="AK667" s="1484"/>
      <c r="AZ667" s="34"/>
      <c r="BA667" s="34"/>
      <c r="BB667" s="34"/>
      <c r="BC667" s="34"/>
      <c r="BD667" s="34"/>
      <c r="BE667" s="34"/>
      <c r="BF667" s="34"/>
      <c r="BG667" s="34"/>
      <c r="BH667" s="34"/>
      <c r="BI667" s="34"/>
      <c r="BJ667" s="34"/>
      <c r="BK667" s="34"/>
      <c r="BL667" s="34"/>
      <c r="BM667" s="34"/>
      <c r="DX667" s="1533" t="e">
        <f t="shared" si="4"/>
        <v>#VALUE!</v>
      </c>
      <c r="DY667" s="1533"/>
      <c r="DZ667" s="1533"/>
      <c r="EA667" s="1533"/>
      <c r="EB667" s="1533"/>
      <c r="EC667" s="1533" t="e">
        <f t="shared" si="5"/>
        <v>#VALUE!</v>
      </c>
      <c r="ED667" s="1533"/>
      <c r="EE667" s="1533"/>
      <c r="EF667" s="1533"/>
      <c r="EG667" s="1533"/>
      <c r="EH667" s="1533" t="e">
        <f t="shared" si="6"/>
        <v>#VALUE!</v>
      </c>
      <c r="EI667" s="1533"/>
      <c r="EJ667" s="1533"/>
      <c r="EK667" s="1533"/>
      <c r="EL667" s="1533"/>
      <c r="EM667" s="1533" t="e">
        <f t="shared" si="7"/>
        <v>#VALUE!</v>
      </c>
      <c r="EN667" s="1533"/>
      <c r="EO667" s="1533"/>
      <c r="EP667" s="1533"/>
      <c r="EQ667" s="1533"/>
      <c r="ER667" s="1533" t="e">
        <f t="shared" si="8"/>
        <v>#VALUE!</v>
      </c>
      <c r="ES667" s="1533"/>
      <c r="ET667" s="1533"/>
      <c r="EU667" s="1533"/>
      <c r="EV667" s="1533"/>
      <c r="EW667" s="1533" t="e">
        <f t="shared" si="9"/>
        <v>#VALUE!</v>
      </c>
      <c r="EX667" s="1533"/>
      <c r="EY667" s="1533"/>
      <c r="EZ667" s="1533"/>
      <c r="FA667" s="1533"/>
    </row>
    <row r="668" spans="1:157" ht="12.95" customHeight="1">
      <c r="A668" s="22"/>
      <c r="B668" t="s">
        <v>85</v>
      </c>
      <c r="G668" s="1504" t="s">
        <v>2742</v>
      </c>
      <c r="H668" s="1504"/>
      <c r="I668" s="1504"/>
      <c r="J668" s="1504"/>
      <c r="K668" s="1504"/>
      <c r="L668" s="1504"/>
      <c r="M668" s="1504"/>
      <c r="N668" s="1504"/>
      <c r="O668" s="1504"/>
      <c r="P668" s="1504"/>
      <c r="Q668" s="1504"/>
      <c r="R668" s="1504"/>
      <c r="T668" s="22"/>
      <c r="U668" t="s">
        <v>85</v>
      </c>
      <c r="Z668" s="1504" t="s">
        <v>2711</v>
      </c>
      <c r="AA668" s="1504"/>
      <c r="AB668" s="1504"/>
      <c r="AC668" s="1504"/>
      <c r="AD668" s="1504"/>
      <c r="AE668" s="1504"/>
      <c r="AF668" s="1504"/>
      <c r="AG668" s="1504"/>
      <c r="AH668" s="1504"/>
      <c r="AI668" s="1504"/>
      <c r="AJ668" s="1504"/>
      <c r="AK668" s="1504"/>
      <c r="AZ668" s="34"/>
      <c r="BA668" s="34"/>
      <c r="BB668" s="34"/>
      <c r="BC668" s="34"/>
      <c r="BD668" s="34"/>
      <c r="BE668" s="34"/>
      <c r="BF668" s="34"/>
      <c r="BG668" s="34"/>
      <c r="BH668" s="34"/>
      <c r="BI668" s="34"/>
      <c r="BJ668" s="34"/>
      <c r="BK668" s="34"/>
      <c r="BL668" s="34"/>
      <c r="BM668" s="34"/>
      <c r="DX668" s="1533" t="e">
        <f t="shared" si="4"/>
        <v>#VALUE!</v>
      </c>
      <c r="DY668" s="1533"/>
      <c r="DZ668" s="1533"/>
      <c r="EA668" s="1533"/>
      <c r="EB668" s="1533"/>
      <c r="EC668" s="1533" t="e">
        <f t="shared" si="5"/>
        <v>#VALUE!</v>
      </c>
      <c r="ED668" s="1533"/>
      <c r="EE668" s="1533"/>
      <c r="EF668" s="1533"/>
      <c r="EG668" s="1533"/>
      <c r="EH668" s="1533" t="e">
        <f t="shared" si="6"/>
        <v>#VALUE!</v>
      </c>
      <c r="EI668" s="1533"/>
      <c r="EJ668" s="1533"/>
      <c r="EK668" s="1533"/>
      <c r="EL668" s="1533"/>
      <c r="EM668" s="1533" t="e">
        <f t="shared" si="7"/>
        <v>#VALUE!</v>
      </c>
      <c r="EN668" s="1533"/>
      <c r="EO668" s="1533"/>
      <c r="EP668" s="1533"/>
      <c r="EQ668" s="1533"/>
      <c r="ER668" s="1533" t="e">
        <f t="shared" si="8"/>
        <v>#VALUE!</v>
      </c>
      <c r="ES668" s="1533"/>
      <c r="ET668" s="1533"/>
      <c r="EU668" s="1533"/>
      <c r="EV668" s="1533"/>
      <c r="EW668" s="1533" t="e">
        <f t="shared" si="9"/>
        <v>#VALUE!</v>
      </c>
      <c r="EX668" s="1533"/>
      <c r="EY668" s="1533"/>
      <c r="EZ668" s="1533"/>
      <c r="FA668" s="1533"/>
    </row>
    <row r="669" spans="1:157" ht="12.95" customHeight="1">
      <c r="A669" s="22"/>
      <c r="B669" t="s">
        <v>580</v>
      </c>
      <c r="G669" s="1504" t="s">
        <v>2743</v>
      </c>
      <c r="H669" s="1504"/>
      <c r="I669" s="1504"/>
      <c r="J669" s="1504"/>
      <c r="K669" s="1504"/>
      <c r="L669" s="1504"/>
      <c r="M669" s="1504"/>
      <c r="N669" s="1504"/>
      <c r="O669" s="1504"/>
      <c r="P669" s="1504"/>
      <c r="Q669" s="1504"/>
      <c r="R669" s="1504"/>
      <c r="T669" s="22"/>
      <c r="U669" t="s">
        <v>580</v>
      </c>
      <c r="Z669" s="1485" t="s">
        <v>494</v>
      </c>
      <c r="AA669" s="1485"/>
      <c r="AB669" s="1485"/>
      <c r="AC669" s="1485"/>
      <c r="AD669" s="1485"/>
      <c r="AE669" s="1485"/>
      <c r="AF669" s="1485"/>
      <c r="AG669" s="1485"/>
      <c r="AH669" s="1485"/>
      <c r="AI669" s="1485"/>
      <c r="AJ669" s="1485"/>
      <c r="AK669" s="1485"/>
      <c r="AZ669" s="34"/>
      <c r="BA669" s="34"/>
      <c r="BB669" s="34"/>
      <c r="BC669" s="34"/>
      <c r="BD669" s="34"/>
      <c r="BE669" s="34"/>
      <c r="BF669" s="34"/>
      <c r="BG669" s="34"/>
      <c r="BH669" s="34"/>
      <c r="BI669" s="34"/>
      <c r="BJ669" s="34"/>
      <c r="BK669" s="34"/>
      <c r="BL669" s="34"/>
      <c r="BM669" s="34"/>
      <c r="DX669" s="1533" t="e">
        <f t="shared" si="4"/>
        <v>#VALUE!</v>
      </c>
      <c r="DY669" s="1533"/>
      <c r="DZ669" s="1533"/>
      <c r="EA669" s="1533"/>
      <c r="EB669" s="1533"/>
      <c r="EC669" s="1533" t="e">
        <f t="shared" si="5"/>
        <v>#VALUE!</v>
      </c>
      <c r="ED669" s="1533"/>
      <c r="EE669" s="1533"/>
      <c r="EF669" s="1533"/>
      <c r="EG669" s="1533"/>
      <c r="EH669" s="1533" t="e">
        <f t="shared" si="6"/>
        <v>#VALUE!</v>
      </c>
      <c r="EI669" s="1533"/>
      <c r="EJ669" s="1533"/>
      <c r="EK669" s="1533"/>
      <c r="EL669" s="1533"/>
      <c r="EM669" s="1533" t="e">
        <f t="shared" si="7"/>
        <v>#VALUE!</v>
      </c>
      <c r="EN669" s="1533"/>
      <c r="EO669" s="1533"/>
      <c r="EP669" s="1533"/>
      <c r="EQ669" s="1533"/>
      <c r="ER669" s="1533" t="e">
        <f t="shared" si="8"/>
        <v>#VALUE!</v>
      </c>
      <c r="ES669" s="1533"/>
      <c r="ET669" s="1533"/>
      <c r="EU669" s="1533"/>
      <c r="EV669" s="1533"/>
      <c r="EW669" s="1533" t="e">
        <f t="shared" si="9"/>
        <v>#VALUE!</v>
      </c>
      <c r="EX669" s="1533"/>
      <c r="EY669" s="1533"/>
      <c r="EZ669" s="1533"/>
      <c r="FA669" s="1533"/>
    </row>
    <row r="670" spans="1:157" ht="12.95" customHeight="1">
      <c r="A670" s="22"/>
      <c r="B670" t="s">
        <v>17</v>
      </c>
      <c r="G670" s="1504" t="s">
        <v>2733</v>
      </c>
      <c r="H670" s="1504"/>
      <c r="I670" s="1504"/>
      <c r="J670" s="1504"/>
      <c r="K670" s="1504"/>
      <c r="L670" s="1504"/>
      <c r="M670" s="1504"/>
      <c r="N670" s="1504"/>
      <c r="O670" s="1504"/>
      <c r="P670" s="1504"/>
      <c r="Q670" s="1504"/>
      <c r="R670" s="1504"/>
      <c r="T670" s="22"/>
      <c r="U670" t="s">
        <v>17</v>
      </c>
      <c r="Z670" s="1485" t="s">
        <v>2648</v>
      </c>
      <c r="AA670" s="1485"/>
      <c r="AB670" s="1485"/>
      <c r="AC670" s="1485"/>
      <c r="AD670" s="1485"/>
      <c r="AE670" s="1485"/>
      <c r="AF670" s="1485"/>
      <c r="AG670" s="1485"/>
      <c r="AH670" s="1485"/>
      <c r="AI670" s="1485"/>
      <c r="AJ670" s="1485"/>
      <c r="AK670" s="148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3" t="e">
        <f t="shared" si="4"/>
        <v>#VALUE!</v>
      </c>
      <c r="DY670" s="1533"/>
      <c r="DZ670" s="1533"/>
      <c r="EA670" s="1533"/>
      <c r="EB670" s="1533"/>
      <c r="EC670" s="1533" t="e">
        <f t="shared" si="5"/>
        <v>#VALUE!</v>
      </c>
      <c r="ED670" s="1533"/>
      <c r="EE670" s="1533"/>
      <c r="EF670" s="1533"/>
      <c r="EG670" s="1533"/>
      <c r="EH670" s="1533" t="e">
        <f t="shared" si="6"/>
        <v>#VALUE!</v>
      </c>
      <c r="EI670" s="1533"/>
      <c r="EJ670" s="1533"/>
      <c r="EK670" s="1533"/>
      <c r="EL670" s="1533"/>
      <c r="EM670" s="1533" t="e">
        <f t="shared" si="7"/>
        <v>#VALUE!</v>
      </c>
      <c r="EN670" s="1533"/>
      <c r="EO670" s="1533"/>
      <c r="EP670" s="1533"/>
      <c r="EQ670" s="1533"/>
      <c r="ER670" s="1533" t="e">
        <f t="shared" si="8"/>
        <v>#VALUE!</v>
      </c>
      <c r="ES670" s="1533"/>
      <c r="ET670" s="1533"/>
      <c r="EU670" s="1533"/>
      <c r="EV670" s="1533"/>
      <c r="EW670" s="1533" t="e">
        <f t="shared" si="9"/>
        <v>#VALUE!</v>
      </c>
      <c r="EX670" s="1533"/>
      <c r="EY670" s="1533"/>
      <c r="EZ670" s="1533"/>
      <c r="FA670" s="1533"/>
    </row>
    <row r="671" spans="1:157" ht="12.95" customHeight="1">
      <c r="A671" s="22"/>
      <c r="B671" t="s">
        <v>316</v>
      </c>
      <c r="G671" s="1529">
        <v>9494381056</v>
      </c>
      <c r="H671" s="1529"/>
      <c r="I671" s="1529"/>
      <c r="J671" s="1529"/>
      <c r="K671" s="1529"/>
      <c r="L671" s="1529"/>
      <c r="O671" s="33" t="s">
        <v>206</v>
      </c>
      <c r="P671" s="1519"/>
      <c r="Q671" s="1519"/>
      <c r="R671" s="1519"/>
      <c r="T671" s="22"/>
      <c r="U671" t="s">
        <v>316</v>
      </c>
      <c r="Z671" s="1529">
        <v>2136107649</v>
      </c>
      <c r="AA671" s="1529"/>
      <c r="AB671" s="1529"/>
      <c r="AC671" s="1529"/>
      <c r="AD671" s="1529"/>
      <c r="AE671" s="1529"/>
      <c r="AH671" s="33" t="s">
        <v>206</v>
      </c>
      <c r="AI671" s="1519"/>
      <c r="AJ671" s="1519"/>
      <c r="AK671" s="151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3" t="e">
        <f t="shared" si="4"/>
        <v>#VALUE!</v>
      </c>
      <c r="DY671" s="1533"/>
      <c r="DZ671" s="1533"/>
      <c r="EA671" s="1533"/>
      <c r="EB671" s="1533"/>
      <c r="EC671" s="1533" t="e">
        <f t="shared" si="5"/>
        <v>#VALUE!</v>
      </c>
      <c r="ED671" s="1533"/>
      <c r="EE671" s="1533"/>
      <c r="EF671" s="1533"/>
      <c r="EG671" s="1533"/>
      <c r="EH671" s="1533" t="e">
        <f t="shared" si="6"/>
        <v>#VALUE!</v>
      </c>
      <c r="EI671" s="1533"/>
      <c r="EJ671" s="1533"/>
      <c r="EK671" s="1533"/>
      <c r="EL671" s="1533"/>
      <c r="EM671" s="1533" t="e">
        <f t="shared" si="7"/>
        <v>#VALUE!</v>
      </c>
      <c r="EN671" s="1533"/>
      <c r="EO671" s="1533"/>
      <c r="EP671" s="1533"/>
      <c r="EQ671" s="1533"/>
      <c r="ER671" s="1533" t="e">
        <f t="shared" si="8"/>
        <v>#VALUE!</v>
      </c>
      <c r="ES671" s="1533"/>
      <c r="ET671" s="1533"/>
      <c r="EU671" s="1533"/>
      <c r="EV671" s="1533"/>
      <c r="EW671" s="1533" t="e">
        <f t="shared" si="9"/>
        <v>#VALUE!</v>
      </c>
      <c r="EX671" s="1533"/>
      <c r="EY671" s="1533"/>
      <c r="EZ671" s="1533"/>
      <c r="FA671" s="1533"/>
    </row>
    <row r="672" spans="1:157" ht="12.95" customHeight="1">
      <c r="A672" s="22"/>
      <c r="B672" t="s">
        <v>18</v>
      </c>
      <c r="H672" s="1504" t="str">
        <f>M639</f>
        <v>Equity, LIHTC Investor</v>
      </c>
      <c r="I672" s="1504"/>
      <c r="J672" s="1504"/>
      <c r="K672" s="1504"/>
      <c r="L672" s="1504"/>
      <c r="M672" s="1504"/>
      <c r="N672" s="1504"/>
      <c r="O672" s="1504"/>
      <c r="P672" s="1504"/>
      <c r="Q672" s="1504"/>
      <c r="R672" s="1504"/>
      <c r="T672" s="22"/>
      <c r="U672" t="s">
        <v>18</v>
      </c>
      <c r="AA672" s="1504" t="str">
        <f>M640</f>
        <v>Developer Fee, Deferral</v>
      </c>
      <c r="AB672" s="1504"/>
      <c r="AC672" s="1504"/>
      <c r="AD672" s="1504"/>
      <c r="AE672" s="1504"/>
      <c r="AF672" s="1504"/>
      <c r="AG672" s="1504"/>
      <c r="AH672" s="1504"/>
      <c r="AI672" s="1504"/>
      <c r="AJ672" s="1504"/>
      <c r="AK672" s="150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3" t="e">
        <f t="shared" si="4"/>
        <v>#VALUE!</v>
      </c>
      <c r="DY672" s="1533"/>
      <c r="DZ672" s="1533"/>
      <c r="EA672" s="1533"/>
      <c r="EB672" s="1533"/>
      <c r="EC672" s="1533" t="e">
        <f t="shared" si="5"/>
        <v>#VALUE!</v>
      </c>
      <c r="ED672" s="1533"/>
      <c r="EE672" s="1533"/>
      <c r="EF672" s="1533"/>
      <c r="EG672" s="1533"/>
      <c r="EH672" s="1533" t="e">
        <f t="shared" si="6"/>
        <v>#VALUE!</v>
      </c>
      <c r="EI672" s="1533"/>
      <c r="EJ672" s="1533"/>
      <c r="EK672" s="1533"/>
      <c r="EL672" s="1533"/>
      <c r="EM672" s="1533" t="e">
        <f t="shared" si="7"/>
        <v>#VALUE!</v>
      </c>
      <c r="EN672" s="1533"/>
      <c r="EO672" s="1533"/>
      <c r="EP672" s="1533"/>
      <c r="EQ672" s="1533"/>
      <c r="ER672" s="1533" t="e">
        <f t="shared" si="8"/>
        <v>#VALUE!</v>
      </c>
      <c r="ES672" s="1533"/>
      <c r="ET672" s="1533"/>
      <c r="EU672" s="1533"/>
      <c r="EV672" s="1533"/>
      <c r="EW672" s="1533" t="e">
        <f t="shared" si="9"/>
        <v>#VALUE!</v>
      </c>
      <c r="EX672" s="1533"/>
      <c r="EY672" s="1533"/>
      <c r="EZ672" s="1533"/>
      <c r="FA672" s="1533"/>
    </row>
    <row r="673" spans="1:157" ht="12.95" customHeight="1">
      <c r="A673" s="22"/>
      <c r="B673" t="s">
        <v>20</v>
      </c>
      <c r="N673" s="1340" t="s">
        <v>545</v>
      </c>
      <c r="O673" s="1340"/>
      <c r="T673" s="22"/>
      <c r="U673" t="s">
        <v>20</v>
      </c>
      <c r="AG673" s="1340" t="s">
        <v>545</v>
      </c>
      <c r="AH673" s="134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3" t="e">
        <f t="shared" si="4"/>
        <v>#VALUE!</v>
      </c>
      <c r="DY673" s="1533"/>
      <c r="DZ673" s="1533"/>
      <c r="EA673" s="1533"/>
      <c r="EB673" s="1533"/>
      <c r="EC673" s="1533" t="e">
        <f t="shared" si="5"/>
        <v>#VALUE!</v>
      </c>
      <c r="ED673" s="1533"/>
      <c r="EE673" s="1533"/>
      <c r="EF673" s="1533"/>
      <c r="EG673" s="1533"/>
      <c r="EH673" s="1533" t="e">
        <f t="shared" si="6"/>
        <v>#VALUE!</v>
      </c>
      <c r="EI673" s="1533"/>
      <c r="EJ673" s="1533"/>
      <c r="EK673" s="1533"/>
      <c r="EL673" s="1533"/>
      <c r="EM673" s="1533" t="e">
        <f t="shared" si="7"/>
        <v>#VALUE!</v>
      </c>
      <c r="EN673" s="1533"/>
      <c r="EO673" s="1533"/>
      <c r="EP673" s="1533"/>
      <c r="EQ673" s="1533"/>
      <c r="ER673" s="1533" t="e">
        <f t="shared" si="8"/>
        <v>#VALUE!</v>
      </c>
      <c r="ES673" s="1533"/>
      <c r="ET673" s="1533"/>
      <c r="EU673" s="1533"/>
      <c r="EV673" s="1533"/>
      <c r="EW673" s="1533" t="e">
        <f t="shared" si="9"/>
        <v>#VALUE!</v>
      </c>
      <c r="EX673" s="1533"/>
      <c r="EY673" s="1533"/>
      <c r="EZ673" s="1533"/>
      <c r="FA673" s="1533"/>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3" t="e">
        <f t="shared" si="4"/>
        <v>#VALUE!</v>
      </c>
      <c r="DY674" s="1533"/>
      <c r="DZ674" s="1533"/>
      <c r="EA674" s="1533"/>
      <c r="EB674" s="1533"/>
      <c r="EC674" s="1533" t="e">
        <f t="shared" si="5"/>
        <v>#VALUE!</v>
      </c>
      <c r="ED674" s="1533"/>
      <c r="EE674" s="1533"/>
      <c r="EF674" s="1533"/>
      <c r="EG674" s="1533"/>
      <c r="EH674" s="1533" t="e">
        <f t="shared" si="6"/>
        <v>#VALUE!</v>
      </c>
      <c r="EI674" s="1533"/>
      <c r="EJ674" s="1533"/>
      <c r="EK674" s="1533"/>
      <c r="EL674" s="1533"/>
      <c r="EM674" s="1533" t="e">
        <f t="shared" si="7"/>
        <v>#VALUE!</v>
      </c>
      <c r="EN674" s="1533"/>
      <c r="EO674" s="1533"/>
      <c r="EP674" s="1533"/>
      <c r="EQ674" s="1533"/>
      <c r="ER674" s="1533" t="e">
        <f t="shared" si="8"/>
        <v>#VALUE!</v>
      </c>
      <c r="ES674" s="1533"/>
      <c r="ET674" s="1533"/>
      <c r="EU674" s="1533"/>
      <c r="EV674" s="1533"/>
      <c r="EW674" s="1533" t="e">
        <f t="shared" si="9"/>
        <v>#VALUE!</v>
      </c>
      <c r="EX674" s="1533"/>
      <c r="EY674" s="1533"/>
      <c r="EZ674" s="1533"/>
      <c r="FA674" s="1533"/>
    </row>
    <row r="675" spans="1:157" ht="12.95" customHeight="1">
      <c r="A675" s="55" t="s">
        <v>455</v>
      </c>
      <c r="B675" t="s">
        <v>463</v>
      </c>
      <c r="G675" s="1484" t="str">
        <f>C641</f>
        <v>Commercial Income Loan</v>
      </c>
      <c r="H675" s="1484"/>
      <c r="I675" s="1484"/>
      <c r="J675" s="1484"/>
      <c r="K675" s="1484"/>
      <c r="L675" s="1484"/>
      <c r="M675" s="1484"/>
      <c r="N675" s="1484"/>
      <c r="O675" s="1484"/>
      <c r="P675" s="1484"/>
      <c r="Q675" s="1484"/>
      <c r="R675" s="1484"/>
      <c r="T675" s="55" t="s">
        <v>456</v>
      </c>
      <c r="U675" t="s">
        <v>463</v>
      </c>
      <c r="Z675" s="1484">
        <f>C642</f>
        <v>0</v>
      </c>
      <c r="AA675" s="1484"/>
      <c r="AB675" s="1484"/>
      <c r="AC675" s="1484"/>
      <c r="AD675" s="1484"/>
      <c r="AE675" s="1484"/>
      <c r="AF675" s="1484"/>
      <c r="AG675" s="1484"/>
      <c r="AH675" s="1484"/>
      <c r="AI675" s="1484"/>
      <c r="AJ675" s="1484"/>
      <c r="AK675" s="148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3" t="e">
        <f t="shared" si="4"/>
        <v>#VALUE!</v>
      </c>
      <c r="DY675" s="1533"/>
      <c r="DZ675" s="1533"/>
      <c r="EA675" s="1533"/>
      <c r="EB675" s="1533"/>
      <c r="EC675" s="1533" t="e">
        <f t="shared" si="5"/>
        <v>#VALUE!</v>
      </c>
      <c r="ED675" s="1533"/>
      <c r="EE675" s="1533"/>
      <c r="EF675" s="1533"/>
      <c r="EG675" s="1533"/>
      <c r="EH675" s="1533" t="e">
        <f t="shared" si="6"/>
        <v>#VALUE!</v>
      </c>
      <c r="EI675" s="1533"/>
      <c r="EJ675" s="1533"/>
      <c r="EK675" s="1533"/>
      <c r="EL675" s="1533"/>
      <c r="EM675" s="1533" t="e">
        <f t="shared" si="7"/>
        <v>#VALUE!</v>
      </c>
      <c r="EN675" s="1533"/>
      <c r="EO675" s="1533"/>
      <c r="EP675" s="1533"/>
      <c r="EQ675" s="1533"/>
      <c r="ER675" s="1533" t="e">
        <f t="shared" si="8"/>
        <v>#VALUE!</v>
      </c>
      <c r="ES675" s="1533"/>
      <c r="ET675" s="1533"/>
      <c r="EU675" s="1533"/>
      <c r="EV675" s="1533"/>
      <c r="EW675" s="1533" t="e">
        <f t="shared" si="9"/>
        <v>#VALUE!</v>
      </c>
      <c r="EX675" s="1533"/>
      <c r="EY675" s="1533"/>
      <c r="EZ675" s="1533"/>
      <c r="FA675" s="1533"/>
    </row>
    <row r="676" spans="1:157" ht="12.95" customHeight="1">
      <c r="A676" s="22"/>
      <c r="B676" t="s">
        <v>85</v>
      </c>
      <c r="G676" s="1504" t="s">
        <v>2711</v>
      </c>
      <c r="H676" s="1504"/>
      <c r="I676" s="1504"/>
      <c r="J676" s="1504"/>
      <c r="K676" s="1504"/>
      <c r="L676" s="1504"/>
      <c r="M676" s="1504"/>
      <c r="N676" s="1504"/>
      <c r="O676" s="1504"/>
      <c r="P676" s="1504"/>
      <c r="Q676" s="1504"/>
      <c r="R676" s="1504"/>
      <c r="T676" s="22"/>
      <c r="U676" t="s">
        <v>85</v>
      </c>
      <c r="Z676" s="1504"/>
      <c r="AA676" s="1504"/>
      <c r="AB676" s="1504"/>
      <c r="AC676" s="1504"/>
      <c r="AD676" s="1504"/>
      <c r="AE676" s="1504"/>
      <c r="AF676" s="1504"/>
      <c r="AG676" s="1504"/>
      <c r="AH676" s="1504"/>
      <c r="AI676" s="1504"/>
      <c r="AJ676" s="1504"/>
      <c r="AK676" s="150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3" t="e">
        <f t="shared" si="4"/>
        <v>#VALUE!</v>
      </c>
      <c r="DY676" s="1533"/>
      <c r="DZ676" s="1533"/>
      <c r="EA676" s="1533"/>
      <c r="EB676" s="1533"/>
      <c r="EC676" s="1533" t="e">
        <f t="shared" si="5"/>
        <v>#VALUE!</v>
      </c>
      <c r="ED676" s="1533"/>
      <c r="EE676" s="1533"/>
      <c r="EF676" s="1533"/>
      <c r="EG676" s="1533"/>
      <c r="EH676" s="1533" t="e">
        <f t="shared" si="6"/>
        <v>#VALUE!</v>
      </c>
      <c r="EI676" s="1533"/>
      <c r="EJ676" s="1533"/>
      <c r="EK676" s="1533"/>
      <c r="EL676" s="1533"/>
      <c r="EM676" s="1533" t="e">
        <f t="shared" si="7"/>
        <v>#VALUE!</v>
      </c>
      <c r="EN676" s="1533"/>
      <c r="EO676" s="1533"/>
      <c r="EP676" s="1533"/>
      <c r="EQ676" s="1533"/>
      <c r="ER676" s="1533" t="e">
        <f t="shared" si="8"/>
        <v>#VALUE!</v>
      </c>
      <c r="ES676" s="1533"/>
      <c r="ET676" s="1533"/>
      <c r="EU676" s="1533"/>
      <c r="EV676" s="1533"/>
      <c r="EW676" s="1533" t="e">
        <f t="shared" si="9"/>
        <v>#VALUE!</v>
      </c>
      <c r="EX676" s="1533"/>
      <c r="EY676" s="1533"/>
      <c r="EZ676" s="1533"/>
      <c r="FA676" s="1533"/>
    </row>
    <row r="677" spans="1:157" ht="12.95" customHeight="1">
      <c r="A677" s="22"/>
      <c r="B677" t="s">
        <v>580</v>
      </c>
      <c r="G677" s="1504" t="s">
        <v>494</v>
      </c>
      <c r="H677" s="1504"/>
      <c r="I677" s="1504"/>
      <c r="J677" s="1504"/>
      <c r="K677" s="1504"/>
      <c r="L677" s="1504"/>
      <c r="M677" s="1504"/>
      <c r="N677" s="1504"/>
      <c r="O677" s="1504"/>
      <c r="P677" s="1504"/>
      <c r="Q677" s="1504"/>
      <c r="R677" s="1504"/>
      <c r="T677" s="22"/>
      <c r="U677" t="s">
        <v>580</v>
      </c>
      <c r="Z677" s="1485"/>
      <c r="AA677" s="1485"/>
      <c r="AB677" s="1485"/>
      <c r="AC677" s="1485"/>
      <c r="AD677" s="1485"/>
      <c r="AE677" s="1485"/>
      <c r="AF677" s="1485"/>
      <c r="AG677" s="1485"/>
      <c r="AH677" s="1485"/>
      <c r="AI677" s="1485"/>
      <c r="AJ677" s="1485"/>
      <c r="AK677" s="148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3" t="e">
        <f t="shared" si="4"/>
        <v>#VALUE!</v>
      </c>
      <c r="DY677" s="1533"/>
      <c r="DZ677" s="1533"/>
      <c r="EA677" s="1533"/>
      <c r="EB677" s="1533"/>
      <c r="EC677" s="1533" t="e">
        <f t="shared" si="5"/>
        <v>#VALUE!</v>
      </c>
      <c r="ED677" s="1533"/>
      <c r="EE677" s="1533"/>
      <c r="EF677" s="1533"/>
      <c r="EG677" s="1533"/>
      <c r="EH677" s="1533" t="e">
        <f t="shared" si="6"/>
        <v>#VALUE!</v>
      </c>
      <c r="EI677" s="1533"/>
      <c r="EJ677" s="1533"/>
      <c r="EK677" s="1533"/>
      <c r="EL677" s="1533"/>
      <c r="EM677" s="1533" t="e">
        <f t="shared" si="7"/>
        <v>#VALUE!</v>
      </c>
      <c r="EN677" s="1533"/>
      <c r="EO677" s="1533"/>
      <c r="EP677" s="1533"/>
      <c r="EQ677" s="1533"/>
      <c r="ER677" s="1533" t="e">
        <f t="shared" si="8"/>
        <v>#VALUE!</v>
      </c>
      <c r="ES677" s="1533"/>
      <c r="ET677" s="1533"/>
      <c r="EU677" s="1533"/>
      <c r="EV677" s="1533"/>
      <c r="EW677" s="1533" t="e">
        <f t="shared" si="9"/>
        <v>#VALUE!</v>
      </c>
      <c r="EX677" s="1533"/>
      <c r="EY677" s="1533"/>
      <c r="EZ677" s="1533"/>
      <c r="FA677" s="1533"/>
    </row>
    <row r="678" spans="1:157" ht="12.95" customHeight="1">
      <c r="A678" s="22"/>
      <c r="B678" t="s">
        <v>17</v>
      </c>
      <c r="G678" s="1504" t="s">
        <v>2648</v>
      </c>
      <c r="H678" s="1504"/>
      <c r="I678" s="1504"/>
      <c r="J678" s="1504"/>
      <c r="K678" s="1504"/>
      <c r="L678" s="1504"/>
      <c r="M678" s="1504"/>
      <c r="N678" s="1504"/>
      <c r="O678" s="1504"/>
      <c r="P678" s="1504"/>
      <c r="Q678" s="1504"/>
      <c r="R678" s="1504"/>
      <c r="T678" s="22"/>
      <c r="U678" t="s">
        <v>17</v>
      </c>
      <c r="Z678" s="1485"/>
      <c r="AA678" s="1485"/>
      <c r="AB678" s="1485"/>
      <c r="AC678" s="1485"/>
      <c r="AD678" s="1485"/>
      <c r="AE678" s="1485"/>
      <c r="AF678" s="1485"/>
      <c r="AG678" s="1485"/>
      <c r="AH678" s="1485"/>
      <c r="AI678" s="1485"/>
      <c r="AJ678" s="1485"/>
      <c r="AK678" s="148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3">
        <f>SUMIF(DX643:EB677,"&gt;0")</f>
        <v>1060</v>
      </c>
      <c r="DY678" s="1533"/>
      <c r="DZ678" s="1533"/>
      <c r="EA678" s="1533"/>
      <c r="EB678" s="1533"/>
      <c r="EC678" s="1533">
        <f>SUMIF(EC643:EG677,"&gt;0")</f>
        <v>1121.0526315789473</v>
      </c>
      <c r="ED678" s="1533"/>
      <c r="EE678" s="1533"/>
      <c r="EF678" s="1533"/>
      <c r="EG678" s="1533"/>
      <c r="EH678" s="1533">
        <f>SUMIF(EH643:EL677,"&gt;0")</f>
        <v>1362.5</v>
      </c>
      <c r="EI678" s="1533"/>
      <c r="EJ678" s="1533"/>
      <c r="EK678" s="1533"/>
      <c r="EL678" s="1533"/>
      <c r="EM678" s="1533">
        <f>SUMIF(EM643:EQ677,"&gt;0")</f>
        <v>0</v>
      </c>
      <c r="EN678" s="1533"/>
      <c r="EO678" s="1533"/>
      <c r="EP678" s="1533"/>
      <c r="EQ678" s="1533"/>
      <c r="ER678" s="1533">
        <f>SUMIF(ER643:EV677,"&gt;0")</f>
        <v>0</v>
      </c>
      <c r="ES678" s="1533"/>
      <c r="ET678" s="1533"/>
      <c r="EU678" s="1533"/>
      <c r="EV678" s="1533"/>
      <c r="EW678" s="1533">
        <f>SUMIF(EW643:FA677,"&gt;0")</f>
        <v>0</v>
      </c>
      <c r="EX678" s="1533"/>
      <c r="EY678" s="1533"/>
      <c r="EZ678" s="1533"/>
      <c r="FA678" s="1533"/>
    </row>
    <row r="679" spans="1:157" ht="12.95" customHeight="1">
      <c r="A679" s="22"/>
      <c r="B679" t="s">
        <v>316</v>
      </c>
      <c r="G679" s="1529">
        <v>2136107649</v>
      </c>
      <c r="H679" s="1529"/>
      <c r="I679" s="1529"/>
      <c r="J679" s="1529"/>
      <c r="K679" s="1529"/>
      <c r="L679" s="1529"/>
      <c r="O679" s="33" t="s">
        <v>206</v>
      </c>
      <c r="P679" s="1519"/>
      <c r="Q679" s="1519"/>
      <c r="R679" s="1519"/>
      <c r="T679" s="22"/>
      <c r="U679" t="s">
        <v>316</v>
      </c>
      <c r="Z679" s="1529"/>
      <c r="AA679" s="1529"/>
      <c r="AB679" s="1529"/>
      <c r="AC679" s="1529"/>
      <c r="AD679" s="1529"/>
      <c r="AE679" s="1529"/>
      <c r="AH679" s="33" t="s">
        <v>206</v>
      </c>
      <c r="AI679" s="1519"/>
      <c r="AJ679" s="1519"/>
      <c r="AK679" s="151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504" t="s">
        <v>2766</v>
      </c>
      <c r="I680" s="1504"/>
      <c r="J680" s="1504"/>
      <c r="K680" s="1504"/>
      <c r="L680" s="1504"/>
      <c r="M680" s="1504"/>
      <c r="N680" s="1504"/>
      <c r="O680" s="1504"/>
      <c r="P680" s="1504"/>
      <c r="Q680" s="1504"/>
      <c r="R680" s="1504"/>
      <c r="T680" s="22"/>
      <c r="U680" t="s">
        <v>18</v>
      </c>
      <c r="AA680" s="1504"/>
      <c r="AB680" s="1504"/>
      <c r="AC680" s="1504"/>
      <c r="AD680" s="1504"/>
      <c r="AE680" s="1504"/>
      <c r="AF680" s="1504"/>
      <c r="AG680" s="1504"/>
      <c r="AH680" s="1504"/>
      <c r="AI680" s="1504"/>
      <c r="AJ680" s="1504"/>
      <c r="AK680" s="150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0" t="s">
        <v>545</v>
      </c>
      <c r="O681" s="1340"/>
      <c r="T681" s="22"/>
      <c r="U681" t="s">
        <v>20</v>
      </c>
      <c r="AG681" s="1340" t="s">
        <v>669</v>
      </c>
      <c r="AH681" s="1340"/>
      <c r="AZ681" s="3"/>
    </row>
    <row r="682" spans="1:157" ht="12.95" customHeight="1">
      <c r="A682" s="22"/>
      <c r="T682" s="22"/>
      <c r="AZ682" s="3"/>
    </row>
    <row r="683" spans="1:157" ht="12.95" customHeight="1">
      <c r="A683" s="55" t="s">
        <v>461</v>
      </c>
      <c r="B683" t="s">
        <v>463</v>
      </c>
      <c r="G683" s="1484">
        <f>C643</f>
        <v>0</v>
      </c>
      <c r="H683" s="1484"/>
      <c r="I683" s="1484"/>
      <c r="J683" s="1484"/>
      <c r="K683" s="1484"/>
      <c r="L683" s="1484"/>
      <c r="M683" s="1484"/>
      <c r="N683" s="1484"/>
      <c r="O683" s="1484"/>
      <c r="P683" s="1484"/>
      <c r="Q683" s="1484"/>
      <c r="R683" s="1484"/>
      <c r="T683" s="55" t="s">
        <v>646</v>
      </c>
      <c r="U683" t="s">
        <v>463</v>
      </c>
      <c r="Z683" s="1484">
        <f>C644</f>
        <v>0</v>
      </c>
      <c r="AA683" s="1484"/>
      <c r="AB683" s="1484"/>
      <c r="AC683" s="1484"/>
      <c r="AD683" s="1484"/>
      <c r="AE683" s="1484"/>
      <c r="AF683" s="1484"/>
      <c r="AG683" s="1484"/>
      <c r="AH683" s="1484"/>
      <c r="AI683" s="1484"/>
      <c r="AJ683" s="1484"/>
      <c r="AK683" s="1484"/>
      <c r="AZ683" s="3"/>
    </row>
    <row r="684" spans="1:157" ht="12.95" customHeight="1">
      <c r="A684" s="22"/>
      <c r="B684" t="s">
        <v>85</v>
      </c>
      <c r="G684" s="1504"/>
      <c r="H684" s="1504"/>
      <c r="I684" s="1504"/>
      <c r="J684" s="1504"/>
      <c r="K684" s="1504"/>
      <c r="L684" s="1504"/>
      <c r="M684" s="1504"/>
      <c r="N684" s="1504"/>
      <c r="O684" s="1504"/>
      <c r="P684" s="1504"/>
      <c r="Q684" s="1504"/>
      <c r="R684" s="1504"/>
      <c r="T684" s="22"/>
      <c r="U684" t="s">
        <v>85</v>
      </c>
      <c r="Z684" s="1504"/>
      <c r="AA684" s="1504"/>
      <c r="AB684" s="1504"/>
      <c r="AC684" s="1504"/>
      <c r="AD684" s="1504"/>
      <c r="AE684" s="1504"/>
      <c r="AF684" s="1504"/>
      <c r="AG684" s="1504"/>
      <c r="AH684" s="1504"/>
      <c r="AI684" s="1504"/>
      <c r="AJ684" s="1504"/>
      <c r="AK684" s="1504"/>
      <c r="AZ684" s="3"/>
    </row>
    <row r="685" spans="1:157" ht="12.95" customHeight="1">
      <c r="A685" s="22"/>
      <c r="B685" t="s">
        <v>580</v>
      </c>
      <c r="G685" s="1504"/>
      <c r="H685" s="1504"/>
      <c r="I685" s="1504"/>
      <c r="J685" s="1504"/>
      <c r="K685" s="1504"/>
      <c r="L685" s="1504"/>
      <c r="M685" s="1504"/>
      <c r="N685" s="1504"/>
      <c r="O685" s="1504"/>
      <c r="P685" s="1504"/>
      <c r="Q685" s="1504"/>
      <c r="R685" s="1504"/>
      <c r="T685" s="22"/>
      <c r="U685" t="s">
        <v>580</v>
      </c>
      <c r="Z685" s="1485"/>
      <c r="AA685" s="1485"/>
      <c r="AB685" s="1485"/>
      <c r="AC685" s="1485"/>
      <c r="AD685" s="1485"/>
      <c r="AE685" s="1485"/>
      <c r="AF685" s="1485"/>
      <c r="AG685" s="1485"/>
      <c r="AH685" s="1485"/>
      <c r="AI685" s="1485"/>
      <c r="AJ685" s="1485"/>
      <c r="AK685" s="1485"/>
      <c r="AZ685" s="3"/>
    </row>
    <row r="686" spans="1:157" ht="12.95" customHeight="1">
      <c r="A686" s="22"/>
      <c r="B686" t="s">
        <v>17</v>
      </c>
      <c r="G686" s="1504"/>
      <c r="H686" s="1504"/>
      <c r="I686" s="1504"/>
      <c r="J686" s="1504"/>
      <c r="K686" s="1504"/>
      <c r="L686" s="1504"/>
      <c r="M686" s="1504"/>
      <c r="N686" s="1504"/>
      <c r="O686" s="1504"/>
      <c r="P686" s="1504"/>
      <c r="Q686" s="1504"/>
      <c r="R686" s="1504"/>
      <c r="T686" s="22"/>
      <c r="U686" t="s">
        <v>17</v>
      </c>
      <c r="Z686" s="1485"/>
      <c r="AA686" s="1485"/>
      <c r="AB686" s="1485"/>
      <c r="AC686" s="1485"/>
      <c r="AD686" s="1485"/>
      <c r="AE686" s="1485"/>
      <c r="AF686" s="1485"/>
      <c r="AG686" s="1485"/>
      <c r="AH686" s="1485"/>
      <c r="AI686" s="1485"/>
      <c r="AJ686" s="1485"/>
      <c r="AK686" s="1485"/>
      <c r="AZ686" s="3"/>
    </row>
    <row r="687" spans="1:157" ht="12.95" customHeight="1">
      <c r="A687" s="22"/>
      <c r="B687" t="s">
        <v>316</v>
      </c>
      <c r="G687" s="1529"/>
      <c r="H687" s="1529"/>
      <c r="I687" s="1529"/>
      <c r="J687" s="1529"/>
      <c r="K687" s="1529"/>
      <c r="L687" s="1529"/>
      <c r="O687" s="33" t="s">
        <v>206</v>
      </c>
      <c r="P687" s="1519"/>
      <c r="Q687" s="1519"/>
      <c r="R687" s="1519"/>
      <c r="T687" s="22"/>
      <c r="U687" t="s">
        <v>316</v>
      </c>
      <c r="Z687" s="1529"/>
      <c r="AA687" s="1529"/>
      <c r="AB687" s="1529"/>
      <c r="AC687" s="1529"/>
      <c r="AD687" s="1529"/>
      <c r="AE687" s="1529"/>
      <c r="AH687" s="33" t="s">
        <v>206</v>
      </c>
      <c r="AI687" s="1519"/>
      <c r="AJ687" s="1519"/>
      <c r="AK687" s="1519"/>
      <c r="AZ687" s="3"/>
    </row>
    <row r="688" spans="1:157" ht="12.95" customHeight="1">
      <c r="A688" s="22"/>
      <c r="B688" t="s">
        <v>18</v>
      </c>
      <c r="H688" s="1504"/>
      <c r="I688" s="1504"/>
      <c r="J688" s="1504"/>
      <c r="K688" s="1504"/>
      <c r="L688" s="1504"/>
      <c r="M688" s="1504"/>
      <c r="N688" s="1504"/>
      <c r="O688" s="1504"/>
      <c r="P688" s="1504"/>
      <c r="Q688" s="1504"/>
      <c r="R688" s="1504"/>
      <c r="T688" s="22"/>
      <c r="U688" t="s">
        <v>18</v>
      </c>
      <c r="AA688" s="1504"/>
      <c r="AB688" s="1504"/>
      <c r="AC688" s="1504"/>
      <c r="AD688" s="1504"/>
      <c r="AE688" s="1504"/>
      <c r="AF688" s="1504"/>
      <c r="AG688" s="1504"/>
      <c r="AH688" s="1504"/>
      <c r="AI688" s="1504"/>
      <c r="AJ688" s="1504"/>
      <c r="AK688" s="1504"/>
      <c r="AZ688" s="3"/>
    </row>
    <row r="689" spans="1:52" ht="12.95" customHeight="1">
      <c r="A689" s="22"/>
      <c r="B689" t="s">
        <v>20</v>
      </c>
      <c r="N689" s="1340" t="s">
        <v>669</v>
      </c>
      <c r="O689" s="1340"/>
      <c r="T689" s="22"/>
      <c r="U689" t="s">
        <v>20</v>
      </c>
      <c r="AG689" s="1340" t="s">
        <v>669</v>
      </c>
      <c r="AH689" s="1340"/>
      <c r="AZ689" s="3"/>
    </row>
    <row r="690" spans="1:52" ht="12.95" customHeight="1">
      <c r="A690" s="22"/>
      <c r="T690" s="22"/>
      <c r="AZ690" s="3"/>
    </row>
    <row r="691" spans="1:52" ht="12.95" customHeight="1">
      <c r="A691" s="55" t="s">
        <v>362</v>
      </c>
      <c r="B691" t="s">
        <v>463</v>
      </c>
      <c r="G691" s="1484">
        <f>C645</f>
        <v>0</v>
      </c>
      <c r="H691" s="1484"/>
      <c r="I691" s="1484"/>
      <c r="J691" s="1484"/>
      <c r="K691" s="1484"/>
      <c r="L691" s="1484"/>
      <c r="M691" s="1484"/>
      <c r="N691" s="1484"/>
      <c r="O691" s="1484"/>
      <c r="P691" s="1484"/>
      <c r="Q691" s="1484"/>
      <c r="R691" s="1484"/>
      <c r="T691" s="55" t="s">
        <v>363</v>
      </c>
      <c r="U691" t="s">
        <v>463</v>
      </c>
      <c r="Z691" s="1484">
        <f>C646</f>
        <v>0</v>
      </c>
      <c r="AA691" s="1484"/>
      <c r="AB691" s="1484"/>
      <c r="AC691" s="1484"/>
      <c r="AD691" s="1484"/>
      <c r="AE691" s="1484"/>
      <c r="AF691" s="1484"/>
      <c r="AG691" s="1484"/>
      <c r="AH691" s="1484"/>
      <c r="AI691" s="1484"/>
      <c r="AJ691" s="1484"/>
      <c r="AK691" s="1484"/>
      <c r="AZ691" s="3"/>
    </row>
    <row r="692" spans="1:52" ht="12.95" customHeight="1">
      <c r="B692" t="s">
        <v>85</v>
      </c>
      <c r="G692" s="1504"/>
      <c r="H692" s="1504"/>
      <c r="I692" s="1504"/>
      <c r="J692" s="1504"/>
      <c r="K692" s="1504"/>
      <c r="L692" s="1504"/>
      <c r="M692" s="1504"/>
      <c r="N692" s="1504"/>
      <c r="O692" s="1504"/>
      <c r="P692" s="1504"/>
      <c r="Q692" s="1504"/>
      <c r="R692" s="1504"/>
      <c r="T692" s="22"/>
      <c r="U692" t="s">
        <v>85</v>
      </c>
      <c r="Z692" s="1504"/>
      <c r="AA692" s="1504"/>
      <c r="AB692" s="1504"/>
      <c r="AC692" s="1504"/>
      <c r="AD692" s="1504"/>
      <c r="AE692" s="1504"/>
      <c r="AF692" s="1504"/>
      <c r="AG692" s="1504"/>
      <c r="AH692" s="1504"/>
      <c r="AI692" s="1504"/>
      <c r="AJ692" s="1504"/>
      <c r="AK692" s="1504"/>
      <c r="AZ692" s="3"/>
    </row>
    <row r="693" spans="1:52" ht="12.95" customHeight="1">
      <c r="B693" t="s">
        <v>580</v>
      </c>
      <c r="G693" s="1504"/>
      <c r="H693" s="1504"/>
      <c r="I693" s="1504"/>
      <c r="J693" s="1504"/>
      <c r="K693" s="1504"/>
      <c r="L693" s="1504"/>
      <c r="M693" s="1504"/>
      <c r="N693" s="1504"/>
      <c r="O693" s="1504"/>
      <c r="P693" s="1504"/>
      <c r="Q693" s="1504"/>
      <c r="R693" s="1504"/>
      <c r="U693" t="s">
        <v>580</v>
      </c>
      <c r="Z693" s="1485"/>
      <c r="AA693" s="1485"/>
      <c r="AB693" s="1485"/>
      <c r="AC693" s="1485"/>
      <c r="AD693" s="1485"/>
      <c r="AE693" s="1485"/>
      <c r="AF693" s="1485"/>
      <c r="AG693" s="1485"/>
      <c r="AH693" s="1485"/>
      <c r="AI693" s="1485"/>
      <c r="AJ693" s="1485"/>
      <c r="AK693" s="1485"/>
      <c r="AZ693" s="3"/>
    </row>
    <row r="694" spans="1:52" ht="12.95" customHeight="1">
      <c r="B694" t="s">
        <v>17</v>
      </c>
      <c r="G694" s="1504"/>
      <c r="H694" s="1504"/>
      <c r="I694" s="1504"/>
      <c r="J694" s="1504"/>
      <c r="K694" s="1504"/>
      <c r="L694" s="1504"/>
      <c r="M694" s="1504"/>
      <c r="N694" s="1504"/>
      <c r="O694" s="1504"/>
      <c r="P694" s="1504"/>
      <c r="Q694" s="1504"/>
      <c r="R694" s="1504"/>
      <c r="U694" t="s">
        <v>17</v>
      </c>
      <c r="Z694" s="1485"/>
      <c r="AA694" s="1485"/>
      <c r="AB694" s="1485"/>
      <c r="AC694" s="1485"/>
      <c r="AD694" s="1485"/>
      <c r="AE694" s="1485"/>
      <c r="AF694" s="1485"/>
      <c r="AG694" s="1485"/>
      <c r="AH694" s="1485"/>
      <c r="AI694" s="1485"/>
      <c r="AJ694" s="1485"/>
      <c r="AK694" s="1485"/>
      <c r="AZ694" s="3"/>
    </row>
    <row r="695" spans="1:52" ht="12.95" customHeight="1">
      <c r="B695" t="s">
        <v>316</v>
      </c>
      <c r="G695" s="1529"/>
      <c r="H695" s="1529"/>
      <c r="I695" s="1529"/>
      <c r="J695" s="1529"/>
      <c r="K695" s="1529"/>
      <c r="L695" s="1529"/>
      <c r="O695" s="33" t="s">
        <v>206</v>
      </c>
      <c r="P695" s="1519"/>
      <c r="Q695" s="1519"/>
      <c r="R695" s="1519"/>
      <c r="U695" t="s">
        <v>316</v>
      </c>
      <c r="Z695" s="1529"/>
      <c r="AA695" s="1529"/>
      <c r="AB695" s="1529"/>
      <c r="AC695" s="1529"/>
      <c r="AD695" s="1529"/>
      <c r="AE695" s="1529"/>
      <c r="AH695" s="33" t="s">
        <v>206</v>
      </c>
      <c r="AI695" s="1519"/>
      <c r="AJ695" s="1519"/>
      <c r="AK695" s="1519"/>
      <c r="AZ695" s="3"/>
    </row>
    <row r="696" spans="1:52" ht="12.95" customHeight="1">
      <c r="B696" t="s">
        <v>18</v>
      </c>
      <c r="H696" s="1504"/>
      <c r="I696" s="1504"/>
      <c r="J696" s="1504"/>
      <c r="K696" s="1504"/>
      <c r="L696" s="1504"/>
      <c r="M696" s="1504"/>
      <c r="N696" s="1504"/>
      <c r="O696" s="1504"/>
      <c r="P696" s="1504"/>
      <c r="Q696" s="1504"/>
      <c r="R696" s="1504"/>
      <c r="U696" t="s">
        <v>18</v>
      </c>
      <c r="AA696" s="1504"/>
      <c r="AB696" s="1504"/>
      <c r="AC696" s="1504"/>
      <c r="AD696" s="1504"/>
      <c r="AE696" s="1504"/>
      <c r="AF696" s="1504"/>
      <c r="AG696" s="1504"/>
      <c r="AH696" s="1504"/>
      <c r="AI696" s="1504"/>
      <c r="AJ696" s="1504"/>
      <c r="AK696" s="1504"/>
      <c r="AZ696" s="3"/>
    </row>
    <row r="697" spans="1:52" ht="12.95" customHeight="1">
      <c r="B697" t="s">
        <v>20</v>
      </c>
      <c r="N697" s="1340" t="s">
        <v>669</v>
      </c>
      <c r="O697" s="1340"/>
      <c r="U697" t="s">
        <v>20</v>
      </c>
      <c r="AG697" s="1340" t="s">
        <v>669</v>
      </c>
      <c r="AH697" s="1340"/>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0" t="s">
        <v>545</v>
      </c>
      <c r="AF701" s="1340"/>
      <c r="AZ701" s="3"/>
    </row>
    <row r="702" spans="1:52" ht="12.95" customHeight="1">
      <c r="B702" s="135"/>
      <c r="C702" s="135"/>
      <c r="D702" s="136" t="s">
        <v>437</v>
      </c>
      <c r="E702" s="135"/>
      <c r="F702" s="135"/>
      <c r="G702" s="135"/>
      <c r="H702" s="135"/>
      <c r="AE702" s="1340" t="s">
        <v>545</v>
      </c>
      <c r="AF702" s="1340"/>
      <c r="AZ702" s="3"/>
    </row>
    <row r="703" spans="1:52" ht="12.95" customHeight="1">
      <c r="B703" s="135"/>
      <c r="C703" s="135"/>
      <c r="D703" s="136" t="s">
        <v>920</v>
      </c>
      <c r="E703" s="135"/>
      <c r="F703" s="135"/>
      <c r="G703" s="135"/>
      <c r="H703" s="135"/>
      <c r="AE703" s="1723">
        <v>46056</v>
      </c>
      <c r="AF703" s="1723"/>
      <c r="AG703" s="1723"/>
      <c r="AH703" s="1723"/>
      <c r="AI703" s="1723"/>
    </row>
    <row r="704" spans="1:52" ht="12.95" customHeight="1">
      <c r="B704" s="135"/>
      <c r="C704" s="135"/>
      <c r="D704" s="317" t="s">
        <v>983</v>
      </c>
      <c r="E704" s="135"/>
      <c r="F704" s="135"/>
      <c r="G704" s="135"/>
      <c r="H704" s="135"/>
      <c r="AE704" s="1747">
        <v>46154</v>
      </c>
      <c r="AF704" s="1747"/>
      <c r="AG704" s="1747"/>
      <c r="AH704" s="1747"/>
      <c r="AI704" s="1747"/>
    </row>
    <row r="705" spans="1:110" ht="12.95" customHeight="1">
      <c r="B705" s="135"/>
      <c r="C705" s="135"/>
    </row>
    <row r="706" spans="1:110" ht="12.95" customHeight="1">
      <c r="B706" s="135"/>
      <c r="C706" s="135"/>
      <c r="D706" s="136" t="s">
        <v>816</v>
      </c>
      <c r="E706" s="135"/>
      <c r="F706" s="135"/>
      <c r="G706" s="135"/>
      <c r="H706" s="135"/>
      <c r="AE706" s="1723">
        <v>46327</v>
      </c>
      <c r="AF706" s="1723"/>
      <c r="AG706" s="1723"/>
      <c r="AH706" s="1723"/>
      <c r="AI706" s="1723"/>
    </row>
    <row r="707" spans="1:110" ht="12.95" customHeight="1">
      <c r="B707" s="135"/>
      <c r="C707" s="135"/>
      <c r="D707" s="136" t="s">
        <v>435</v>
      </c>
      <c r="E707" s="135"/>
      <c r="F707" s="135"/>
      <c r="G707" s="135"/>
      <c r="H707" s="135"/>
      <c r="AE707" s="1694">
        <f>AM562/SUM('Sources and Uses Budget'!S107,'Sources and Uses Budget'!C4,18634653+2795198+289303+250000+175000)</f>
        <v>0.27815633530458755</v>
      </c>
      <c r="AF707" s="1694"/>
      <c r="AG707" s="1694"/>
      <c r="AH707" s="1694"/>
      <c r="AI707" s="1694"/>
    </row>
    <row r="708" spans="1:110" ht="12.95" customHeight="1">
      <c r="B708" s="135"/>
      <c r="C708" s="135"/>
      <c r="D708" s="136" t="s">
        <v>436</v>
      </c>
      <c r="E708" s="135"/>
      <c r="F708" s="135"/>
      <c r="G708" s="135"/>
      <c r="H708" s="135"/>
      <c r="W708" s="1484" t="str">
        <f>H344</f>
        <v>California Housing Finance Agency</v>
      </c>
      <c r="X708" s="1484"/>
      <c r="Y708" s="1484"/>
      <c r="Z708" s="1484"/>
      <c r="AA708" s="1484"/>
      <c r="AB708" s="1484"/>
      <c r="AC708" s="1484"/>
      <c r="AD708" s="1484"/>
      <c r="AE708" s="1484"/>
      <c r="AF708" s="1484"/>
      <c r="AG708" s="1484"/>
      <c r="AH708" s="1484"/>
      <c r="AI708" s="1484"/>
      <c r="AJ708" s="1484"/>
      <c r="AK708" s="148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0" t="s">
        <v>669</v>
      </c>
      <c r="AF710" s="1340"/>
    </row>
    <row r="711" spans="1:110" ht="12.95" customHeight="1">
      <c r="B711" s="135"/>
      <c r="C711" s="135"/>
      <c r="D711" s="136" t="s">
        <v>442</v>
      </c>
      <c r="E711" s="135"/>
      <c r="F711" s="135"/>
      <c r="G711" s="135"/>
      <c r="H711" s="135"/>
      <c r="W711" s="1504" t="s">
        <v>591</v>
      </c>
      <c r="X711" s="1504"/>
      <c r="Y711" s="1504"/>
      <c r="Z711" s="1504"/>
      <c r="AA711" s="1504"/>
      <c r="AB711" s="1504"/>
      <c r="AC711" s="1504"/>
      <c r="AD711" s="1504"/>
      <c r="AE711" s="1504"/>
      <c r="AF711" s="1504"/>
      <c r="AG711" s="1504"/>
      <c r="AH711" s="1504"/>
      <c r="AI711" s="1504"/>
      <c r="AJ711" s="1504"/>
      <c r="AK711" s="1504"/>
    </row>
    <row r="712" spans="1:110" ht="12.95" customHeight="1">
      <c r="B712" s="135"/>
      <c r="C712" s="135"/>
      <c r="D712" s="136" t="s">
        <v>87</v>
      </c>
      <c r="E712" s="135"/>
      <c r="F712" s="135"/>
      <c r="G712" s="135"/>
      <c r="H712" s="135"/>
      <c r="J712" s="1504"/>
      <c r="K712" s="1504"/>
      <c r="L712" s="1504"/>
      <c r="M712" s="1504"/>
      <c r="N712" s="1504"/>
      <c r="O712" s="1504"/>
      <c r="P712" s="1504"/>
      <c r="Q712" s="1504"/>
      <c r="R712" s="1504"/>
      <c r="S712" s="1504"/>
      <c r="T712" s="1504"/>
      <c r="U712" s="1504"/>
      <c r="V712" s="1504"/>
      <c r="W712" s="1504"/>
      <c r="X712" s="1504"/>
      <c r="BB712" s="34"/>
      <c r="BC712" s="34"/>
      <c r="BD712" s="34"/>
      <c r="BE712" s="3"/>
      <c r="BF712" s="3"/>
      <c r="BJ712" s="3"/>
      <c r="BK712" s="3"/>
      <c r="BL712" s="3"/>
      <c r="BM712" s="3"/>
      <c r="BN712" s="34"/>
      <c r="BO712" s="34"/>
    </row>
    <row r="713" spans="1:110" ht="12.95" customHeight="1">
      <c r="B713" s="135"/>
      <c r="C713" s="135"/>
      <c r="D713" s="136" t="s">
        <v>88</v>
      </c>
      <c r="J713" s="1529"/>
      <c r="K713" s="1529"/>
      <c r="L713" s="1529"/>
      <c r="M713" s="1529"/>
      <c r="N713" s="1529"/>
      <c r="O713" s="1529"/>
      <c r="P713" s="4" t="s">
        <v>206</v>
      </c>
      <c r="Q713" s="4"/>
      <c r="R713" s="1519"/>
      <c r="S713" s="1519"/>
      <c r="T713" s="151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504" t="s">
        <v>307</v>
      </c>
      <c r="X714" s="1504"/>
      <c r="Y714" s="1504"/>
      <c r="Z714" s="1504"/>
      <c r="AA714" s="1504"/>
      <c r="AB714" s="1504"/>
      <c r="AC714" s="1504"/>
      <c r="AD714" s="1504"/>
      <c r="AE714" s="1504"/>
      <c r="AF714" s="1504"/>
      <c r="AG714" s="1504"/>
      <c r="AH714" s="1504"/>
      <c r="AI714" s="1504"/>
      <c r="AJ714" s="1504"/>
      <c r="AK714" s="150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504" t="s">
        <v>334</v>
      </c>
      <c r="F715" s="1504"/>
      <c r="G715" s="1504"/>
      <c r="H715" s="1504"/>
      <c r="I715" s="1504"/>
      <c r="J715" s="1504"/>
      <c r="K715" s="1504"/>
      <c r="L715" s="1504"/>
      <c r="M715" s="1504"/>
      <c r="N715" s="1504"/>
      <c r="O715" s="1504"/>
      <c r="P715" s="1504"/>
      <c r="Q715" s="1504"/>
      <c r="R715" s="1504"/>
      <c r="S715" s="1504"/>
      <c r="T715" s="1504"/>
      <c r="U715" s="1504"/>
      <c r="V715" s="1504"/>
      <c r="W715" s="1504"/>
      <c r="X715" s="1504"/>
      <c r="Y715" s="1504"/>
      <c r="Z715" s="1504"/>
      <c r="AA715" s="1504"/>
      <c r="AB715" s="1504"/>
      <c r="AC715" s="1504"/>
      <c r="AD715" s="1504"/>
      <c r="AE715" s="1504"/>
      <c r="AF715" s="1504"/>
      <c r="AG715" s="1504"/>
      <c r="AH715" s="1504"/>
      <c r="AI715" s="1504"/>
      <c r="AJ715" s="1504"/>
      <c r="AK715" s="150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7" t="s">
        <v>95</v>
      </c>
      <c r="B717" s="1267"/>
      <c r="C717" s="1267"/>
      <c r="D717" s="1267"/>
      <c r="E717" s="1267"/>
      <c r="F717" s="1267"/>
      <c r="G717" s="1267"/>
      <c r="H717" s="1267"/>
      <c r="I717" s="1267"/>
      <c r="J717" s="1267"/>
      <c r="K717" s="1267"/>
      <c r="L717" s="1267"/>
      <c r="M717" s="1267"/>
      <c r="N717" s="1267"/>
      <c r="O717" s="1267"/>
      <c r="P717" s="1267"/>
      <c r="Q717" s="1267"/>
      <c r="R717" s="1267"/>
      <c r="S717" s="1267"/>
      <c r="T717" s="1267"/>
      <c r="U717" s="1267"/>
      <c r="V717" s="1267"/>
      <c r="W717" s="1267"/>
      <c r="X717" s="1267"/>
      <c r="Y717" s="1267"/>
      <c r="Z717" s="1267"/>
      <c r="AA717" s="1267"/>
      <c r="AB717" s="1267"/>
      <c r="AC717" s="1267"/>
      <c r="AD717" s="1267"/>
      <c r="AE717" s="1267"/>
      <c r="AF717" s="1267"/>
      <c r="AG717" s="1267"/>
      <c r="AH717" s="1267"/>
      <c r="AI717" s="1267"/>
      <c r="AJ717" s="1267"/>
      <c r="AK717" s="1267"/>
      <c r="AL717" s="1267"/>
      <c r="AM717" s="1267"/>
      <c r="AN717" s="1267"/>
      <c r="AO717" s="1267"/>
      <c r="AP717" s="1267"/>
      <c r="AQ717" s="1267"/>
      <c r="AR717" s="1267"/>
      <c r="AS717" s="1267"/>
      <c r="AT717" s="1267"/>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7"/>
      <c r="B718" s="1267"/>
      <c r="C718" s="1267"/>
      <c r="D718" s="1267"/>
      <c r="E718" s="1267"/>
      <c r="F718" s="1267"/>
      <c r="G718" s="1267"/>
      <c r="H718" s="1267"/>
      <c r="I718" s="1267"/>
      <c r="J718" s="1267"/>
      <c r="K718" s="1267"/>
      <c r="L718" s="1267"/>
      <c r="M718" s="1267"/>
      <c r="N718" s="1267"/>
      <c r="O718" s="1267"/>
      <c r="P718" s="1267"/>
      <c r="Q718" s="1267"/>
      <c r="R718" s="1267"/>
      <c r="S718" s="1267"/>
      <c r="T718" s="1267"/>
      <c r="U718" s="1267"/>
      <c r="V718" s="1267"/>
      <c r="W718" s="1267"/>
      <c r="X718" s="1267"/>
      <c r="Y718" s="1267"/>
      <c r="Z718" s="1267"/>
      <c r="AA718" s="1267"/>
      <c r="AB718" s="1267"/>
      <c r="AC718" s="1267"/>
      <c r="AD718" s="1267"/>
      <c r="AE718" s="1267"/>
      <c r="AF718" s="1267"/>
      <c r="AG718" s="1267"/>
      <c r="AH718" s="1267"/>
      <c r="AI718" s="1267"/>
      <c r="AJ718" s="1267"/>
      <c r="AK718" s="1267"/>
      <c r="AL718" s="1267"/>
      <c r="AM718" s="1267"/>
      <c r="AN718" s="1267"/>
      <c r="AO718" s="1267"/>
      <c r="AP718" s="1267"/>
      <c r="AQ718" s="1267"/>
      <c r="AR718" s="1267"/>
      <c r="AS718" s="1267"/>
      <c r="AT718" s="1267"/>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7"/>
      <c r="B719" s="1267"/>
      <c r="C719" s="1267"/>
      <c r="D719" s="1267"/>
      <c r="E719" s="1267"/>
      <c r="F719" s="1267"/>
      <c r="G719" s="1267"/>
      <c r="H719" s="1267"/>
      <c r="I719" s="1267"/>
      <c r="J719" s="1267"/>
      <c r="K719" s="1267"/>
      <c r="L719" s="1267"/>
      <c r="M719" s="1267"/>
      <c r="N719" s="1267"/>
      <c r="O719" s="1267"/>
      <c r="P719" s="1267"/>
      <c r="Q719" s="1267"/>
      <c r="R719" s="1267"/>
      <c r="S719" s="1267"/>
      <c r="T719" s="1267"/>
      <c r="U719" s="1267"/>
      <c r="V719" s="1267"/>
      <c r="W719" s="1267"/>
      <c r="X719" s="1267"/>
      <c r="Y719" s="1267"/>
      <c r="Z719" s="1267"/>
      <c r="AA719" s="1267"/>
      <c r="AB719" s="1267"/>
      <c r="AC719" s="1267"/>
      <c r="AD719" s="1267"/>
      <c r="AE719" s="1267"/>
      <c r="AF719" s="1267"/>
      <c r="AG719" s="1267"/>
      <c r="AH719" s="1267"/>
      <c r="AI719" s="1267"/>
      <c r="AJ719" s="1267"/>
      <c r="AK719" s="1267"/>
      <c r="AL719" s="1267"/>
      <c r="AM719" s="1267"/>
      <c r="AN719" s="1267"/>
      <c r="AO719" s="1267"/>
      <c r="AP719" s="1267"/>
      <c r="AQ719" s="1267"/>
      <c r="AR719" s="1267"/>
      <c r="AS719" s="1267"/>
      <c r="AT719" s="1267"/>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12" t="s">
        <v>389</v>
      </c>
      <c r="C722" s="1413"/>
      <c r="D722" s="1413"/>
      <c r="E722" s="1413"/>
      <c r="F722" s="1414"/>
      <c r="G722" s="1412" t="s">
        <v>285</v>
      </c>
      <c r="H722" s="1413"/>
      <c r="I722" s="1413"/>
      <c r="J722" s="1414"/>
      <c r="K722" s="1724" t="s">
        <v>1668</v>
      </c>
      <c r="L722" s="1725"/>
      <c r="M722" s="1725"/>
      <c r="N722" s="1726"/>
      <c r="O722" s="1412" t="s">
        <v>447</v>
      </c>
      <c r="P722" s="1413"/>
      <c r="Q722" s="1413"/>
      <c r="R722" s="1413"/>
      <c r="S722" s="1414"/>
      <c r="T722" s="1692" t="s">
        <v>1923</v>
      </c>
      <c r="U722" s="1413"/>
      <c r="V722" s="1413"/>
      <c r="W722" s="1414"/>
      <c r="X722" s="1692" t="s">
        <v>1925</v>
      </c>
      <c r="Y722" s="1413"/>
      <c r="Z722" s="1413"/>
      <c r="AA722" s="1413"/>
      <c r="AB722" s="1414"/>
      <c r="AC722" s="1692" t="s">
        <v>1924</v>
      </c>
      <c r="AD722" s="1413"/>
      <c r="AE722" s="1413"/>
      <c r="AF722" s="1413"/>
      <c r="AG722" s="1414"/>
      <c r="AH722" s="1692" t="s">
        <v>1926</v>
      </c>
      <c r="AI722" s="1413"/>
      <c r="AJ722" s="1414"/>
      <c r="AK722" s="1692" t="s">
        <v>1953</v>
      </c>
      <c r="AL722" s="1413"/>
      <c r="AM722" s="1413"/>
      <c r="AN722" s="1413"/>
      <c r="AO722" s="1414"/>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15"/>
      <c r="C723" s="1416"/>
      <c r="D723" s="1416"/>
      <c r="E723" s="1416"/>
      <c r="F723" s="1417"/>
      <c r="G723" s="1415"/>
      <c r="H723" s="1416"/>
      <c r="I723" s="1416"/>
      <c r="J723" s="1417"/>
      <c r="K723" s="1727"/>
      <c r="L723" s="1728"/>
      <c r="M723" s="1728"/>
      <c r="N723" s="1729"/>
      <c r="O723" s="1415"/>
      <c r="P723" s="1416"/>
      <c r="Q723" s="1416"/>
      <c r="R723" s="1416"/>
      <c r="S723" s="1417"/>
      <c r="T723" s="1415"/>
      <c r="U723" s="1416"/>
      <c r="V723" s="1416"/>
      <c r="W723" s="1417"/>
      <c r="X723" s="1415"/>
      <c r="Y723" s="1416"/>
      <c r="Z723" s="1416"/>
      <c r="AA723" s="1416"/>
      <c r="AB723" s="1417"/>
      <c r="AC723" s="1415"/>
      <c r="AD723" s="1416"/>
      <c r="AE723" s="1416"/>
      <c r="AF723" s="1416"/>
      <c r="AG723" s="1417"/>
      <c r="AH723" s="1415"/>
      <c r="AI723" s="1416"/>
      <c r="AJ723" s="1417"/>
      <c r="AK723" s="1415"/>
      <c r="AL723" s="1416"/>
      <c r="AM723" s="1416"/>
      <c r="AN723" s="1416"/>
      <c r="AO723" s="141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15"/>
      <c r="C724" s="1416"/>
      <c r="D724" s="1416"/>
      <c r="E724" s="1416"/>
      <c r="F724" s="1417"/>
      <c r="G724" s="1415"/>
      <c r="H724" s="1416"/>
      <c r="I724" s="1416"/>
      <c r="J724" s="1417"/>
      <c r="K724" s="1727"/>
      <c r="L724" s="1728"/>
      <c r="M724" s="1728"/>
      <c r="N724" s="1729"/>
      <c r="O724" s="1415"/>
      <c r="P724" s="1416"/>
      <c r="Q724" s="1416"/>
      <c r="R724" s="1416"/>
      <c r="S724" s="1417"/>
      <c r="T724" s="1415"/>
      <c r="U724" s="1416"/>
      <c r="V724" s="1416"/>
      <c r="W724" s="1417"/>
      <c r="X724" s="1415"/>
      <c r="Y724" s="1416"/>
      <c r="Z724" s="1416"/>
      <c r="AA724" s="1416"/>
      <c r="AB724" s="1417"/>
      <c r="AC724" s="1415"/>
      <c r="AD724" s="1416"/>
      <c r="AE724" s="1416"/>
      <c r="AF724" s="1416"/>
      <c r="AG724" s="1417"/>
      <c r="AH724" s="1415"/>
      <c r="AI724" s="1416"/>
      <c r="AJ724" s="1417"/>
      <c r="AK724" s="1415"/>
      <c r="AL724" s="1416"/>
      <c r="AM724" s="1416"/>
      <c r="AN724" s="1416"/>
      <c r="AO724" s="1417"/>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18"/>
      <c r="C725" s="1419"/>
      <c r="D725" s="1419"/>
      <c r="E725" s="1419"/>
      <c r="F725" s="1420"/>
      <c r="G725" s="1418"/>
      <c r="H725" s="1419"/>
      <c r="I725" s="1419"/>
      <c r="J725" s="1420"/>
      <c r="K725" s="1727"/>
      <c r="L725" s="1728"/>
      <c r="M725" s="1728"/>
      <c r="N725" s="1729"/>
      <c r="O725" s="1418"/>
      <c r="P725" s="1419"/>
      <c r="Q725" s="1419"/>
      <c r="R725" s="1419"/>
      <c r="S725" s="1420"/>
      <c r="T725" s="1418"/>
      <c r="U725" s="1419"/>
      <c r="V725" s="1419"/>
      <c r="W725" s="1420"/>
      <c r="X725" s="1418"/>
      <c r="Y725" s="1419"/>
      <c r="Z725" s="1419"/>
      <c r="AA725" s="1419"/>
      <c r="AB725" s="1420"/>
      <c r="AC725" s="1418"/>
      <c r="AD725" s="1419"/>
      <c r="AE725" s="1419"/>
      <c r="AF725" s="1419"/>
      <c r="AG725" s="1420"/>
      <c r="AH725" s="1418"/>
      <c r="AI725" s="1419"/>
      <c r="AJ725" s="1420"/>
      <c r="AK725" s="1418"/>
      <c r="AL725" s="1419"/>
      <c r="AM725" s="1419"/>
      <c r="AN725" s="1419"/>
      <c r="AO725" s="1420"/>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51"/>
      <c r="CJ725" s="1552"/>
      <c r="CK725" s="121" t="s">
        <v>475</v>
      </c>
      <c r="CL725" s="122"/>
      <c r="CM725" s="1551"/>
      <c r="CN725" s="1552"/>
      <c r="CO725" s="3"/>
      <c r="CP725" s="1468" t="s">
        <v>633</v>
      </c>
      <c r="CQ725" s="1469"/>
      <c r="CR725" s="1469"/>
      <c r="CS725" s="1469"/>
      <c r="CT725" s="1470"/>
      <c r="CU725" s="1541" t="s">
        <v>325</v>
      </c>
      <c r="CV725" s="1541"/>
      <c r="CW725" s="1541"/>
      <c r="CX725" s="1541"/>
      <c r="CY725" s="1541"/>
      <c r="CZ725" s="1541" t="s">
        <v>163</v>
      </c>
      <c r="DA725" s="1541"/>
      <c r="DB725" s="1541"/>
      <c r="DC725" s="1541"/>
      <c r="DD725" s="1541"/>
      <c r="DE725" s="1541" t="s">
        <v>164</v>
      </c>
      <c r="DF725" s="1541"/>
      <c r="DG725" s="1541"/>
      <c r="DH725" s="1541"/>
      <c r="DI725" s="1541"/>
      <c r="DJ725" s="1541" t="s">
        <v>460</v>
      </c>
      <c r="DK725" s="1541"/>
      <c r="DL725" s="1541"/>
      <c r="DM725" s="1541"/>
      <c r="DN725" s="1541"/>
      <c r="DO725" s="1541" t="s">
        <v>30</v>
      </c>
      <c r="DP725" s="1541"/>
      <c r="DQ725" s="1541"/>
      <c r="DR725" s="1541"/>
      <c r="DS725" s="1541"/>
      <c r="DT725" s="89"/>
      <c r="DU725" s="1541" t="s">
        <v>633</v>
      </c>
      <c r="DV725" s="1541"/>
      <c r="DW725" s="1541"/>
      <c r="DX725" s="1541"/>
      <c r="DY725" s="1541"/>
      <c r="DZ725" s="1541" t="s">
        <v>325</v>
      </c>
      <c r="EA725" s="1541"/>
      <c r="EB725" s="1541"/>
      <c r="EC725" s="1541"/>
      <c r="ED725" s="1541"/>
      <c r="EE725" s="1541" t="s">
        <v>163</v>
      </c>
      <c r="EF725" s="1541"/>
      <c r="EG725" s="1541"/>
      <c r="EH725" s="1541"/>
      <c r="EI725" s="1541"/>
      <c r="EJ725" s="1541" t="s">
        <v>164</v>
      </c>
      <c r="EK725" s="1541"/>
      <c r="EL725" s="1541"/>
      <c r="EM725" s="1541"/>
      <c r="EN725" s="1541"/>
      <c r="EO725" s="1541" t="s">
        <v>460</v>
      </c>
      <c r="EP725" s="1541"/>
      <c r="EQ725" s="1541"/>
      <c r="ER725" s="1541"/>
      <c r="ES725" s="1541"/>
      <c r="ET725" s="1541" t="s">
        <v>30</v>
      </c>
      <c r="EU725" s="1541"/>
      <c r="EV725" s="1541"/>
      <c r="EW725" s="1541"/>
      <c r="EX725" s="1541"/>
      <c r="EY725" s="4"/>
      <c r="EZ725" s="1541" t="s">
        <v>633</v>
      </c>
      <c r="FA725" s="1541"/>
      <c r="FB725" s="1541"/>
      <c r="FC725" s="1541"/>
      <c r="FD725" s="1541"/>
      <c r="FE725" s="1541" t="s">
        <v>325</v>
      </c>
      <c r="FF725" s="1541"/>
      <c r="FG725" s="1541"/>
      <c r="FH725" s="1541"/>
      <c r="FI725" s="1541"/>
      <c r="FJ725" s="1541" t="s">
        <v>163</v>
      </c>
      <c r="FK725" s="1541"/>
      <c r="FL725" s="1541"/>
      <c r="FM725" s="1541"/>
      <c r="FN725" s="1541"/>
      <c r="FO725" s="1541" t="s">
        <v>164</v>
      </c>
      <c r="FP725" s="1541"/>
      <c r="FQ725" s="1541"/>
      <c r="FR725" s="1541"/>
      <c r="FS725" s="1541"/>
      <c r="FT725" s="1541" t="s">
        <v>460</v>
      </c>
      <c r="FU725" s="1541"/>
      <c r="FV725" s="1541"/>
      <c r="FW725" s="1541"/>
      <c r="FX725" s="1541"/>
      <c r="FY725" s="1541" t="s">
        <v>30</v>
      </c>
      <c r="FZ725" s="1541"/>
      <c r="GA725" s="1541"/>
      <c r="GB725" s="1541"/>
      <c r="GC725" s="1541"/>
    </row>
    <row r="726" spans="1:185" ht="12.95" customHeight="1">
      <c r="A726" s="4"/>
      <c r="B726" s="1360" t="s">
        <v>324</v>
      </c>
      <c r="C726" s="1361"/>
      <c r="D726" s="1361"/>
      <c r="E726" s="1361"/>
      <c r="F726" s="1362"/>
      <c r="G726" s="1354">
        <v>1</v>
      </c>
      <c r="H726" s="1355"/>
      <c r="I726" s="1355"/>
      <c r="J726" s="1356"/>
      <c r="K726" s="1357">
        <v>466</v>
      </c>
      <c r="L726" s="1358"/>
      <c r="M726" s="1358"/>
      <c r="N726" s="1359"/>
      <c r="O726" s="1393">
        <v>795</v>
      </c>
      <c r="P726" s="1394"/>
      <c r="Q726" s="1394"/>
      <c r="R726" s="1394"/>
      <c r="S726" s="1395"/>
      <c r="T726" s="1393">
        <v>0</v>
      </c>
      <c r="U726" s="1394"/>
      <c r="V726" s="1394"/>
      <c r="W726" s="1395"/>
      <c r="X726" s="1441">
        <f t="shared" ref="X726:X749" si="10">O726+T726</f>
        <v>795</v>
      </c>
      <c r="Y726" s="1442"/>
      <c r="Z726" s="1442"/>
      <c r="AA726" s="1442"/>
      <c r="AB726" s="1443"/>
      <c r="AC726" s="1438">
        <v>0.3</v>
      </c>
      <c r="AD726" s="1439"/>
      <c r="AE726" s="1439"/>
      <c r="AF726" s="1439"/>
      <c r="AG726" s="1440"/>
      <c r="AH726" s="1421">
        <f>IF($AC726&gt;0,($X726/$AZ726), "")</f>
        <v>0.3</v>
      </c>
      <c r="AI726" s="1422"/>
      <c r="AJ726" s="1423"/>
      <c r="AK726" s="1360" t="s">
        <v>2056</v>
      </c>
      <c r="AL726" s="1361"/>
      <c r="AM726" s="1361"/>
      <c r="AN726" s="1361"/>
      <c r="AO726" s="1362"/>
      <c r="AP726" s="3"/>
      <c r="AQ726" s="3"/>
      <c r="AR726" s="3"/>
      <c r="AS726" s="3"/>
      <c r="AZ726" s="118">
        <f t="shared" ref="AZ726:AZ760" si="11">IF($G726=0,"N/A",VLOOKUP($T$189,TC_Rent,(MATCH($B726,bedrooms,FALSE)),FALSE))</f>
        <v>2650</v>
      </c>
      <c r="BA726" s="3"/>
      <c r="BB726" s="3"/>
      <c r="BC726" s="3"/>
      <c r="BD726" s="3"/>
      <c r="BE726" s="204"/>
      <c r="BF726" s="293">
        <f t="shared" ref="BF726:BF760" si="12">G726</f>
        <v>1</v>
      </c>
      <c r="BG726" s="297">
        <f t="shared" ref="BG726:BG760" si="13">IF($BF$761=0,0,BF726/$BF$761)</f>
        <v>4.3478260869565216E-2</v>
      </c>
      <c r="BH726" s="298">
        <f t="shared" ref="BH726:BH760" si="14">IF(BG726=0,"",BG726*AC726)</f>
        <v>1.3043478260869565E-2</v>
      </c>
      <c r="BI726" s="3"/>
      <c r="BJ726" s="3"/>
      <c r="BK726" s="3"/>
      <c r="BL726" s="3"/>
      <c r="BM726" s="3"/>
      <c r="BN726" s="3"/>
      <c r="BS726" s="293">
        <f t="shared" ref="BS726:BS760" si="15">G726</f>
        <v>1</v>
      </c>
      <c r="BT726" s="297">
        <f t="shared" ref="BT726:BT760" si="16">IF($BS$761=0,0,BS726/$BS$761)</f>
        <v>4.3478260869565216E-2</v>
      </c>
      <c r="BU726" s="298">
        <f t="shared" ref="BU726:BU760" si="17">IF(BT726=0,"",BT726*AH726)</f>
        <v>1.3043478260869565E-2</v>
      </c>
      <c r="CC726" s="3"/>
      <c r="CD726" s="3"/>
      <c r="CE726" s="3"/>
      <c r="CF726" s="3"/>
      <c r="CG726" s="1542">
        <f>IF(AND(AC726&lt;=0.5,AC726&gt;=0.36),1,0)</f>
        <v>0</v>
      </c>
      <c r="CH726" s="1543"/>
      <c r="CI726" s="1551">
        <f>IF(CG726=1,G726,0)</f>
        <v>0</v>
      </c>
      <c r="CJ726" s="1552"/>
      <c r="CK726" s="1542">
        <f t="shared" ref="CK726:CK760" si="18">IF(AND(AC726&lt;=0.35,AC726&gt;0),1,0)</f>
        <v>1</v>
      </c>
      <c r="CL726" s="1543"/>
      <c r="CM726" s="1551">
        <f t="shared" ref="CM726:CM760" si="19">IF(CK726=1,G726,0)</f>
        <v>1</v>
      </c>
      <c r="CN726" s="1552"/>
      <c r="CO726" s="3"/>
      <c r="CP726" s="1544">
        <f t="shared" ref="CP726:CP760" si="20">IF(B726="SRO/Studio",G726,0)</f>
        <v>1</v>
      </c>
      <c r="CQ726" s="1545"/>
      <c r="CR726" s="1545"/>
      <c r="CS726" s="1545"/>
      <c r="CT726" s="1546"/>
      <c r="CU726" s="1547">
        <f t="shared" ref="CU726:CU760" si="21">IF(B726="1 Bedroom",G726,0)</f>
        <v>0</v>
      </c>
      <c r="CV726" s="1547"/>
      <c r="CW726" s="1547"/>
      <c r="CX726" s="1547"/>
      <c r="CY726" s="1547"/>
      <c r="CZ726" s="1547">
        <f t="shared" ref="CZ726:CZ760" si="22">IF(B726="2 Bedrooms",G726,0)</f>
        <v>0</v>
      </c>
      <c r="DA726" s="1547"/>
      <c r="DB726" s="1547"/>
      <c r="DC726" s="1547"/>
      <c r="DD726" s="1547"/>
      <c r="DE726" s="1547">
        <f t="shared" ref="DE726:DE760" si="23">IF(B726="3 Bedrooms",G726,0)</f>
        <v>0</v>
      </c>
      <c r="DF726" s="1547"/>
      <c r="DG726" s="1547"/>
      <c r="DH726" s="1547"/>
      <c r="DI726" s="1547"/>
      <c r="DJ726" s="1547">
        <f t="shared" ref="DJ726:DJ760" si="24">IF(B726="4 Bedrooms",G726,0)</f>
        <v>0</v>
      </c>
      <c r="DK726" s="1547"/>
      <c r="DL726" s="1547"/>
      <c r="DM726" s="1547"/>
      <c r="DN726" s="1547"/>
      <c r="DO726" s="1547">
        <f t="shared" ref="DO726:DO760" si="25">IF(B726="5 Bedrooms",G726,0)</f>
        <v>0</v>
      </c>
      <c r="DP726" s="1547"/>
      <c r="DQ726" s="1547"/>
      <c r="DR726" s="1547"/>
      <c r="DS726" s="1547"/>
      <c r="DT726" s="6"/>
      <c r="DU726" s="1540">
        <f t="shared" ref="DU726:DU760" si="26">IF(AND(B726="SRO/Studio",AC726&lt;=0.3),G726,0)</f>
        <v>1</v>
      </c>
      <c r="DV726" s="1540"/>
      <c r="DW726" s="1540"/>
      <c r="DX726" s="1540"/>
      <c r="DY726" s="1540"/>
      <c r="DZ726" s="1540">
        <f t="shared" ref="DZ726:DZ760" si="27">IF(AND(B726="1 Bedroom",AC726&lt;=0.3),G726,0)</f>
        <v>0</v>
      </c>
      <c r="EA726" s="1540"/>
      <c r="EB726" s="1540"/>
      <c r="EC726" s="1540"/>
      <c r="ED726" s="1540"/>
      <c r="EE726" s="1540">
        <f t="shared" ref="EE726:EE760" si="28">IF(AND(B726="2 Bedrooms",AC726&lt;=0.3),G726,0)</f>
        <v>0</v>
      </c>
      <c r="EF726" s="1540"/>
      <c r="EG726" s="1540"/>
      <c r="EH726" s="1540"/>
      <c r="EI726" s="1540"/>
      <c r="EJ726" s="1540">
        <f t="shared" ref="EJ726:EJ760" si="29">IF(AND(B726="3 Bedrooms",AC726&lt;=0.3),G726,0)</f>
        <v>0</v>
      </c>
      <c r="EK726" s="1540"/>
      <c r="EL726" s="1540"/>
      <c r="EM726" s="1540"/>
      <c r="EN726" s="1540"/>
      <c r="EO726" s="1540">
        <f t="shared" ref="EO726:EO760" si="30">IF(AND(B726="4 Bedrooms",AC726&lt;=0.3),G726,0)</f>
        <v>0</v>
      </c>
      <c r="EP726" s="1540"/>
      <c r="EQ726" s="1540"/>
      <c r="ER726" s="1540"/>
      <c r="ES726" s="1540"/>
      <c r="ET726" s="1540">
        <f t="shared" ref="ET726:ET760" si="31">IF(AND(B726="5 Bedrooms",AC726&lt;=0.3),G726,0)</f>
        <v>0</v>
      </c>
      <c r="EU726" s="1540"/>
      <c r="EV726" s="1540"/>
      <c r="EW726" s="1540"/>
      <c r="EX726" s="1540"/>
      <c r="EY726" s="4"/>
      <c r="EZ726" s="1542">
        <f t="shared" ref="EZ726:EZ760" si="32">IF(CP726&gt;0,O726,"")</f>
        <v>795</v>
      </c>
      <c r="FA726" s="1560"/>
      <c r="FB726" s="1560"/>
      <c r="FC726" s="1560"/>
      <c r="FD726" s="1543"/>
      <c r="FE726" s="1542" t="str">
        <f t="shared" ref="FE726:FE760" si="33">IF(CU726&gt;0,O726,"")</f>
        <v/>
      </c>
      <c r="FF726" s="1560"/>
      <c r="FG726" s="1560"/>
      <c r="FH726" s="1560"/>
      <c r="FI726" s="1543"/>
      <c r="FJ726" s="1542" t="str">
        <f t="shared" ref="FJ726:FJ760" si="34">IF(CZ726&gt;0,O726,"")</f>
        <v/>
      </c>
      <c r="FK726" s="1560"/>
      <c r="FL726" s="1560"/>
      <c r="FM726" s="1560"/>
      <c r="FN726" s="1543"/>
      <c r="FO726" s="1542" t="str">
        <f t="shared" ref="FO726:FO760" si="35">IF(DE726&gt;0,O726,"")</f>
        <v/>
      </c>
      <c r="FP726" s="1560"/>
      <c r="FQ726" s="1560"/>
      <c r="FR726" s="1560"/>
      <c r="FS726" s="1543"/>
      <c r="FT726" s="1542" t="str">
        <f t="shared" ref="FT726:FT760" si="36">IF(DJ726&gt;0,O726,"")</f>
        <v/>
      </c>
      <c r="FU726" s="1560"/>
      <c r="FV726" s="1560"/>
      <c r="FW726" s="1560"/>
      <c r="FX726" s="1543"/>
      <c r="FY726" s="1542" t="str">
        <f t="shared" ref="FY726:FY760" si="37">IF(DO726&gt;0,O726,"")</f>
        <v/>
      </c>
      <c r="FZ726" s="1560"/>
      <c r="GA726" s="1560"/>
      <c r="GB726" s="1560"/>
      <c r="GC726" s="1543"/>
    </row>
    <row r="727" spans="1:185" ht="12.95" customHeight="1">
      <c r="A727" s="4"/>
      <c r="B727" s="1360" t="s">
        <v>324</v>
      </c>
      <c r="C727" s="1361"/>
      <c r="D727" s="1361"/>
      <c r="E727" s="1361"/>
      <c r="F727" s="1362"/>
      <c r="G727" s="1354">
        <v>1</v>
      </c>
      <c r="H727" s="1355"/>
      <c r="I727" s="1355"/>
      <c r="J727" s="1356"/>
      <c r="K727" s="1357">
        <v>466</v>
      </c>
      <c r="L727" s="1358"/>
      <c r="M727" s="1358"/>
      <c r="N727" s="1359"/>
      <c r="O727" s="1393">
        <v>1325</v>
      </c>
      <c r="P727" s="1394"/>
      <c r="Q727" s="1394"/>
      <c r="R727" s="1394"/>
      <c r="S727" s="1395"/>
      <c r="T727" s="1393">
        <v>0</v>
      </c>
      <c r="U727" s="1394"/>
      <c r="V727" s="1394"/>
      <c r="W727" s="1395"/>
      <c r="X727" s="1441">
        <f t="shared" si="10"/>
        <v>1325</v>
      </c>
      <c r="Y727" s="1442"/>
      <c r="Z727" s="1442"/>
      <c r="AA727" s="1442"/>
      <c r="AB727" s="1443"/>
      <c r="AC727" s="1438">
        <v>0.5</v>
      </c>
      <c r="AD727" s="1439"/>
      <c r="AE727" s="1439"/>
      <c r="AF727" s="1439"/>
      <c r="AG727" s="1440"/>
      <c r="AH727" s="1421">
        <f t="shared" ref="AH727:AH760" si="38">IF($AC727&gt;0,($X727/$AZ727), "")</f>
        <v>0.5</v>
      </c>
      <c r="AI727" s="1422"/>
      <c r="AJ727" s="1423"/>
      <c r="AK727" s="1360" t="s">
        <v>2056</v>
      </c>
      <c r="AL727" s="1361"/>
      <c r="AM727" s="1361"/>
      <c r="AN727" s="1361"/>
      <c r="AO727" s="1362"/>
      <c r="AP727" s="3"/>
      <c r="AQ727" s="3"/>
      <c r="AR727" s="3"/>
      <c r="AS727" s="3"/>
      <c r="AZ727" s="118">
        <f t="shared" si="11"/>
        <v>2650</v>
      </c>
      <c r="BA727" s="3"/>
      <c r="BB727" s="3"/>
      <c r="BC727" s="3"/>
      <c r="BD727" s="3"/>
      <c r="BE727" s="204"/>
      <c r="BF727" s="294">
        <f t="shared" si="12"/>
        <v>1</v>
      </c>
      <c r="BG727" s="297">
        <f t="shared" si="13"/>
        <v>4.3478260869565216E-2</v>
      </c>
      <c r="BH727" s="298">
        <f t="shared" si="14"/>
        <v>2.1739130434782608E-2</v>
      </c>
      <c r="BI727" s="3"/>
      <c r="BJ727" s="3"/>
      <c r="BK727" s="3"/>
      <c r="BL727" s="3"/>
      <c r="BM727" s="3"/>
      <c r="BN727" s="3"/>
      <c r="BS727" s="294">
        <f t="shared" si="15"/>
        <v>1</v>
      </c>
      <c r="BT727" s="297">
        <f t="shared" si="16"/>
        <v>4.3478260869565216E-2</v>
      </c>
      <c r="BU727" s="298">
        <f t="shared" si="17"/>
        <v>2.1739130434782608E-2</v>
      </c>
      <c r="CC727" s="3"/>
      <c r="CD727" s="3"/>
      <c r="CE727" s="3"/>
      <c r="CF727" s="3"/>
      <c r="CG727" s="1542">
        <f t="shared" ref="CG727:CG760" si="39">IF(AND(AC727&lt;=0.5,AC727&gt;=0.36),1,0)</f>
        <v>1</v>
      </c>
      <c r="CH727" s="1543"/>
      <c r="CI727" s="1551">
        <f t="shared" ref="CI727:CI760" si="40">IF(CG727=1,G727,0)</f>
        <v>1</v>
      </c>
      <c r="CJ727" s="1552"/>
      <c r="CK727" s="1542">
        <f t="shared" si="18"/>
        <v>0</v>
      </c>
      <c r="CL727" s="1543"/>
      <c r="CM727" s="1551">
        <f t="shared" si="19"/>
        <v>0</v>
      </c>
      <c r="CN727" s="1552"/>
      <c r="CO727" s="3"/>
      <c r="CP727" s="1544">
        <f t="shared" si="20"/>
        <v>1</v>
      </c>
      <c r="CQ727" s="1545"/>
      <c r="CR727" s="1545"/>
      <c r="CS727" s="1545"/>
      <c r="CT727" s="1546"/>
      <c r="CU727" s="1547">
        <f t="shared" si="21"/>
        <v>0</v>
      </c>
      <c r="CV727" s="1547"/>
      <c r="CW727" s="1547"/>
      <c r="CX727" s="1547"/>
      <c r="CY727" s="1547"/>
      <c r="CZ727" s="1547">
        <f t="shared" si="22"/>
        <v>0</v>
      </c>
      <c r="DA727" s="1547"/>
      <c r="DB727" s="1547"/>
      <c r="DC727" s="1547"/>
      <c r="DD727" s="1547"/>
      <c r="DE727" s="1547">
        <f t="shared" si="23"/>
        <v>0</v>
      </c>
      <c r="DF727" s="1547"/>
      <c r="DG727" s="1547"/>
      <c r="DH727" s="1547"/>
      <c r="DI727" s="1547"/>
      <c r="DJ727" s="1547">
        <f t="shared" si="24"/>
        <v>0</v>
      </c>
      <c r="DK727" s="1547"/>
      <c r="DL727" s="1547"/>
      <c r="DM727" s="1547"/>
      <c r="DN727" s="1547"/>
      <c r="DO727" s="1547">
        <f t="shared" si="25"/>
        <v>0</v>
      </c>
      <c r="DP727" s="1547"/>
      <c r="DQ727" s="1547"/>
      <c r="DR727" s="1547"/>
      <c r="DS727" s="1547"/>
      <c r="DT727" s="6"/>
      <c r="DU727" s="1540">
        <f t="shared" si="26"/>
        <v>0</v>
      </c>
      <c r="DV727" s="1540"/>
      <c r="DW727" s="1540"/>
      <c r="DX727" s="1540"/>
      <c r="DY727" s="1540"/>
      <c r="DZ727" s="1540">
        <f t="shared" si="27"/>
        <v>0</v>
      </c>
      <c r="EA727" s="1540"/>
      <c r="EB727" s="1540"/>
      <c r="EC727" s="1540"/>
      <c r="ED727" s="1540"/>
      <c r="EE727" s="1540">
        <f t="shared" si="28"/>
        <v>0</v>
      </c>
      <c r="EF727" s="1540"/>
      <c r="EG727" s="1540"/>
      <c r="EH727" s="1540"/>
      <c r="EI727" s="1540"/>
      <c r="EJ727" s="1540">
        <f t="shared" si="29"/>
        <v>0</v>
      </c>
      <c r="EK727" s="1540"/>
      <c r="EL727" s="1540"/>
      <c r="EM727" s="1540"/>
      <c r="EN727" s="1540"/>
      <c r="EO727" s="1540">
        <f t="shared" si="30"/>
        <v>0</v>
      </c>
      <c r="EP727" s="1540"/>
      <c r="EQ727" s="1540"/>
      <c r="ER727" s="1540"/>
      <c r="ES727" s="1540"/>
      <c r="ET727" s="1540">
        <f t="shared" si="31"/>
        <v>0</v>
      </c>
      <c r="EU727" s="1540"/>
      <c r="EV727" s="1540"/>
      <c r="EW727" s="1540"/>
      <c r="EX727" s="1540"/>
      <c r="EY727" s="4"/>
      <c r="EZ727" s="1542">
        <f t="shared" si="32"/>
        <v>1325</v>
      </c>
      <c r="FA727" s="1560"/>
      <c r="FB727" s="1560"/>
      <c r="FC727" s="1560"/>
      <c r="FD727" s="1543"/>
      <c r="FE727" s="1542" t="str">
        <f t="shared" si="33"/>
        <v/>
      </c>
      <c r="FF727" s="1560"/>
      <c r="FG727" s="1560"/>
      <c r="FH727" s="1560"/>
      <c r="FI727" s="1543"/>
      <c r="FJ727" s="1542" t="str">
        <f t="shared" si="34"/>
        <v/>
      </c>
      <c r="FK727" s="1560"/>
      <c r="FL727" s="1560"/>
      <c r="FM727" s="1560"/>
      <c r="FN727" s="1543"/>
      <c r="FO727" s="1542" t="str">
        <f t="shared" si="35"/>
        <v/>
      </c>
      <c r="FP727" s="1560"/>
      <c r="FQ727" s="1560"/>
      <c r="FR727" s="1560"/>
      <c r="FS727" s="1543"/>
      <c r="FT727" s="1542" t="str">
        <f t="shared" si="36"/>
        <v/>
      </c>
      <c r="FU727" s="1560"/>
      <c r="FV727" s="1560"/>
      <c r="FW727" s="1560"/>
      <c r="FX727" s="1543"/>
      <c r="FY727" s="1542" t="str">
        <f t="shared" si="37"/>
        <v/>
      </c>
      <c r="FZ727" s="1560"/>
      <c r="GA727" s="1560"/>
      <c r="GB727" s="1560"/>
      <c r="GC727" s="1543"/>
    </row>
    <row r="728" spans="1:185" ht="12.95" customHeight="1">
      <c r="A728" s="4"/>
      <c r="B728" s="1360" t="s">
        <v>325</v>
      </c>
      <c r="C728" s="1361"/>
      <c r="D728" s="1361"/>
      <c r="E728" s="1361"/>
      <c r="F728" s="1362"/>
      <c r="G728" s="1354">
        <v>10</v>
      </c>
      <c r="H728" s="1355"/>
      <c r="I728" s="1355"/>
      <c r="J728" s="1356"/>
      <c r="K728" s="1357">
        <v>665</v>
      </c>
      <c r="L728" s="1358"/>
      <c r="M728" s="1358"/>
      <c r="N728" s="1359"/>
      <c r="O728" s="1393">
        <v>852</v>
      </c>
      <c r="P728" s="1394"/>
      <c r="Q728" s="1394"/>
      <c r="R728" s="1394"/>
      <c r="S728" s="1395"/>
      <c r="T728" s="1393">
        <v>0</v>
      </c>
      <c r="U728" s="1394"/>
      <c r="V728" s="1394"/>
      <c r="W728" s="1395"/>
      <c r="X728" s="1441">
        <f t="shared" si="10"/>
        <v>852</v>
      </c>
      <c r="Y728" s="1442"/>
      <c r="Z728" s="1442"/>
      <c r="AA728" s="1442"/>
      <c r="AB728" s="1443"/>
      <c r="AC728" s="1438">
        <v>0.3</v>
      </c>
      <c r="AD728" s="1439"/>
      <c r="AE728" s="1439"/>
      <c r="AF728" s="1439"/>
      <c r="AG728" s="1440"/>
      <c r="AH728" s="1421">
        <f t="shared" si="38"/>
        <v>0.3</v>
      </c>
      <c r="AI728" s="1422"/>
      <c r="AJ728" s="1423"/>
      <c r="AK728" s="1360" t="s">
        <v>2056</v>
      </c>
      <c r="AL728" s="1361"/>
      <c r="AM728" s="1361"/>
      <c r="AN728" s="1361"/>
      <c r="AO728" s="1362"/>
      <c r="AP728" s="3"/>
      <c r="AQ728" s="3"/>
      <c r="AR728" s="3"/>
      <c r="AS728" s="3"/>
      <c r="AZ728" s="118">
        <f t="shared" si="11"/>
        <v>2840</v>
      </c>
      <c r="BA728" s="3"/>
      <c r="BB728" s="3"/>
      <c r="BC728" s="3"/>
      <c r="BD728" s="3"/>
      <c r="BE728" s="204"/>
      <c r="BF728" s="294">
        <f t="shared" si="12"/>
        <v>10</v>
      </c>
      <c r="BG728" s="297">
        <f t="shared" si="13"/>
        <v>0.43478260869565216</v>
      </c>
      <c r="BH728" s="298">
        <f t="shared" si="14"/>
        <v>0.13043478260869565</v>
      </c>
      <c r="BI728" s="3"/>
      <c r="BJ728" s="3"/>
      <c r="BK728" s="3"/>
      <c r="BL728" s="3"/>
      <c r="BM728" s="3"/>
      <c r="BN728" s="3"/>
      <c r="BS728" s="294">
        <f t="shared" si="15"/>
        <v>10</v>
      </c>
      <c r="BT728" s="297">
        <f t="shared" si="16"/>
        <v>0.43478260869565216</v>
      </c>
      <c r="BU728" s="298">
        <f t="shared" si="17"/>
        <v>0.13043478260869565</v>
      </c>
      <c r="CC728" s="3"/>
      <c r="CD728" s="3"/>
      <c r="CE728" s="3"/>
      <c r="CF728" s="3"/>
      <c r="CG728" s="1542">
        <f t="shared" si="39"/>
        <v>0</v>
      </c>
      <c r="CH728" s="1543"/>
      <c r="CI728" s="1551">
        <f t="shared" si="40"/>
        <v>0</v>
      </c>
      <c r="CJ728" s="1552"/>
      <c r="CK728" s="1542">
        <f t="shared" si="18"/>
        <v>1</v>
      </c>
      <c r="CL728" s="1543"/>
      <c r="CM728" s="1551">
        <f t="shared" si="19"/>
        <v>10</v>
      </c>
      <c r="CN728" s="1552"/>
      <c r="CO728" s="3"/>
      <c r="CP728" s="1544">
        <f t="shared" si="20"/>
        <v>0</v>
      </c>
      <c r="CQ728" s="1545"/>
      <c r="CR728" s="1545"/>
      <c r="CS728" s="1545"/>
      <c r="CT728" s="1546"/>
      <c r="CU728" s="1547">
        <f t="shared" si="21"/>
        <v>10</v>
      </c>
      <c r="CV728" s="1547"/>
      <c r="CW728" s="1547"/>
      <c r="CX728" s="1547"/>
      <c r="CY728" s="1547"/>
      <c r="CZ728" s="1547">
        <f t="shared" si="22"/>
        <v>0</v>
      </c>
      <c r="DA728" s="1547"/>
      <c r="DB728" s="1547"/>
      <c r="DC728" s="1547"/>
      <c r="DD728" s="1547"/>
      <c r="DE728" s="1547">
        <f t="shared" si="23"/>
        <v>0</v>
      </c>
      <c r="DF728" s="1547"/>
      <c r="DG728" s="1547"/>
      <c r="DH728" s="1547"/>
      <c r="DI728" s="1547"/>
      <c r="DJ728" s="1547">
        <f t="shared" si="24"/>
        <v>0</v>
      </c>
      <c r="DK728" s="1547"/>
      <c r="DL728" s="1547"/>
      <c r="DM728" s="1547"/>
      <c r="DN728" s="1547"/>
      <c r="DO728" s="1547">
        <f t="shared" si="25"/>
        <v>0</v>
      </c>
      <c r="DP728" s="1547"/>
      <c r="DQ728" s="1547"/>
      <c r="DR728" s="1547"/>
      <c r="DS728" s="1547"/>
      <c r="DT728" s="6"/>
      <c r="DU728" s="1540">
        <f t="shared" si="26"/>
        <v>0</v>
      </c>
      <c r="DV728" s="1540"/>
      <c r="DW728" s="1540"/>
      <c r="DX728" s="1540"/>
      <c r="DY728" s="1540"/>
      <c r="DZ728" s="1540">
        <f t="shared" si="27"/>
        <v>10</v>
      </c>
      <c r="EA728" s="1540"/>
      <c r="EB728" s="1540"/>
      <c r="EC728" s="1540"/>
      <c r="ED728" s="1540"/>
      <c r="EE728" s="1540">
        <f t="shared" si="28"/>
        <v>0</v>
      </c>
      <c r="EF728" s="1540"/>
      <c r="EG728" s="1540"/>
      <c r="EH728" s="1540"/>
      <c r="EI728" s="1540"/>
      <c r="EJ728" s="1540">
        <f t="shared" si="29"/>
        <v>0</v>
      </c>
      <c r="EK728" s="1540"/>
      <c r="EL728" s="1540"/>
      <c r="EM728" s="1540"/>
      <c r="EN728" s="1540"/>
      <c r="EO728" s="1540">
        <f t="shared" si="30"/>
        <v>0</v>
      </c>
      <c r="EP728" s="1540"/>
      <c r="EQ728" s="1540"/>
      <c r="ER728" s="1540"/>
      <c r="ES728" s="1540"/>
      <c r="ET728" s="1540">
        <f t="shared" si="31"/>
        <v>0</v>
      </c>
      <c r="EU728" s="1540"/>
      <c r="EV728" s="1540"/>
      <c r="EW728" s="1540"/>
      <c r="EX728" s="1540"/>
      <c r="EZ728" s="1542" t="str">
        <f t="shared" si="32"/>
        <v/>
      </c>
      <c r="FA728" s="1560"/>
      <c r="FB728" s="1560"/>
      <c r="FC728" s="1560"/>
      <c r="FD728" s="1543"/>
      <c r="FE728" s="1542">
        <f t="shared" si="33"/>
        <v>852</v>
      </c>
      <c r="FF728" s="1560"/>
      <c r="FG728" s="1560"/>
      <c r="FH728" s="1560"/>
      <c r="FI728" s="1543"/>
      <c r="FJ728" s="1542" t="str">
        <f t="shared" si="34"/>
        <v/>
      </c>
      <c r="FK728" s="1560"/>
      <c r="FL728" s="1560"/>
      <c r="FM728" s="1560"/>
      <c r="FN728" s="1543"/>
      <c r="FO728" s="1542" t="str">
        <f t="shared" si="35"/>
        <v/>
      </c>
      <c r="FP728" s="1560"/>
      <c r="FQ728" s="1560"/>
      <c r="FR728" s="1560"/>
      <c r="FS728" s="1543"/>
      <c r="FT728" s="1542" t="str">
        <f t="shared" si="36"/>
        <v/>
      </c>
      <c r="FU728" s="1560"/>
      <c r="FV728" s="1560"/>
      <c r="FW728" s="1560"/>
      <c r="FX728" s="1543"/>
      <c r="FY728" s="1542" t="str">
        <f t="shared" si="37"/>
        <v/>
      </c>
      <c r="FZ728" s="1560"/>
      <c r="GA728" s="1560"/>
      <c r="GB728" s="1560"/>
      <c r="GC728" s="1543"/>
    </row>
    <row r="729" spans="1:185" ht="12.95" customHeight="1">
      <c r="B729" s="1360" t="s">
        <v>325</v>
      </c>
      <c r="C729" s="1361"/>
      <c r="D729" s="1361"/>
      <c r="E729" s="1361"/>
      <c r="F729" s="1362"/>
      <c r="G729" s="1354">
        <v>9</v>
      </c>
      <c r="H729" s="1355"/>
      <c r="I729" s="1355"/>
      <c r="J729" s="1356"/>
      <c r="K729" s="1357">
        <v>665</v>
      </c>
      <c r="L729" s="1358"/>
      <c r="M729" s="1358"/>
      <c r="N729" s="1359"/>
      <c r="O729" s="1393">
        <v>1420</v>
      </c>
      <c r="P729" s="1394"/>
      <c r="Q729" s="1394"/>
      <c r="R729" s="1394"/>
      <c r="S729" s="1395"/>
      <c r="T729" s="1393">
        <v>0</v>
      </c>
      <c r="U729" s="1394"/>
      <c r="V729" s="1394"/>
      <c r="W729" s="1395"/>
      <c r="X729" s="1441">
        <f t="shared" si="10"/>
        <v>1420</v>
      </c>
      <c r="Y729" s="1442"/>
      <c r="Z729" s="1442"/>
      <c r="AA729" s="1442"/>
      <c r="AB729" s="1443"/>
      <c r="AC729" s="1438">
        <v>0.5</v>
      </c>
      <c r="AD729" s="1439"/>
      <c r="AE729" s="1439"/>
      <c r="AF729" s="1439"/>
      <c r="AG729" s="1440"/>
      <c r="AH729" s="1421">
        <f t="shared" si="38"/>
        <v>0.5</v>
      </c>
      <c r="AI729" s="1422"/>
      <c r="AJ729" s="1423"/>
      <c r="AK729" s="1360" t="s">
        <v>2056</v>
      </c>
      <c r="AL729" s="1361"/>
      <c r="AM729" s="1361"/>
      <c r="AN729" s="1361"/>
      <c r="AO729" s="1362"/>
      <c r="AP729" s="3"/>
      <c r="AQ729" s="3"/>
      <c r="AR729" s="3"/>
      <c r="AS729" s="3"/>
      <c r="AY729" s="116"/>
      <c r="AZ729" s="118">
        <f t="shared" si="11"/>
        <v>2840</v>
      </c>
      <c r="BA729" s="3"/>
      <c r="BB729" s="3"/>
      <c r="BC729" s="3"/>
      <c r="BD729" s="3"/>
      <c r="BE729" s="204"/>
      <c r="BF729" s="294">
        <f t="shared" si="12"/>
        <v>9</v>
      </c>
      <c r="BG729" s="297">
        <f t="shared" si="13"/>
        <v>0.39130434782608697</v>
      </c>
      <c r="BH729" s="298">
        <f t="shared" si="14"/>
        <v>0.19565217391304349</v>
      </c>
      <c r="BI729" s="3"/>
      <c r="BJ729" s="3"/>
      <c r="BK729" s="3"/>
      <c r="BL729" s="3"/>
      <c r="BM729" s="3"/>
      <c r="BN729" s="3"/>
      <c r="BS729" s="294">
        <f t="shared" si="15"/>
        <v>9</v>
      </c>
      <c r="BT729" s="297">
        <f t="shared" si="16"/>
        <v>0.39130434782608697</v>
      </c>
      <c r="BU729" s="298">
        <f t="shared" si="17"/>
        <v>0.19565217391304349</v>
      </c>
      <c r="CC729" s="3"/>
      <c r="CD729" s="3"/>
      <c r="CE729" s="3"/>
      <c r="CF729" s="3"/>
      <c r="CG729" s="1542">
        <f t="shared" si="39"/>
        <v>1</v>
      </c>
      <c r="CH729" s="1543"/>
      <c r="CI729" s="1551">
        <f t="shared" si="40"/>
        <v>9</v>
      </c>
      <c r="CJ729" s="1552"/>
      <c r="CK729" s="1542">
        <f t="shared" si="18"/>
        <v>0</v>
      </c>
      <c r="CL729" s="1543"/>
      <c r="CM729" s="1551">
        <f t="shared" si="19"/>
        <v>0</v>
      </c>
      <c r="CN729" s="1552"/>
      <c r="CO729" s="3"/>
      <c r="CP729" s="1544">
        <f t="shared" si="20"/>
        <v>0</v>
      </c>
      <c r="CQ729" s="1545"/>
      <c r="CR729" s="1545"/>
      <c r="CS729" s="1545"/>
      <c r="CT729" s="1546"/>
      <c r="CU729" s="1547">
        <f t="shared" si="21"/>
        <v>9</v>
      </c>
      <c r="CV729" s="1547"/>
      <c r="CW729" s="1547"/>
      <c r="CX729" s="1547"/>
      <c r="CY729" s="1547"/>
      <c r="CZ729" s="1547">
        <f t="shared" si="22"/>
        <v>0</v>
      </c>
      <c r="DA729" s="1547"/>
      <c r="DB729" s="1547"/>
      <c r="DC729" s="1547"/>
      <c r="DD729" s="1547"/>
      <c r="DE729" s="1547">
        <f t="shared" si="23"/>
        <v>0</v>
      </c>
      <c r="DF729" s="1547"/>
      <c r="DG729" s="1547"/>
      <c r="DH729" s="1547"/>
      <c r="DI729" s="1547"/>
      <c r="DJ729" s="1547">
        <f t="shared" si="24"/>
        <v>0</v>
      </c>
      <c r="DK729" s="1547"/>
      <c r="DL729" s="1547"/>
      <c r="DM729" s="1547"/>
      <c r="DN729" s="1547"/>
      <c r="DO729" s="1547">
        <f t="shared" si="25"/>
        <v>0</v>
      </c>
      <c r="DP729" s="1547"/>
      <c r="DQ729" s="1547"/>
      <c r="DR729" s="1547"/>
      <c r="DS729" s="1547"/>
      <c r="DT729" s="6"/>
      <c r="DU729" s="1540">
        <f t="shared" si="26"/>
        <v>0</v>
      </c>
      <c r="DV729" s="1540"/>
      <c r="DW729" s="1540"/>
      <c r="DX729" s="1540"/>
      <c r="DY729" s="1540"/>
      <c r="DZ729" s="1540">
        <f t="shared" si="27"/>
        <v>0</v>
      </c>
      <c r="EA729" s="1540"/>
      <c r="EB729" s="1540"/>
      <c r="EC729" s="1540"/>
      <c r="ED729" s="1540"/>
      <c r="EE729" s="1540">
        <f t="shared" si="28"/>
        <v>0</v>
      </c>
      <c r="EF729" s="1540"/>
      <c r="EG729" s="1540"/>
      <c r="EH729" s="1540"/>
      <c r="EI729" s="1540"/>
      <c r="EJ729" s="1540">
        <f t="shared" si="29"/>
        <v>0</v>
      </c>
      <c r="EK729" s="1540"/>
      <c r="EL729" s="1540"/>
      <c r="EM729" s="1540"/>
      <c r="EN729" s="1540"/>
      <c r="EO729" s="1540">
        <f t="shared" si="30"/>
        <v>0</v>
      </c>
      <c r="EP729" s="1540"/>
      <c r="EQ729" s="1540"/>
      <c r="ER729" s="1540"/>
      <c r="ES729" s="1540"/>
      <c r="ET729" s="1540">
        <f t="shared" si="31"/>
        <v>0</v>
      </c>
      <c r="EU729" s="1540"/>
      <c r="EV729" s="1540"/>
      <c r="EW729" s="1540"/>
      <c r="EX729" s="1540"/>
      <c r="EZ729" s="1542" t="str">
        <f t="shared" si="32"/>
        <v/>
      </c>
      <c r="FA729" s="1560"/>
      <c r="FB729" s="1560"/>
      <c r="FC729" s="1560"/>
      <c r="FD729" s="1543"/>
      <c r="FE729" s="1542">
        <f t="shared" si="33"/>
        <v>1420</v>
      </c>
      <c r="FF729" s="1560"/>
      <c r="FG729" s="1560"/>
      <c r="FH729" s="1560"/>
      <c r="FI729" s="1543"/>
      <c r="FJ729" s="1542" t="str">
        <f t="shared" si="34"/>
        <v/>
      </c>
      <c r="FK729" s="1560"/>
      <c r="FL729" s="1560"/>
      <c r="FM729" s="1560"/>
      <c r="FN729" s="1543"/>
      <c r="FO729" s="1542" t="str">
        <f t="shared" si="35"/>
        <v/>
      </c>
      <c r="FP729" s="1560"/>
      <c r="FQ729" s="1560"/>
      <c r="FR729" s="1560"/>
      <c r="FS729" s="1543"/>
      <c r="FT729" s="1542" t="str">
        <f t="shared" si="36"/>
        <v/>
      </c>
      <c r="FU729" s="1560"/>
      <c r="FV729" s="1560"/>
      <c r="FW729" s="1560"/>
      <c r="FX729" s="1543"/>
      <c r="FY729" s="1542" t="str">
        <f t="shared" si="37"/>
        <v/>
      </c>
      <c r="FZ729" s="1560"/>
      <c r="GA729" s="1560"/>
      <c r="GB729" s="1560"/>
      <c r="GC729" s="1543"/>
    </row>
    <row r="730" spans="1:185" ht="12.95" customHeight="1">
      <c r="B730" s="1360" t="s">
        <v>163</v>
      </c>
      <c r="C730" s="1361"/>
      <c r="D730" s="1361"/>
      <c r="E730" s="1361"/>
      <c r="F730" s="1362"/>
      <c r="G730" s="1354">
        <v>1</v>
      </c>
      <c r="H730" s="1355"/>
      <c r="I730" s="1355"/>
      <c r="J730" s="1356"/>
      <c r="K730" s="1357">
        <v>1073</v>
      </c>
      <c r="L730" s="1358"/>
      <c r="M730" s="1358"/>
      <c r="N730" s="1359"/>
      <c r="O730" s="1393">
        <v>1022</v>
      </c>
      <c r="P730" s="1394"/>
      <c r="Q730" s="1394"/>
      <c r="R730" s="1394"/>
      <c r="S730" s="1395"/>
      <c r="T730" s="1393">
        <v>0</v>
      </c>
      <c r="U730" s="1394"/>
      <c r="V730" s="1394"/>
      <c r="W730" s="1395"/>
      <c r="X730" s="1441">
        <f t="shared" si="10"/>
        <v>1022</v>
      </c>
      <c r="Y730" s="1442"/>
      <c r="Z730" s="1442"/>
      <c r="AA730" s="1442"/>
      <c r="AB730" s="1443"/>
      <c r="AC730" s="1438">
        <v>0.3</v>
      </c>
      <c r="AD730" s="1439"/>
      <c r="AE730" s="1439"/>
      <c r="AF730" s="1439"/>
      <c r="AG730" s="1440"/>
      <c r="AH730" s="1421">
        <f t="shared" si="38"/>
        <v>0.30005871990604815</v>
      </c>
      <c r="AI730" s="1422"/>
      <c r="AJ730" s="1423"/>
      <c r="AK730" s="1360" t="s">
        <v>2056</v>
      </c>
      <c r="AL730" s="1361"/>
      <c r="AM730" s="1361"/>
      <c r="AN730" s="1361"/>
      <c r="AO730" s="1362"/>
      <c r="AP730" s="3"/>
      <c r="AQ730" s="3"/>
      <c r="AR730" s="3"/>
      <c r="AS730" s="3"/>
      <c r="AY730" s="116"/>
      <c r="AZ730" s="118">
        <f t="shared" si="11"/>
        <v>3406</v>
      </c>
      <c r="BA730" s="3"/>
      <c r="BB730" s="3"/>
      <c r="BC730" s="3"/>
      <c r="BD730" s="3"/>
      <c r="BE730" s="204"/>
      <c r="BF730" s="294">
        <f t="shared" si="12"/>
        <v>1</v>
      </c>
      <c r="BG730" s="297">
        <f t="shared" si="13"/>
        <v>4.3478260869565216E-2</v>
      </c>
      <c r="BH730" s="298">
        <f t="shared" si="14"/>
        <v>1.3043478260869565E-2</v>
      </c>
      <c r="BI730" s="3"/>
      <c r="BJ730" s="3"/>
      <c r="BK730" s="3"/>
      <c r="BL730" s="3"/>
      <c r="BM730" s="3"/>
      <c r="BN730" s="3"/>
      <c r="BS730" s="294">
        <f t="shared" si="15"/>
        <v>1</v>
      </c>
      <c r="BT730" s="297">
        <f t="shared" si="16"/>
        <v>4.3478260869565216E-2</v>
      </c>
      <c r="BU730" s="298">
        <f t="shared" si="17"/>
        <v>1.3046031300262963E-2</v>
      </c>
      <c r="CC730" s="3"/>
      <c r="CD730" s="3"/>
      <c r="CE730" s="3"/>
      <c r="CF730" s="3"/>
      <c r="CG730" s="1542">
        <f t="shared" si="39"/>
        <v>0</v>
      </c>
      <c r="CH730" s="1543"/>
      <c r="CI730" s="1551">
        <f t="shared" si="40"/>
        <v>0</v>
      </c>
      <c r="CJ730" s="1552"/>
      <c r="CK730" s="1542">
        <f t="shared" si="18"/>
        <v>1</v>
      </c>
      <c r="CL730" s="1543"/>
      <c r="CM730" s="1551">
        <f t="shared" si="19"/>
        <v>1</v>
      </c>
      <c r="CN730" s="1552"/>
      <c r="CO730" s="3"/>
      <c r="CP730" s="1544">
        <f t="shared" si="20"/>
        <v>0</v>
      </c>
      <c r="CQ730" s="1545"/>
      <c r="CR730" s="1545"/>
      <c r="CS730" s="1545"/>
      <c r="CT730" s="1546"/>
      <c r="CU730" s="1547">
        <f t="shared" si="21"/>
        <v>0</v>
      </c>
      <c r="CV730" s="1547"/>
      <c r="CW730" s="1547"/>
      <c r="CX730" s="1547"/>
      <c r="CY730" s="1547"/>
      <c r="CZ730" s="1547">
        <f t="shared" si="22"/>
        <v>1</v>
      </c>
      <c r="DA730" s="1547"/>
      <c r="DB730" s="1547"/>
      <c r="DC730" s="1547"/>
      <c r="DD730" s="1547"/>
      <c r="DE730" s="1547">
        <f t="shared" si="23"/>
        <v>0</v>
      </c>
      <c r="DF730" s="1547"/>
      <c r="DG730" s="1547"/>
      <c r="DH730" s="1547"/>
      <c r="DI730" s="1547"/>
      <c r="DJ730" s="1547">
        <f t="shared" si="24"/>
        <v>0</v>
      </c>
      <c r="DK730" s="1547"/>
      <c r="DL730" s="1547"/>
      <c r="DM730" s="1547"/>
      <c r="DN730" s="1547"/>
      <c r="DO730" s="1547">
        <f t="shared" si="25"/>
        <v>0</v>
      </c>
      <c r="DP730" s="1547"/>
      <c r="DQ730" s="1547"/>
      <c r="DR730" s="1547"/>
      <c r="DS730" s="1547"/>
      <c r="DT730" s="6"/>
      <c r="DU730" s="1540">
        <f t="shared" si="26"/>
        <v>0</v>
      </c>
      <c r="DV730" s="1540"/>
      <c r="DW730" s="1540"/>
      <c r="DX730" s="1540"/>
      <c r="DY730" s="1540"/>
      <c r="DZ730" s="1540">
        <f t="shared" si="27"/>
        <v>0</v>
      </c>
      <c r="EA730" s="1540"/>
      <c r="EB730" s="1540"/>
      <c r="EC730" s="1540"/>
      <c r="ED730" s="1540"/>
      <c r="EE730" s="1540">
        <f t="shared" si="28"/>
        <v>1</v>
      </c>
      <c r="EF730" s="1540"/>
      <c r="EG730" s="1540"/>
      <c r="EH730" s="1540"/>
      <c r="EI730" s="1540"/>
      <c r="EJ730" s="1540">
        <f t="shared" si="29"/>
        <v>0</v>
      </c>
      <c r="EK730" s="1540"/>
      <c r="EL730" s="1540"/>
      <c r="EM730" s="1540"/>
      <c r="EN730" s="1540"/>
      <c r="EO730" s="1540">
        <f t="shared" si="30"/>
        <v>0</v>
      </c>
      <c r="EP730" s="1540"/>
      <c r="EQ730" s="1540"/>
      <c r="ER730" s="1540"/>
      <c r="ES730" s="1540"/>
      <c r="ET730" s="1540">
        <f t="shared" si="31"/>
        <v>0</v>
      </c>
      <c r="EU730" s="1540"/>
      <c r="EV730" s="1540"/>
      <c r="EW730" s="1540"/>
      <c r="EX730" s="1540"/>
      <c r="EZ730" s="1542" t="str">
        <f t="shared" si="32"/>
        <v/>
      </c>
      <c r="FA730" s="1560"/>
      <c r="FB730" s="1560"/>
      <c r="FC730" s="1560"/>
      <c r="FD730" s="1543"/>
      <c r="FE730" s="1542" t="str">
        <f t="shared" si="33"/>
        <v/>
      </c>
      <c r="FF730" s="1560"/>
      <c r="FG730" s="1560"/>
      <c r="FH730" s="1560"/>
      <c r="FI730" s="1543"/>
      <c r="FJ730" s="1542">
        <f t="shared" si="34"/>
        <v>1022</v>
      </c>
      <c r="FK730" s="1560"/>
      <c r="FL730" s="1560"/>
      <c r="FM730" s="1560"/>
      <c r="FN730" s="1543"/>
      <c r="FO730" s="1542" t="str">
        <f t="shared" si="35"/>
        <v/>
      </c>
      <c r="FP730" s="1560"/>
      <c r="FQ730" s="1560"/>
      <c r="FR730" s="1560"/>
      <c r="FS730" s="1543"/>
      <c r="FT730" s="1542" t="str">
        <f t="shared" si="36"/>
        <v/>
      </c>
      <c r="FU730" s="1560"/>
      <c r="FV730" s="1560"/>
      <c r="FW730" s="1560"/>
      <c r="FX730" s="1543"/>
      <c r="FY730" s="1542" t="str">
        <f t="shared" si="37"/>
        <v/>
      </c>
      <c r="FZ730" s="1560"/>
      <c r="GA730" s="1560"/>
      <c r="GB730" s="1560"/>
      <c r="GC730" s="1543"/>
    </row>
    <row r="731" spans="1:185" ht="12.95" customHeight="1">
      <c r="B731" s="1360" t="s">
        <v>163</v>
      </c>
      <c r="C731" s="1361"/>
      <c r="D731" s="1361"/>
      <c r="E731" s="1361"/>
      <c r="F731" s="1362"/>
      <c r="G731" s="1354">
        <v>1</v>
      </c>
      <c r="H731" s="1355"/>
      <c r="I731" s="1355"/>
      <c r="J731" s="1356"/>
      <c r="K731" s="1357">
        <v>1073</v>
      </c>
      <c r="L731" s="1358"/>
      <c r="M731" s="1358"/>
      <c r="N731" s="1359"/>
      <c r="O731" s="1393">
        <v>1703</v>
      </c>
      <c r="P731" s="1394"/>
      <c r="Q731" s="1394"/>
      <c r="R731" s="1394"/>
      <c r="S731" s="1395"/>
      <c r="T731" s="1393">
        <v>0</v>
      </c>
      <c r="U731" s="1394"/>
      <c r="V731" s="1394"/>
      <c r="W731" s="1395"/>
      <c r="X731" s="1441">
        <f t="shared" si="10"/>
        <v>1703</v>
      </c>
      <c r="Y731" s="1442"/>
      <c r="Z731" s="1442"/>
      <c r="AA731" s="1442"/>
      <c r="AB731" s="1443"/>
      <c r="AC731" s="1438">
        <v>0.5</v>
      </c>
      <c r="AD731" s="1439"/>
      <c r="AE731" s="1439"/>
      <c r="AF731" s="1439"/>
      <c r="AG731" s="1440"/>
      <c r="AH731" s="1421">
        <f t="shared" si="38"/>
        <v>0.5</v>
      </c>
      <c r="AI731" s="1422"/>
      <c r="AJ731" s="1423"/>
      <c r="AK731" s="1360" t="s">
        <v>2056</v>
      </c>
      <c r="AL731" s="1361"/>
      <c r="AM731" s="1361"/>
      <c r="AN731" s="1361"/>
      <c r="AO731" s="1362"/>
      <c r="AP731" s="3"/>
      <c r="AQ731" s="3"/>
      <c r="AR731" s="3"/>
      <c r="AS731" s="3"/>
      <c r="AY731" s="116"/>
      <c r="AZ731" s="118">
        <f t="shared" si="11"/>
        <v>3406</v>
      </c>
      <c r="BA731" s="3"/>
      <c r="BB731" s="3"/>
      <c r="BC731" s="3"/>
      <c r="BD731" s="3"/>
      <c r="BE731" s="204"/>
      <c r="BF731" s="294">
        <f t="shared" si="12"/>
        <v>1</v>
      </c>
      <c r="BG731" s="297">
        <f t="shared" si="13"/>
        <v>4.3478260869565216E-2</v>
      </c>
      <c r="BH731" s="298">
        <f t="shared" si="14"/>
        <v>2.1739130434782608E-2</v>
      </c>
      <c r="BI731" s="3"/>
      <c r="BJ731" s="3"/>
      <c r="BK731" s="3"/>
      <c r="BL731" s="3"/>
      <c r="BM731" s="3"/>
      <c r="BN731" s="3"/>
      <c r="BS731" s="294">
        <f t="shared" si="15"/>
        <v>1</v>
      </c>
      <c r="BT731" s="297">
        <f t="shared" si="16"/>
        <v>4.3478260869565216E-2</v>
      </c>
      <c r="BU731" s="298">
        <f t="shared" si="17"/>
        <v>2.1739130434782608E-2</v>
      </c>
      <c r="CC731" s="3"/>
      <c r="CD731" s="3"/>
      <c r="CE731" s="3"/>
      <c r="CF731" s="3"/>
      <c r="CG731" s="1542">
        <f t="shared" si="39"/>
        <v>1</v>
      </c>
      <c r="CH731" s="1543"/>
      <c r="CI731" s="1551">
        <f t="shared" si="40"/>
        <v>1</v>
      </c>
      <c r="CJ731" s="1552"/>
      <c r="CK731" s="1542">
        <f t="shared" si="18"/>
        <v>0</v>
      </c>
      <c r="CL731" s="1543"/>
      <c r="CM731" s="1551">
        <f t="shared" si="19"/>
        <v>0</v>
      </c>
      <c r="CN731" s="1552"/>
      <c r="CO731" s="3"/>
      <c r="CP731" s="1544">
        <f t="shared" si="20"/>
        <v>0</v>
      </c>
      <c r="CQ731" s="1545"/>
      <c r="CR731" s="1545"/>
      <c r="CS731" s="1545"/>
      <c r="CT731" s="1546"/>
      <c r="CU731" s="1547">
        <f t="shared" si="21"/>
        <v>0</v>
      </c>
      <c r="CV731" s="1547"/>
      <c r="CW731" s="1547"/>
      <c r="CX731" s="1547"/>
      <c r="CY731" s="1547"/>
      <c r="CZ731" s="1547">
        <f t="shared" si="22"/>
        <v>1</v>
      </c>
      <c r="DA731" s="1547"/>
      <c r="DB731" s="1547"/>
      <c r="DC731" s="1547"/>
      <c r="DD731" s="1547"/>
      <c r="DE731" s="1547">
        <f t="shared" si="23"/>
        <v>0</v>
      </c>
      <c r="DF731" s="1547"/>
      <c r="DG731" s="1547"/>
      <c r="DH731" s="1547"/>
      <c r="DI731" s="1547"/>
      <c r="DJ731" s="1547">
        <f t="shared" si="24"/>
        <v>0</v>
      </c>
      <c r="DK731" s="1547"/>
      <c r="DL731" s="1547"/>
      <c r="DM731" s="1547"/>
      <c r="DN731" s="1547"/>
      <c r="DO731" s="1547">
        <f t="shared" si="25"/>
        <v>0</v>
      </c>
      <c r="DP731" s="1547"/>
      <c r="DQ731" s="1547"/>
      <c r="DR731" s="1547"/>
      <c r="DS731" s="1547"/>
      <c r="DT731" s="6"/>
      <c r="DU731" s="1540">
        <f t="shared" si="26"/>
        <v>0</v>
      </c>
      <c r="DV731" s="1540"/>
      <c r="DW731" s="1540"/>
      <c r="DX731" s="1540"/>
      <c r="DY731" s="1540"/>
      <c r="DZ731" s="1540">
        <f t="shared" si="27"/>
        <v>0</v>
      </c>
      <c r="EA731" s="1540"/>
      <c r="EB731" s="1540"/>
      <c r="EC731" s="1540"/>
      <c r="ED731" s="1540"/>
      <c r="EE731" s="1540">
        <f t="shared" si="28"/>
        <v>0</v>
      </c>
      <c r="EF731" s="1540"/>
      <c r="EG731" s="1540"/>
      <c r="EH731" s="1540"/>
      <c r="EI731" s="1540"/>
      <c r="EJ731" s="1540">
        <f t="shared" si="29"/>
        <v>0</v>
      </c>
      <c r="EK731" s="1540"/>
      <c r="EL731" s="1540"/>
      <c r="EM731" s="1540"/>
      <c r="EN731" s="1540"/>
      <c r="EO731" s="1540">
        <f t="shared" si="30"/>
        <v>0</v>
      </c>
      <c r="EP731" s="1540"/>
      <c r="EQ731" s="1540"/>
      <c r="ER731" s="1540"/>
      <c r="ES731" s="1540"/>
      <c r="ET731" s="1540">
        <f t="shared" si="31"/>
        <v>0</v>
      </c>
      <c r="EU731" s="1540"/>
      <c r="EV731" s="1540"/>
      <c r="EW731" s="1540"/>
      <c r="EX731" s="1540"/>
      <c r="EZ731" s="1542" t="str">
        <f t="shared" si="32"/>
        <v/>
      </c>
      <c r="FA731" s="1560"/>
      <c r="FB731" s="1560"/>
      <c r="FC731" s="1560"/>
      <c r="FD731" s="1543"/>
      <c r="FE731" s="1542" t="str">
        <f t="shared" si="33"/>
        <v/>
      </c>
      <c r="FF731" s="1560"/>
      <c r="FG731" s="1560"/>
      <c r="FH731" s="1560"/>
      <c r="FI731" s="1543"/>
      <c r="FJ731" s="1542">
        <f t="shared" si="34"/>
        <v>1703</v>
      </c>
      <c r="FK731" s="1560"/>
      <c r="FL731" s="1560"/>
      <c r="FM731" s="1560"/>
      <c r="FN731" s="1543"/>
      <c r="FO731" s="1542" t="str">
        <f t="shared" si="35"/>
        <v/>
      </c>
      <c r="FP731" s="1560"/>
      <c r="FQ731" s="1560"/>
      <c r="FR731" s="1560"/>
      <c r="FS731" s="1543"/>
      <c r="FT731" s="1542" t="str">
        <f t="shared" si="36"/>
        <v/>
      </c>
      <c r="FU731" s="1560"/>
      <c r="FV731" s="1560"/>
      <c r="FW731" s="1560"/>
      <c r="FX731" s="1543"/>
      <c r="FY731" s="1542" t="str">
        <f t="shared" si="37"/>
        <v/>
      </c>
      <c r="FZ731" s="1560"/>
      <c r="GA731" s="1560"/>
      <c r="GB731" s="1560"/>
      <c r="GC731" s="1543"/>
    </row>
    <row r="732" spans="1:185" ht="12.95" customHeight="1">
      <c r="B732" s="1360"/>
      <c r="C732" s="1361"/>
      <c r="D732" s="1361"/>
      <c r="E732" s="1361"/>
      <c r="F732" s="1362"/>
      <c r="G732" s="1354"/>
      <c r="H732" s="1355"/>
      <c r="I732" s="1355"/>
      <c r="J732" s="1356"/>
      <c r="K732" s="1357"/>
      <c r="L732" s="1358"/>
      <c r="M732" s="1358"/>
      <c r="N732" s="1359"/>
      <c r="O732" s="1393"/>
      <c r="P732" s="1394"/>
      <c r="Q732" s="1394"/>
      <c r="R732" s="1394"/>
      <c r="S732" s="1395"/>
      <c r="T732" s="1393"/>
      <c r="U732" s="1394"/>
      <c r="V732" s="1394"/>
      <c r="W732" s="1395"/>
      <c r="X732" s="1441">
        <f t="shared" si="10"/>
        <v>0</v>
      </c>
      <c r="Y732" s="1442"/>
      <c r="Z732" s="1442"/>
      <c r="AA732" s="1442"/>
      <c r="AB732" s="1443"/>
      <c r="AC732" s="1438"/>
      <c r="AD732" s="1439"/>
      <c r="AE732" s="1439"/>
      <c r="AF732" s="1439"/>
      <c r="AG732" s="1440"/>
      <c r="AH732" s="1421" t="str">
        <f t="shared" si="38"/>
        <v/>
      </c>
      <c r="AI732" s="1422"/>
      <c r="AJ732" s="1423"/>
      <c r="AK732" s="1360" t="s">
        <v>591</v>
      </c>
      <c r="AL732" s="1361"/>
      <c r="AM732" s="1361"/>
      <c r="AN732" s="1361"/>
      <c r="AO732" s="1362"/>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542">
        <f t="shared" si="39"/>
        <v>0</v>
      </c>
      <c r="CH732" s="1543"/>
      <c r="CI732" s="1551">
        <f t="shared" si="40"/>
        <v>0</v>
      </c>
      <c r="CJ732" s="1552"/>
      <c r="CK732" s="1542">
        <f t="shared" si="18"/>
        <v>0</v>
      </c>
      <c r="CL732" s="1543"/>
      <c r="CM732" s="1551">
        <f t="shared" si="19"/>
        <v>0</v>
      </c>
      <c r="CN732" s="1552"/>
      <c r="CO732" s="3"/>
      <c r="CP732" s="1544">
        <f t="shared" si="20"/>
        <v>0</v>
      </c>
      <c r="CQ732" s="1545"/>
      <c r="CR732" s="1545"/>
      <c r="CS732" s="1545"/>
      <c r="CT732" s="1546"/>
      <c r="CU732" s="1547">
        <f t="shared" si="21"/>
        <v>0</v>
      </c>
      <c r="CV732" s="1547"/>
      <c r="CW732" s="1547"/>
      <c r="CX732" s="1547"/>
      <c r="CY732" s="1547"/>
      <c r="CZ732" s="1547">
        <f t="shared" si="22"/>
        <v>0</v>
      </c>
      <c r="DA732" s="1547"/>
      <c r="DB732" s="1547"/>
      <c r="DC732" s="1547"/>
      <c r="DD732" s="1547"/>
      <c r="DE732" s="1547">
        <f t="shared" si="23"/>
        <v>0</v>
      </c>
      <c r="DF732" s="1547"/>
      <c r="DG732" s="1547"/>
      <c r="DH732" s="1547"/>
      <c r="DI732" s="1547"/>
      <c r="DJ732" s="1547">
        <f t="shared" si="24"/>
        <v>0</v>
      </c>
      <c r="DK732" s="1547"/>
      <c r="DL732" s="1547"/>
      <c r="DM732" s="1547"/>
      <c r="DN732" s="1547"/>
      <c r="DO732" s="1547">
        <f t="shared" si="25"/>
        <v>0</v>
      </c>
      <c r="DP732" s="1547"/>
      <c r="DQ732" s="1547"/>
      <c r="DR732" s="1547"/>
      <c r="DS732" s="1547"/>
      <c r="DT732" s="6"/>
      <c r="DU732" s="1540">
        <f t="shared" si="26"/>
        <v>0</v>
      </c>
      <c r="DV732" s="1540"/>
      <c r="DW732" s="1540"/>
      <c r="DX732" s="1540"/>
      <c r="DY732" s="1540"/>
      <c r="DZ732" s="1540">
        <f t="shared" si="27"/>
        <v>0</v>
      </c>
      <c r="EA732" s="1540"/>
      <c r="EB732" s="1540"/>
      <c r="EC732" s="1540"/>
      <c r="ED732" s="1540"/>
      <c r="EE732" s="1540">
        <f t="shared" si="28"/>
        <v>0</v>
      </c>
      <c r="EF732" s="1540"/>
      <c r="EG732" s="1540"/>
      <c r="EH732" s="1540"/>
      <c r="EI732" s="1540"/>
      <c r="EJ732" s="1540">
        <f t="shared" si="29"/>
        <v>0</v>
      </c>
      <c r="EK732" s="1540"/>
      <c r="EL732" s="1540"/>
      <c r="EM732" s="1540"/>
      <c r="EN732" s="1540"/>
      <c r="EO732" s="1540">
        <f t="shared" si="30"/>
        <v>0</v>
      </c>
      <c r="EP732" s="1540"/>
      <c r="EQ732" s="1540"/>
      <c r="ER732" s="1540"/>
      <c r="ES732" s="1540"/>
      <c r="ET732" s="1540">
        <f t="shared" si="31"/>
        <v>0</v>
      </c>
      <c r="EU732" s="1540"/>
      <c r="EV732" s="1540"/>
      <c r="EW732" s="1540"/>
      <c r="EX732" s="1540"/>
      <c r="EZ732" s="1542" t="str">
        <f t="shared" si="32"/>
        <v/>
      </c>
      <c r="FA732" s="1560"/>
      <c r="FB732" s="1560"/>
      <c r="FC732" s="1560"/>
      <c r="FD732" s="1543"/>
      <c r="FE732" s="1542" t="str">
        <f t="shared" si="33"/>
        <v/>
      </c>
      <c r="FF732" s="1560"/>
      <c r="FG732" s="1560"/>
      <c r="FH732" s="1560"/>
      <c r="FI732" s="1543"/>
      <c r="FJ732" s="1542" t="str">
        <f t="shared" si="34"/>
        <v/>
      </c>
      <c r="FK732" s="1560"/>
      <c r="FL732" s="1560"/>
      <c r="FM732" s="1560"/>
      <c r="FN732" s="1543"/>
      <c r="FO732" s="1542" t="str">
        <f t="shared" si="35"/>
        <v/>
      </c>
      <c r="FP732" s="1560"/>
      <c r="FQ732" s="1560"/>
      <c r="FR732" s="1560"/>
      <c r="FS732" s="1543"/>
      <c r="FT732" s="1542" t="str">
        <f t="shared" si="36"/>
        <v/>
      </c>
      <c r="FU732" s="1560"/>
      <c r="FV732" s="1560"/>
      <c r="FW732" s="1560"/>
      <c r="FX732" s="1543"/>
      <c r="FY732" s="1542" t="str">
        <f t="shared" si="37"/>
        <v/>
      </c>
      <c r="FZ732" s="1560"/>
      <c r="GA732" s="1560"/>
      <c r="GB732" s="1560"/>
      <c r="GC732" s="1543"/>
    </row>
    <row r="733" spans="1:185" ht="12.95" customHeight="1">
      <c r="B733" s="1360"/>
      <c r="C733" s="1361"/>
      <c r="D733" s="1361"/>
      <c r="E733" s="1361"/>
      <c r="F733" s="1362"/>
      <c r="G733" s="1354"/>
      <c r="H733" s="1355"/>
      <c r="I733" s="1355"/>
      <c r="J733" s="1356"/>
      <c r="K733" s="1357"/>
      <c r="L733" s="1358"/>
      <c r="M733" s="1358"/>
      <c r="N733" s="1359"/>
      <c r="O733" s="1393"/>
      <c r="P733" s="1394"/>
      <c r="Q733" s="1394"/>
      <c r="R733" s="1394"/>
      <c r="S733" s="1395"/>
      <c r="T733" s="1393"/>
      <c r="U733" s="1394"/>
      <c r="V733" s="1394"/>
      <c r="W733" s="1395"/>
      <c r="X733" s="1441">
        <f t="shared" si="10"/>
        <v>0</v>
      </c>
      <c r="Y733" s="1442"/>
      <c r="Z733" s="1442"/>
      <c r="AA733" s="1442"/>
      <c r="AB733" s="1443"/>
      <c r="AC733" s="1438"/>
      <c r="AD733" s="1439"/>
      <c r="AE733" s="1439"/>
      <c r="AF733" s="1439"/>
      <c r="AG733" s="1440"/>
      <c r="AH733" s="1421" t="str">
        <f t="shared" si="38"/>
        <v/>
      </c>
      <c r="AI733" s="1422"/>
      <c r="AJ733" s="1423"/>
      <c r="AK733" s="1360" t="s">
        <v>591</v>
      </c>
      <c r="AL733" s="1361"/>
      <c r="AM733" s="1361"/>
      <c r="AN733" s="1361"/>
      <c r="AO733" s="1362"/>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542">
        <f t="shared" si="39"/>
        <v>0</v>
      </c>
      <c r="CH733" s="1543"/>
      <c r="CI733" s="1551">
        <f t="shared" si="40"/>
        <v>0</v>
      </c>
      <c r="CJ733" s="1552"/>
      <c r="CK733" s="1542">
        <f t="shared" si="18"/>
        <v>0</v>
      </c>
      <c r="CL733" s="1543"/>
      <c r="CM733" s="1551">
        <f t="shared" si="19"/>
        <v>0</v>
      </c>
      <c r="CN733" s="1552"/>
      <c r="CO733" s="3"/>
      <c r="CP733" s="1544">
        <f t="shared" si="20"/>
        <v>0</v>
      </c>
      <c r="CQ733" s="1545"/>
      <c r="CR733" s="1545"/>
      <c r="CS733" s="1545"/>
      <c r="CT733" s="1546"/>
      <c r="CU733" s="1547">
        <f t="shared" si="21"/>
        <v>0</v>
      </c>
      <c r="CV733" s="1547"/>
      <c r="CW733" s="1547"/>
      <c r="CX733" s="1547"/>
      <c r="CY733" s="1547"/>
      <c r="CZ733" s="1547">
        <f t="shared" si="22"/>
        <v>0</v>
      </c>
      <c r="DA733" s="1547"/>
      <c r="DB733" s="1547"/>
      <c r="DC733" s="1547"/>
      <c r="DD733" s="1547"/>
      <c r="DE733" s="1547">
        <f t="shared" si="23"/>
        <v>0</v>
      </c>
      <c r="DF733" s="1547"/>
      <c r="DG733" s="1547"/>
      <c r="DH733" s="1547"/>
      <c r="DI733" s="1547"/>
      <c r="DJ733" s="1547">
        <f t="shared" si="24"/>
        <v>0</v>
      </c>
      <c r="DK733" s="1547"/>
      <c r="DL733" s="1547"/>
      <c r="DM733" s="1547"/>
      <c r="DN733" s="1547"/>
      <c r="DO733" s="1547">
        <f t="shared" si="25"/>
        <v>0</v>
      </c>
      <c r="DP733" s="1547"/>
      <c r="DQ733" s="1547"/>
      <c r="DR733" s="1547"/>
      <c r="DS733" s="1547"/>
      <c r="DT733" s="6"/>
      <c r="DU733" s="1540">
        <f t="shared" si="26"/>
        <v>0</v>
      </c>
      <c r="DV733" s="1540"/>
      <c r="DW733" s="1540"/>
      <c r="DX733" s="1540"/>
      <c r="DY733" s="1540"/>
      <c r="DZ733" s="1540">
        <f t="shared" si="27"/>
        <v>0</v>
      </c>
      <c r="EA733" s="1540"/>
      <c r="EB733" s="1540"/>
      <c r="EC733" s="1540"/>
      <c r="ED733" s="1540"/>
      <c r="EE733" s="1540">
        <f t="shared" si="28"/>
        <v>0</v>
      </c>
      <c r="EF733" s="1540"/>
      <c r="EG733" s="1540"/>
      <c r="EH733" s="1540"/>
      <c r="EI733" s="1540"/>
      <c r="EJ733" s="1540">
        <f t="shared" si="29"/>
        <v>0</v>
      </c>
      <c r="EK733" s="1540"/>
      <c r="EL733" s="1540"/>
      <c r="EM733" s="1540"/>
      <c r="EN733" s="1540"/>
      <c r="EO733" s="1540">
        <f t="shared" si="30"/>
        <v>0</v>
      </c>
      <c r="EP733" s="1540"/>
      <c r="EQ733" s="1540"/>
      <c r="ER733" s="1540"/>
      <c r="ES733" s="1540"/>
      <c r="ET733" s="1540">
        <f t="shared" si="31"/>
        <v>0</v>
      </c>
      <c r="EU733" s="1540"/>
      <c r="EV733" s="1540"/>
      <c r="EW733" s="1540"/>
      <c r="EX733" s="1540"/>
      <c r="EZ733" s="1542" t="str">
        <f t="shared" si="32"/>
        <v/>
      </c>
      <c r="FA733" s="1560"/>
      <c r="FB733" s="1560"/>
      <c r="FC733" s="1560"/>
      <c r="FD733" s="1543"/>
      <c r="FE733" s="1542" t="str">
        <f t="shared" si="33"/>
        <v/>
      </c>
      <c r="FF733" s="1560"/>
      <c r="FG733" s="1560"/>
      <c r="FH733" s="1560"/>
      <c r="FI733" s="1543"/>
      <c r="FJ733" s="1542" t="str">
        <f t="shared" si="34"/>
        <v/>
      </c>
      <c r="FK733" s="1560"/>
      <c r="FL733" s="1560"/>
      <c r="FM733" s="1560"/>
      <c r="FN733" s="1543"/>
      <c r="FO733" s="1542" t="str">
        <f t="shared" si="35"/>
        <v/>
      </c>
      <c r="FP733" s="1560"/>
      <c r="FQ733" s="1560"/>
      <c r="FR733" s="1560"/>
      <c r="FS733" s="1543"/>
      <c r="FT733" s="1542" t="str">
        <f t="shared" si="36"/>
        <v/>
      </c>
      <c r="FU733" s="1560"/>
      <c r="FV733" s="1560"/>
      <c r="FW733" s="1560"/>
      <c r="FX733" s="1543"/>
      <c r="FY733" s="1542" t="str">
        <f t="shared" si="37"/>
        <v/>
      </c>
      <c r="FZ733" s="1560"/>
      <c r="GA733" s="1560"/>
      <c r="GB733" s="1560"/>
      <c r="GC733" s="1543"/>
    </row>
    <row r="734" spans="1:185" ht="12.95" customHeight="1">
      <c r="B734" s="1360"/>
      <c r="C734" s="1361"/>
      <c r="D734" s="1361"/>
      <c r="E734" s="1361"/>
      <c r="F734" s="1362"/>
      <c r="G734" s="1354"/>
      <c r="H734" s="1355"/>
      <c r="I734" s="1355"/>
      <c r="J734" s="1356"/>
      <c r="K734" s="1357"/>
      <c r="L734" s="1358"/>
      <c r="M734" s="1358"/>
      <c r="N734" s="1359"/>
      <c r="O734" s="1393"/>
      <c r="P734" s="1394"/>
      <c r="Q734" s="1394"/>
      <c r="R734" s="1394"/>
      <c r="S734" s="1395"/>
      <c r="T734" s="1393"/>
      <c r="U734" s="1394"/>
      <c r="V734" s="1394"/>
      <c r="W734" s="1395"/>
      <c r="X734" s="1441">
        <f t="shared" si="10"/>
        <v>0</v>
      </c>
      <c r="Y734" s="1442"/>
      <c r="Z734" s="1442"/>
      <c r="AA734" s="1442"/>
      <c r="AB734" s="1443"/>
      <c r="AC734" s="1438"/>
      <c r="AD734" s="1439"/>
      <c r="AE734" s="1439"/>
      <c r="AF734" s="1439"/>
      <c r="AG734" s="1440"/>
      <c r="AH734" s="1421" t="str">
        <f t="shared" si="38"/>
        <v/>
      </c>
      <c r="AI734" s="1422"/>
      <c r="AJ734" s="1423"/>
      <c r="AK734" s="1360" t="s">
        <v>591</v>
      </c>
      <c r="AL734" s="1361"/>
      <c r="AM734" s="1361"/>
      <c r="AN734" s="1361"/>
      <c r="AO734" s="1362"/>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2">
        <f t="shared" si="39"/>
        <v>0</v>
      </c>
      <c r="CH734" s="1543"/>
      <c r="CI734" s="1551">
        <f t="shared" si="40"/>
        <v>0</v>
      </c>
      <c r="CJ734" s="1552"/>
      <c r="CK734" s="1542">
        <f t="shared" si="18"/>
        <v>0</v>
      </c>
      <c r="CL734" s="1543"/>
      <c r="CM734" s="1551">
        <f t="shared" si="19"/>
        <v>0</v>
      </c>
      <c r="CN734" s="1552"/>
      <c r="CO734" s="3"/>
      <c r="CP734" s="1544">
        <f t="shared" si="20"/>
        <v>0</v>
      </c>
      <c r="CQ734" s="1545"/>
      <c r="CR734" s="1545"/>
      <c r="CS734" s="1545"/>
      <c r="CT734" s="1546"/>
      <c r="CU734" s="1547">
        <f t="shared" si="21"/>
        <v>0</v>
      </c>
      <c r="CV734" s="1547"/>
      <c r="CW734" s="1547"/>
      <c r="CX734" s="1547"/>
      <c r="CY734" s="1547"/>
      <c r="CZ734" s="1547">
        <f t="shared" si="22"/>
        <v>0</v>
      </c>
      <c r="DA734" s="1547"/>
      <c r="DB734" s="1547"/>
      <c r="DC734" s="1547"/>
      <c r="DD734" s="1547"/>
      <c r="DE734" s="1547">
        <f t="shared" si="23"/>
        <v>0</v>
      </c>
      <c r="DF734" s="1547"/>
      <c r="DG734" s="1547"/>
      <c r="DH734" s="1547"/>
      <c r="DI734" s="1547"/>
      <c r="DJ734" s="1547">
        <f t="shared" si="24"/>
        <v>0</v>
      </c>
      <c r="DK734" s="1547"/>
      <c r="DL734" s="1547"/>
      <c r="DM734" s="1547"/>
      <c r="DN734" s="1547"/>
      <c r="DO734" s="1547">
        <f t="shared" si="25"/>
        <v>0</v>
      </c>
      <c r="DP734" s="1547"/>
      <c r="DQ734" s="1547"/>
      <c r="DR734" s="1547"/>
      <c r="DS734" s="1547"/>
      <c r="DT734" s="6"/>
      <c r="DU734" s="1540">
        <f t="shared" si="26"/>
        <v>0</v>
      </c>
      <c r="DV734" s="1540"/>
      <c r="DW734" s="1540"/>
      <c r="DX734" s="1540"/>
      <c r="DY734" s="1540"/>
      <c r="DZ734" s="1540">
        <f t="shared" si="27"/>
        <v>0</v>
      </c>
      <c r="EA734" s="1540"/>
      <c r="EB734" s="1540"/>
      <c r="EC734" s="1540"/>
      <c r="ED734" s="1540"/>
      <c r="EE734" s="1540">
        <f t="shared" si="28"/>
        <v>0</v>
      </c>
      <c r="EF734" s="1540"/>
      <c r="EG734" s="1540"/>
      <c r="EH734" s="1540"/>
      <c r="EI734" s="1540"/>
      <c r="EJ734" s="1540">
        <f t="shared" si="29"/>
        <v>0</v>
      </c>
      <c r="EK734" s="1540"/>
      <c r="EL734" s="1540"/>
      <c r="EM734" s="1540"/>
      <c r="EN734" s="1540"/>
      <c r="EO734" s="1540">
        <f t="shared" si="30"/>
        <v>0</v>
      </c>
      <c r="EP734" s="1540"/>
      <c r="EQ734" s="1540"/>
      <c r="ER734" s="1540"/>
      <c r="ES734" s="1540"/>
      <c r="ET734" s="1540">
        <f t="shared" si="31"/>
        <v>0</v>
      </c>
      <c r="EU734" s="1540"/>
      <c r="EV734" s="1540"/>
      <c r="EW734" s="1540"/>
      <c r="EX734" s="1540"/>
      <c r="EY734" s="4"/>
      <c r="EZ734" s="1542" t="str">
        <f t="shared" si="32"/>
        <v/>
      </c>
      <c r="FA734" s="1560"/>
      <c r="FB734" s="1560"/>
      <c r="FC734" s="1560"/>
      <c r="FD734" s="1543"/>
      <c r="FE734" s="1542" t="str">
        <f t="shared" si="33"/>
        <v/>
      </c>
      <c r="FF734" s="1560"/>
      <c r="FG734" s="1560"/>
      <c r="FH734" s="1560"/>
      <c r="FI734" s="1543"/>
      <c r="FJ734" s="1542" t="str">
        <f t="shared" si="34"/>
        <v/>
      </c>
      <c r="FK734" s="1560"/>
      <c r="FL734" s="1560"/>
      <c r="FM734" s="1560"/>
      <c r="FN734" s="1543"/>
      <c r="FO734" s="1542" t="str">
        <f t="shared" si="35"/>
        <v/>
      </c>
      <c r="FP734" s="1560"/>
      <c r="FQ734" s="1560"/>
      <c r="FR734" s="1560"/>
      <c r="FS734" s="1543"/>
      <c r="FT734" s="1542" t="str">
        <f t="shared" si="36"/>
        <v/>
      </c>
      <c r="FU734" s="1560"/>
      <c r="FV734" s="1560"/>
      <c r="FW734" s="1560"/>
      <c r="FX734" s="1543"/>
      <c r="FY734" s="1542" t="str">
        <f t="shared" si="37"/>
        <v/>
      </c>
      <c r="FZ734" s="1560"/>
      <c r="GA734" s="1560"/>
      <c r="GB734" s="1560"/>
      <c r="GC734" s="1543"/>
    </row>
    <row r="735" spans="1:185" ht="12.95" customHeight="1">
      <c r="A735" s="4"/>
      <c r="B735" s="1360"/>
      <c r="C735" s="1361"/>
      <c r="D735" s="1361"/>
      <c r="E735" s="1361"/>
      <c r="F735" s="1362"/>
      <c r="G735" s="1354"/>
      <c r="H735" s="1355"/>
      <c r="I735" s="1355"/>
      <c r="J735" s="1356"/>
      <c r="K735" s="1357"/>
      <c r="L735" s="1358"/>
      <c r="M735" s="1358"/>
      <c r="N735" s="1359"/>
      <c r="O735" s="1393"/>
      <c r="P735" s="1394"/>
      <c r="Q735" s="1394"/>
      <c r="R735" s="1394"/>
      <c r="S735" s="1395"/>
      <c r="T735" s="1393"/>
      <c r="U735" s="1394"/>
      <c r="V735" s="1394"/>
      <c r="W735" s="1395"/>
      <c r="X735" s="1441">
        <f t="shared" si="10"/>
        <v>0</v>
      </c>
      <c r="Y735" s="1442"/>
      <c r="Z735" s="1442"/>
      <c r="AA735" s="1442"/>
      <c r="AB735" s="1443"/>
      <c r="AC735" s="1438"/>
      <c r="AD735" s="1439"/>
      <c r="AE735" s="1439"/>
      <c r="AF735" s="1439"/>
      <c r="AG735" s="1440"/>
      <c r="AH735" s="1421" t="str">
        <f t="shared" si="38"/>
        <v/>
      </c>
      <c r="AI735" s="1422"/>
      <c r="AJ735" s="1423"/>
      <c r="AK735" s="1360" t="s">
        <v>591</v>
      </c>
      <c r="AL735" s="1361"/>
      <c r="AM735" s="1361"/>
      <c r="AN735" s="1361"/>
      <c r="AO735" s="1362"/>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2">
        <f t="shared" si="39"/>
        <v>0</v>
      </c>
      <c r="CH735" s="1543"/>
      <c r="CI735" s="1551">
        <f t="shared" si="40"/>
        <v>0</v>
      </c>
      <c r="CJ735" s="1552"/>
      <c r="CK735" s="1542">
        <f t="shared" si="18"/>
        <v>0</v>
      </c>
      <c r="CL735" s="1543"/>
      <c r="CM735" s="1551">
        <f t="shared" si="19"/>
        <v>0</v>
      </c>
      <c r="CN735" s="1552"/>
      <c r="CO735" s="3"/>
      <c r="CP735" s="1544">
        <f t="shared" si="20"/>
        <v>0</v>
      </c>
      <c r="CQ735" s="1545"/>
      <c r="CR735" s="1545"/>
      <c r="CS735" s="1545"/>
      <c r="CT735" s="1546"/>
      <c r="CU735" s="1547">
        <f t="shared" si="21"/>
        <v>0</v>
      </c>
      <c r="CV735" s="1547"/>
      <c r="CW735" s="1547"/>
      <c r="CX735" s="1547"/>
      <c r="CY735" s="1547"/>
      <c r="CZ735" s="1547">
        <f t="shared" si="22"/>
        <v>0</v>
      </c>
      <c r="DA735" s="1547"/>
      <c r="DB735" s="1547"/>
      <c r="DC735" s="1547"/>
      <c r="DD735" s="1547"/>
      <c r="DE735" s="1547">
        <f t="shared" si="23"/>
        <v>0</v>
      </c>
      <c r="DF735" s="1547"/>
      <c r="DG735" s="1547"/>
      <c r="DH735" s="1547"/>
      <c r="DI735" s="1547"/>
      <c r="DJ735" s="1547">
        <f t="shared" si="24"/>
        <v>0</v>
      </c>
      <c r="DK735" s="1547"/>
      <c r="DL735" s="1547"/>
      <c r="DM735" s="1547"/>
      <c r="DN735" s="1547"/>
      <c r="DO735" s="1547">
        <f t="shared" si="25"/>
        <v>0</v>
      </c>
      <c r="DP735" s="1547"/>
      <c r="DQ735" s="1547"/>
      <c r="DR735" s="1547"/>
      <c r="DS735" s="1547"/>
      <c r="DT735" s="6"/>
      <c r="DU735" s="1540">
        <f t="shared" si="26"/>
        <v>0</v>
      </c>
      <c r="DV735" s="1540"/>
      <c r="DW735" s="1540"/>
      <c r="DX735" s="1540"/>
      <c r="DY735" s="1540"/>
      <c r="DZ735" s="1540">
        <f t="shared" si="27"/>
        <v>0</v>
      </c>
      <c r="EA735" s="1540"/>
      <c r="EB735" s="1540"/>
      <c r="EC735" s="1540"/>
      <c r="ED735" s="1540"/>
      <c r="EE735" s="1540">
        <f t="shared" si="28"/>
        <v>0</v>
      </c>
      <c r="EF735" s="1540"/>
      <c r="EG735" s="1540"/>
      <c r="EH735" s="1540"/>
      <c r="EI735" s="1540"/>
      <c r="EJ735" s="1540">
        <f t="shared" si="29"/>
        <v>0</v>
      </c>
      <c r="EK735" s="1540"/>
      <c r="EL735" s="1540"/>
      <c r="EM735" s="1540"/>
      <c r="EN735" s="1540"/>
      <c r="EO735" s="1540">
        <f t="shared" si="30"/>
        <v>0</v>
      </c>
      <c r="EP735" s="1540"/>
      <c r="EQ735" s="1540"/>
      <c r="ER735" s="1540"/>
      <c r="ES735" s="1540"/>
      <c r="ET735" s="1540">
        <f t="shared" si="31"/>
        <v>0</v>
      </c>
      <c r="EU735" s="1540"/>
      <c r="EV735" s="1540"/>
      <c r="EW735" s="1540"/>
      <c r="EX735" s="1540"/>
      <c r="EY735" s="4"/>
      <c r="EZ735" s="1542" t="str">
        <f t="shared" si="32"/>
        <v/>
      </c>
      <c r="FA735" s="1560"/>
      <c r="FB735" s="1560"/>
      <c r="FC735" s="1560"/>
      <c r="FD735" s="1543"/>
      <c r="FE735" s="1542" t="str">
        <f t="shared" si="33"/>
        <v/>
      </c>
      <c r="FF735" s="1560"/>
      <c r="FG735" s="1560"/>
      <c r="FH735" s="1560"/>
      <c r="FI735" s="1543"/>
      <c r="FJ735" s="1542" t="str">
        <f t="shared" si="34"/>
        <v/>
      </c>
      <c r="FK735" s="1560"/>
      <c r="FL735" s="1560"/>
      <c r="FM735" s="1560"/>
      <c r="FN735" s="1543"/>
      <c r="FO735" s="1542" t="str">
        <f t="shared" si="35"/>
        <v/>
      </c>
      <c r="FP735" s="1560"/>
      <c r="FQ735" s="1560"/>
      <c r="FR735" s="1560"/>
      <c r="FS735" s="1543"/>
      <c r="FT735" s="1542" t="str">
        <f t="shared" si="36"/>
        <v/>
      </c>
      <c r="FU735" s="1560"/>
      <c r="FV735" s="1560"/>
      <c r="FW735" s="1560"/>
      <c r="FX735" s="1543"/>
      <c r="FY735" s="1542" t="str">
        <f t="shared" si="37"/>
        <v/>
      </c>
      <c r="FZ735" s="1560"/>
      <c r="GA735" s="1560"/>
      <c r="GB735" s="1560"/>
      <c r="GC735" s="1543"/>
    </row>
    <row r="736" spans="1:185" ht="12.95" customHeight="1">
      <c r="A736" s="4"/>
      <c r="B736" s="1360"/>
      <c r="C736" s="1361"/>
      <c r="D736" s="1361"/>
      <c r="E736" s="1361"/>
      <c r="F736" s="1362"/>
      <c r="G736" s="1354"/>
      <c r="H736" s="1355"/>
      <c r="I736" s="1355"/>
      <c r="J736" s="1356"/>
      <c r="K736" s="1357"/>
      <c r="L736" s="1358"/>
      <c r="M736" s="1358"/>
      <c r="N736" s="1359"/>
      <c r="O736" s="1393"/>
      <c r="P736" s="1394"/>
      <c r="Q736" s="1394"/>
      <c r="R736" s="1394"/>
      <c r="S736" s="1395"/>
      <c r="T736" s="1393"/>
      <c r="U736" s="1394"/>
      <c r="V736" s="1394"/>
      <c r="W736" s="1395"/>
      <c r="X736" s="1441">
        <f t="shared" si="10"/>
        <v>0</v>
      </c>
      <c r="Y736" s="1442"/>
      <c r="Z736" s="1442"/>
      <c r="AA736" s="1442"/>
      <c r="AB736" s="1443"/>
      <c r="AC736" s="1438"/>
      <c r="AD736" s="1439"/>
      <c r="AE736" s="1439"/>
      <c r="AF736" s="1439"/>
      <c r="AG736" s="1440"/>
      <c r="AH736" s="1421" t="str">
        <f t="shared" si="38"/>
        <v/>
      </c>
      <c r="AI736" s="1422"/>
      <c r="AJ736" s="1423"/>
      <c r="AK736" s="1360" t="s">
        <v>591</v>
      </c>
      <c r="AL736" s="1361"/>
      <c r="AM736" s="1361"/>
      <c r="AN736" s="1361"/>
      <c r="AO736" s="1362"/>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2">
        <f t="shared" si="39"/>
        <v>0</v>
      </c>
      <c r="CH736" s="1543"/>
      <c r="CI736" s="1551">
        <f t="shared" si="40"/>
        <v>0</v>
      </c>
      <c r="CJ736" s="1552"/>
      <c r="CK736" s="1542">
        <f t="shared" si="18"/>
        <v>0</v>
      </c>
      <c r="CL736" s="1543"/>
      <c r="CM736" s="1551">
        <f t="shared" si="19"/>
        <v>0</v>
      </c>
      <c r="CN736" s="1552"/>
      <c r="CO736" s="3"/>
      <c r="CP736" s="1544">
        <f t="shared" si="20"/>
        <v>0</v>
      </c>
      <c r="CQ736" s="1545"/>
      <c r="CR736" s="1545"/>
      <c r="CS736" s="1545"/>
      <c r="CT736" s="1546"/>
      <c r="CU736" s="1547">
        <f t="shared" si="21"/>
        <v>0</v>
      </c>
      <c r="CV736" s="1547"/>
      <c r="CW736" s="1547"/>
      <c r="CX736" s="1547"/>
      <c r="CY736" s="1547"/>
      <c r="CZ736" s="1547">
        <f t="shared" si="22"/>
        <v>0</v>
      </c>
      <c r="DA736" s="1547"/>
      <c r="DB736" s="1547"/>
      <c r="DC736" s="1547"/>
      <c r="DD736" s="1547"/>
      <c r="DE736" s="1547">
        <f t="shared" si="23"/>
        <v>0</v>
      </c>
      <c r="DF736" s="1547"/>
      <c r="DG736" s="1547"/>
      <c r="DH736" s="1547"/>
      <c r="DI736" s="1547"/>
      <c r="DJ736" s="1547">
        <f t="shared" si="24"/>
        <v>0</v>
      </c>
      <c r="DK736" s="1547"/>
      <c r="DL736" s="1547"/>
      <c r="DM736" s="1547"/>
      <c r="DN736" s="1547"/>
      <c r="DO736" s="1547">
        <f t="shared" si="25"/>
        <v>0</v>
      </c>
      <c r="DP736" s="1547"/>
      <c r="DQ736" s="1547"/>
      <c r="DR736" s="1547"/>
      <c r="DS736" s="1547"/>
      <c r="DT736" s="6"/>
      <c r="DU736" s="1540">
        <f t="shared" si="26"/>
        <v>0</v>
      </c>
      <c r="DV736" s="1540"/>
      <c r="DW736" s="1540"/>
      <c r="DX736" s="1540"/>
      <c r="DY736" s="1540"/>
      <c r="DZ736" s="1540">
        <f t="shared" si="27"/>
        <v>0</v>
      </c>
      <c r="EA736" s="1540"/>
      <c r="EB736" s="1540"/>
      <c r="EC736" s="1540"/>
      <c r="ED736" s="1540"/>
      <c r="EE736" s="1540">
        <f t="shared" si="28"/>
        <v>0</v>
      </c>
      <c r="EF736" s="1540"/>
      <c r="EG736" s="1540"/>
      <c r="EH736" s="1540"/>
      <c r="EI736" s="1540"/>
      <c r="EJ736" s="1540">
        <f t="shared" si="29"/>
        <v>0</v>
      </c>
      <c r="EK736" s="1540"/>
      <c r="EL736" s="1540"/>
      <c r="EM736" s="1540"/>
      <c r="EN736" s="1540"/>
      <c r="EO736" s="1540">
        <f t="shared" si="30"/>
        <v>0</v>
      </c>
      <c r="EP736" s="1540"/>
      <c r="EQ736" s="1540"/>
      <c r="ER736" s="1540"/>
      <c r="ES736" s="1540"/>
      <c r="ET736" s="1540">
        <f t="shared" si="31"/>
        <v>0</v>
      </c>
      <c r="EU736" s="1540"/>
      <c r="EV736" s="1540"/>
      <c r="EW736" s="1540"/>
      <c r="EX736" s="1540"/>
      <c r="EY736" s="4"/>
      <c r="EZ736" s="1542" t="str">
        <f t="shared" si="32"/>
        <v/>
      </c>
      <c r="FA736" s="1560"/>
      <c r="FB736" s="1560"/>
      <c r="FC736" s="1560"/>
      <c r="FD736" s="1543"/>
      <c r="FE736" s="1542" t="str">
        <f t="shared" si="33"/>
        <v/>
      </c>
      <c r="FF736" s="1560"/>
      <c r="FG736" s="1560"/>
      <c r="FH736" s="1560"/>
      <c r="FI736" s="1543"/>
      <c r="FJ736" s="1542" t="str">
        <f t="shared" si="34"/>
        <v/>
      </c>
      <c r="FK736" s="1560"/>
      <c r="FL736" s="1560"/>
      <c r="FM736" s="1560"/>
      <c r="FN736" s="1543"/>
      <c r="FO736" s="1542" t="str">
        <f t="shared" si="35"/>
        <v/>
      </c>
      <c r="FP736" s="1560"/>
      <c r="FQ736" s="1560"/>
      <c r="FR736" s="1560"/>
      <c r="FS736" s="1543"/>
      <c r="FT736" s="1542" t="str">
        <f t="shared" si="36"/>
        <v/>
      </c>
      <c r="FU736" s="1560"/>
      <c r="FV736" s="1560"/>
      <c r="FW736" s="1560"/>
      <c r="FX736" s="1543"/>
      <c r="FY736" s="1542" t="str">
        <f t="shared" si="37"/>
        <v/>
      </c>
      <c r="FZ736" s="1560"/>
      <c r="GA736" s="1560"/>
      <c r="GB736" s="1560"/>
      <c r="GC736" s="1543"/>
    </row>
    <row r="737" spans="1:185" ht="12.95" customHeight="1">
      <c r="A737" s="4"/>
      <c r="B737" s="1360"/>
      <c r="C737" s="1361"/>
      <c r="D737" s="1361"/>
      <c r="E737" s="1361"/>
      <c r="F737" s="1362"/>
      <c r="G737" s="1354"/>
      <c r="H737" s="1355"/>
      <c r="I737" s="1355"/>
      <c r="J737" s="1356"/>
      <c r="K737" s="1357"/>
      <c r="L737" s="1358"/>
      <c r="M737" s="1358"/>
      <c r="N737" s="1359"/>
      <c r="O737" s="1393"/>
      <c r="P737" s="1394"/>
      <c r="Q737" s="1394"/>
      <c r="R737" s="1394"/>
      <c r="S737" s="1395"/>
      <c r="T737" s="1393"/>
      <c r="U737" s="1394"/>
      <c r="V737" s="1394"/>
      <c r="W737" s="1395"/>
      <c r="X737" s="1441">
        <f t="shared" si="10"/>
        <v>0</v>
      </c>
      <c r="Y737" s="1442"/>
      <c r="Z737" s="1442"/>
      <c r="AA737" s="1442"/>
      <c r="AB737" s="1443"/>
      <c r="AC737" s="1438"/>
      <c r="AD737" s="1439"/>
      <c r="AE737" s="1439"/>
      <c r="AF737" s="1439"/>
      <c r="AG737" s="1440"/>
      <c r="AH737" s="1421" t="str">
        <f t="shared" si="38"/>
        <v/>
      </c>
      <c r="AI737" s="1422"/>
      <c r="AJ737" s="1423"/>
      <c r="AK737" s="1360" t="s">
        <v>591</v>
      </c>
      <c r="AL737" s="1361"/>
      <c r="AM737" s="1361"/>
      <c r="AN737" s="1361"/>
      <c r="AO737" s="1362"/>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2">
        <f t="shared" si="39"/>
        <v>0</v>
      </c>
      <c r="CH737" s="1543"/>
      <c r="CI737" s="1551">
        <f t="shared" si="40"/>
        <v>0</v>
      </c>
      <c r="CJ737" s="1552"/>
      <c r="CK737" s="1542">
        <f t="shared" si="18"/>
        <v>0</v>
      </c>
      <c r="CL737" s="1543"/>
      <c r="CM737" s="1551">
        <f t="shared" si="19"/>
        <v>0</v>
      </c>
      <c r="CN737" s="1552"/>
      <c r="CO737" s="3"/>
      <c r="CP737" s="1544">
        <f t="shared" si="20"/>
        <v>0</v>
      </c>
      <c r="CQ737" s="1545"/>
      <c r="CR737" s="1545"/>
      <c r="CS737" s="1545"/>
      <c r="CT737" s="1546"/>
      <c r="CU737" s="1547">
        <f t="shared" si="21"/>
        <v>0</v>
      </c>
      <c r="CV737" s="1547"/>
      <c r="CW737" s="1547"/>
      <c r="CX737" s="1547"/>
      <c r="CY737" s="1547"/>
      <c r="CZ737" s="1547">
        <f t="shared" si="22"/>
        <v>0</v>
      </c>
      <c r="DA737" s="1547"/>
      <c r="DB737" s="1547"/>
      <c r="DC737" s="1547"/>
      <c r="DD737" s="1547"/>
      <c r="DE737" s="1547">
        <f t="shared" si="23"/>
        <v>0</v>
      </c>
      <c r="DF737" s="1547"/>
      <c r="DG737" s="1547"/>
      <c r="DH737" s="1547"/>
      <c r="DI737" s="1547"/>
      <c r="DJ737" s="1547">
        <f t="shared" si="24"/>
        <v>0</v>
      </c>
      <c r="DK737" s="1547"/>
      <c r="DL737" s="1547"/>
      <c r="DM737" s="1547"/>
      <c r="DN737" s="1547"/>
      <c r="DO737" s="1547">
        <f t="shared" si="25"/>
        <v>0</v>
      </c>
      <c r="DP737" s="1547"/>
      <c r="DQ737" s="1547"/>
      <c r="DR737" s="1547"/>
      <c r="DS737" s="1547"/>
      <c r="DT737" s="6"/>
      <c r="DU737" s="1540">
        <f t="shared" si="26"/>
        <v>0</v>
      </c>
      <c r="DV737" s="1540"/>
      <c r="DW737" s="1540"/>
      <c r="DX737" s="1540"/>
      <c r="DY737" s="1540"/>
      <c r="DZ737" s="1540">
        <f t="shared" si="27"/>
        <v>0</v>
      </c>
      <c r="EA737" s="1540"/>
      <c r="EB737" s="1540"/>
      <c r="EC737" s="1540"/>
      <c r="ED737" s="1540"/>
      <c r="EE737" s="1540">
        <f t="shared" si="28"/>
        <v>0</v>
      </c>
      <c r="EF737" s="1540"/>
      <c r="EG737" s="1540"/>
      <c r="EH737" s="1540"/>
      <c r="EI737" s="1540"/>
      <c r="EJ737" s="1540">
        <f t="shared" si="29"/>
        <v>0</v>
      </c>
      <c r="EK737" s="1540"/>
      <c r="EL737" s="1540"/>
      <c r="EM737" s="1540"/>
      <c r="EN737" s="1540"/>
      <c r="EO737" s="1540">
        <f t="shared" si="30"/>
        <v>0</v>
      </c>
      <c r="EP737" s="1540"/>
      <c r="EQ737" s="1540"/>
      <c r="ER737" s="1540"/>
      <c r="ES737" s="1540"/>
      <c r="ET737" s="1540">
        <f t="shared" si="31"/>
        <v>0</v>
      </c>
      <c r="EU737" s="1540"/>
      <c r="EV737" s="1540"/>
      <c r="EW737" s="1540"/>
      <c r="EX737" s="1540"/>
      <c r="EZ737" s="1542" t="str">
        <f t="shared" si="32"/>
        <v/>
      </c>
      <c r="FA737" s="1560"/>
      <c r="FB737" s="1560"/>
      <c r="FC737" s="1560"/>
      <c r="FD737" s="1543"/>
      <c r="FE737" s="1542" t="str">
        <f t="shared" si="33"/>
        <v/>
      </c>
      <c r="FF737" s="1560"/>
      <c r="FG737" s="1560"/>
      <c r="FH737" s="1560"/>
      <c r="FI737" s="1543"/>
      <c r="FJ737" s="1542" t="str">
        <f t="shared" si="34"/>
        <v/>
      </c>
      <c r="FK737" s="1560"/>
      <c r="FL737" s="1560"/>
      <c r="FM737" s="1560"/>
      <c r="FN737" s="1543"/>
      <c r="FO737" s="1542" t="str">
        <f t="shared" si="35"/>
        <v/>
      </c>
      <c r="FP737" s="1560"/>
      <c r="FQ737" s="1560"/>
      <c r="FR737" s="1560"/>
      <c r="FS737" s="1543"/>
      <c r="FT737" s="1542" t="str">
        <f t="shared" si="36"/>
        <v/>
      </c>
      <c r="FU737" s="1560"/>
      <c r="FV737" s="1560"/>
      <c r="FW737" s="1560"/>
      <c r="FX737" s="1543"/>
      <c r="FY737" s="1542" t="str">
        <f t="shared" si="37"/>
        <v/>
      </c>
      <c r="FZ737" s="1560"/>
      <c r="GA737" s="1560"/>
      <c r="GB737" s="1560"/>
      <c r="GC737" s="1543"/>
    </row>
    <row r="738" spans="1:185" ht="12.95" customHeight="1">
      <c r="B738" s="1360"/>
      <c r="C738" s="1361"/>
      <c r="D738" s="1361"/>
      <c r="E738" s="1361"/>
      <c r="F738" s="1362"/>
      <c r="G738" s="1354"/>
      <c r="H738" s="1355"/>
      <c r="I738" s="1355"/>
      <c r="J738" s="1356"/>
      <c r="K738" s="1357"/>
      <c r="L738" s="1358"/>
      <c r="M738" s="1358"/>
      <c r="N738" s="1359"/>
      <c r="O738" s="1393"/>
      <c r="P738" s="1394"/>
      <c r="Q738" s="1394"/>
      <c r="R738" s="1394"/>
      <c r="S738" s="1395"/>
      <c r="T738" s="1393"/>
      <c r="U738" s="1394"/>
      <c r="V738" s="1394"/>
      <c r="W738" s="1395"/>
      <c r="X738" s="1441">
        <f t="shared" si="10"/>
        <v>0</v>
      </c>
      <c r="Y738" s="1442"/>
      <c r="Z738" s="1442"/>
      <c r="AA738" s="1442"/>
      <c r="AB738" s="1443"/>
      <c r="AC738" s="1438"/>
      <c r="AD738" s="1439"/>
      <c r="AE738" s="1439"/>
      <c r="AF738" s="1439"/>
      <c r="AG738" s="1440"/>
      <c r="AH738" s="1421" t="str">
        <f t="shared" si="38"/>
        <v/>
      </c>
      <c r="AI738" s="1422"/>
      <c r="AJ738" s="1423"/>
      <c r="AK738" s="1360" t="s">
        <v>591</v>
      </c>
      <c r="AL738" s="1361"/>
      <c r="AM738" s="1361"/>
      <c r="AN738" s="1361"/>
      <c r="AO738" s="1362"/>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2">
        <f t="shared" si="39"/>
        <v>0</v>
      </c>
      <c r="CH738" s="1543"/>
      <c r="CI738" s="1551">
        <f t="shared" si="40"/>
        <v>0</v>
      </c>
      <c r="CJ738" s="1552"/>
      <c r="CK738" s="1542">
        <f t="shared" si="18"/>
        <v>0</v>
      </c>
      <c r="CL738" s="1543"/>
      <c r="CM738" s="1551">
        <f t="shared" si="19"/>
        <v>0</v>
      </c>
      <c r="CN738" s="1552"/>
      <c r="CO738" s="3"/>
      <c r="CP738" s="1544">
        <f t="shared" si="20"/>
        <v>0</v>
      </c>
      <c r="CQ738" s="1545"/>
      <c r="CR738" s="1545"/>
      <c r="CS738" s="1545"/>
      <c r="CT738" s="1546"/>
      <c r="CU738" s="1547">
        <f t="shared" si="21"/>
        <v>0</v>
      </c>
      <c r="CV738" s="1547"/>
      <c r="CW738" s="1547"/>
      <c r="CX738" s="1547"/>
      <c r="CY738" s="1547"/>
      <c r="CZ738" s="1547">
        <f t="shared" si="22"/>
        <v>0</v>
      </c>
      <c r="DA738" s="1547"/>
      <c r="DB738" s="1547"/>
      <c r="DC738" s="1547"/>
      <c r="DD738" s="1547"/>
      <c r="DE738" s="1547">
        <f t="shared" si="23"/>
        <v>0</v>
      </c>
      <c r="DF738" s="1547"/>
      <c r="DG738" s="1547"/>
      <c r="DH738" s="1547"/>
      <c r="DI738" s="1547"/>
      <c r="DJ738" s="1547">
        <f t="shared" si="24"/>
        <v>0</v>
      </c>
      <c r="DK738" s="1547"/>
      <c r="DL738" s="1547"/>
      <c r="DM738" s="1547"/>
      <c r="DN738" s="1547"/>
      <c r="DO738" s="1547">
        <f t="shared" si="25"/>
        <v>0</v>
      </c>
      <c r="DP738" s="1547"/>
      <c r="DQ738" s="1547"/>
      <c r="DR738" s="1547"/>
      <c r="DS738" s="1547"/>
      <c r="DT738" s="6"/>
      <c r="DU738" s="1540">
        <f t="shared" si="26"/>
        <v>0</v>
      </c>
      <c r="DV738" s="1540"/>
      <c r="DW738" s="1540"/>
      <c r="DX738" s="1540"/>
      <c r="DY738" s="1540"/>
      <c r="DZ738" s="1540">
        <f t="shared" si="27"/>
        <v>0</v>
      </c>
      <c r="EA738" s="1540"/>
      <c r="EB738" s="1540"/>
      <c r="EC738" s="1540"/>
      <c r="ED738" s="1540"/>
      <c r="EE738" s="1540">
        <f t="shared" si="28"/>
        <v>0</v>
      </c>
      <c r="EF738" s="1540"/>
      <c r="EG738" s="1540"/>
      <c r="EH738" s="1540"/>
      <c r="EI738" s="1540"/>
      <c r="EJ738" s="1540">
        <f t="shared" si="29"/>
        <v>0</v>
      </c>
      <c r="EK738" s="1540"/>
      <c r="EL738" s="1540"/>
      <c r="EM738" s="1540"/>
      <c r="EN738" s="1540"/>
      <c r="EO738" s="1540">
        <f t="shared" si="30"/>
        <v>0</v>
      </c>
      <c r="EP738" s="1540"/>
      <c r="EQ738" s="1540"/>
      <c r="ER738" s="1540"/>
      <c r="ES738" s="1540"/>
      <c r="ET738" s="1540">
        <f t="shared" si="31"/>
        <v>0</v>
      </c>
      <c r="EU738" s="1540"/>
      <c r="EV738" s="1540"/>
      <c r="EW738" s="1540"/>
      <c r="EX738" s="1540"/>
      <c r="EZ738" s="1542" t="str">
        <f t="shared" si="32"/>
        <v/>
      </c>
      <c r="FA738" s="1560"/>
      <c r="FB738" s="1560"/>
      <c r="FC738" s="1560"/>
      <c r="FD738" s="1543"/>
      <c r="FE738" s="1542" t="str">
        <f t="shared" si="33"/>
        <v/>
      </c>
      <c r="FF738" s="1560"/>
      <c r="FG738" s="1560"/>
      <c r="FH738" s="1560"/>
      <c r="FI738" s="1543"/>
      <c r="FJ738" s="1542" t="str">
        <f t="shared" si="34"/>
        <v/>
      </c>
      <c r="FK738" s="1560"/>
      <c r="FL738" s="1560"/>
      <c r="FM738" s="1560"/>
      <c r="FN738" s="1543"/>
      <c r="FO738" s="1542" t="str">
        <f t="shared" si="35"/>
        <v/>
      </c>
      <c r="FP738" s="1560"/>
      <c r="FQ738" s="1560"/>
      <c r="FR738" s="1560"/>
      <c r="FS738" s="1543"/>
      <c r="FT738" s="1542" t="str">
        <f t="shared" si="36"/>
        <v/>
      </c>
      <c r="FU738" s="1560"/>
      <c r="FV738" s="1560"/>
      <c r="FW738" s="1560"/>
      <c r="FX738" s="1543"/>
      <c r="FY738" s="1542" t="str">
        <f t="shared" si="37"/>
        <v/>
      </c>
      <c r="FZ738" s="1560"/>
      <c r="GA738" s="1560"/>
      <c r="GB738" s="1560"/>
      <c r="GC738" s="1543"/>
    </row>
    <row r="739" spans="1:185" ht="12.95" customHeight="1">
      <c r="B739" s="1360"/>
      <c r="C739" s="1361"/>
      <c r="D739" s="1361"/>
      <c r="E739" s="1361"/>
      <c r="F739" s="1362"/>
      <c r="G739" s="1354"/>
      <c r="H739" s="1355"/>
      <c r="I739" s="1355"/>
      <c r="J739" s="1356"/>
      <c r="K739" s="1357"/>
      <c r="L739" s="1358"/>
      <c r="M739" s="1358"/>
      <c r="N739" s="1359"/>
      <c r="O739" s="1393"/>
      <c r="P739" s="1394"/>
      <c r="Q739" s="1394"/>
      <c r="R739" s="1394"/>
      <c r="S739" s="1395"/>
      <c r="T739" s="1393"/>
      <c r="U739" s="1394"/>
      <c r="V739" s="1394"/>
      <c r="W739" s="1395"/>
      <c r="X739" s="1441">
        <f t="shared" si="10"/>
        <v>0</v>
      </c>
      <c r="Y739" s="1442"/>
      <c r="Z739" s="1442"/>
      <c r="AA739" s="1442"/>
      <c r="AB739" s="1443"/>
      <c r="AC739" s="1438"/>
      <c r="AD739" s="1439"/>
      <c r="AE739" s="1439"/>
      <c r="AF739" s="1439"/>
      <c r="AG739" s="1440"/>
      <c r="AH739" s="1421" t="str">
        <f t="shared" si="38"/>
        <v/>
      </c>
      <c r="AI739" s="1422"/>
      <c r="AJ739" s="1423"/>
      <c r="AK739" s="1360" t="s">
        <v>591</v>
      </c>
      <c r="AL739" s="1361"/>
      <c r="AM739" s="1361"/>
      <c r="AN739" s="1361"/>
      <c r="AO739" s="1362"/>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2">
        <f t="shared" si="39"/>
        <v>0</v>
      </c>
      <c r="CH739" s="1543"/>
      <c r="CI739" s="1551">
        <f t="shared" si="40"/>
        <v>0</v>
      </c>
      <c r="CJ739" s="1552"/>
      <c r="CK739" s="1542">
        <f t="shared" si="18"/>
        <v>0</v>
      </c>
      <c r="CL739" s="1543"/>
      <c r="CM739" s="1551">
        <f t="shared" si="19"/>
        <v>0</v>
      </c>
      <c r="CN739" s="1552"/>
      <c r="CO739" s="3"/>
      <c r="CP739" s="1544">
        <f t="shared" si="20"/>
        <v>0</v>
      </c>
      <c r="CQ739" s="1545"/>
      <c r="CR739" s="1545"/>
      <c r="CS739" s="1545"/>
      <c r="CT739" s="1546"/>
      <c r="CU739" s="1547">
        <f t="shared" si="21"/>
        <v>0</v>
      </c>
      <c r="CV739" s="1547"/>
      <c r="CW739" s="1547"/>
      <c r="CX739" s="1547"/>
      <c r="CY739" s="1547"/>
      <c r="CZ739" s="1547">
        <f t="shared" si="22"/>
        <v>0</v>
      </c>
      <c r="DA739" s="1547"/>
      <c r="DB739" s="1547"/>
      <c r="DC739" s="1547"/>
      <c r="DD739" s="1547"/>
      <c r="DE739" s="1547">
        <f t="shared" si="23"/>
        <v>0</v>
      </c>
      <c r="DF739" s="1547"/>
      <c r="DG739" s="1547"/>
      <c r="DH739" s="1547"/>
      <c r="DI739" s="1547"/>
      <c r="DJ739" s="1547">
        <f t="shared" si="24"/>
        <v>0</v>
      </c>
      <c r="DK739" s="1547"/>
      <c r="DL739" s="1547"/>
      <c r="DM739" s="1547"/>
      <c r="DN739" s="1547"/>
      <c r="DO739" s="1547">
        <f t="shared" si="25"/>
        <v>0</v>
      </c>
      <c r="DP739" s="1547"/>
      <c r="DQ739" s="1547"/>
      <c r="DR739" s="1547"/>
      <c r="DS739" s="1547"/>
      <c r="DT739" s="6"/>
      <c r="DU739" s="1540">
        <f t="shared" si="26"/>
        <v>0</v>
      </c>
      <c r="DV739" s="1540"/>
      <c r="DW739" s="1540"/>
      <c r="DX739" s="1540"/>
      <c r="DY739" s="1540"/>
      <c r="DZ739" s="1540">
        <f t="shared" si="27"/>
        <v>0</v>
      </c>
      <c r="EA739" s="1540"/>
      <c r="EB739" s="1540"/>
      <c r="EC739" s="1540"/>
      <c r="ED739" s="1540"/>
      <c r="EE739" s="1540">
        <f t="shared" si="28"/>
        <v>0</v>
      </c>
      <c r="EF739" s="1540"/>
      <c r="EG739" s="1540"/>
      <c r="EH739" s="1540"/>
      <c r="EI739" s="1540"/>
      <c r="EJ739" s="1540">
        <f t="shared" si="29"/>
        <v>0</v>
      </c>
      <c r="EK739" s="1540"/>
      <c r="EL739" s="1540"/>
      <c r="EM739" s="1540"/>
      <c r="EN739" s="1540"/>
      <c r="EO739" s="1540">
        <f t="shared" si="30"/>
        <v>0</v>
      </c>
      <c r="EP739" s="1540"/>
      <c r="EQ739" s="1540"/>
      <c r="ER739" s="1540"/>
      <c r="ES739" s="1540"/>
      <c r="ET739" s="1540">
        <f t="shared" si="31"/>
        <v>0</v>
      </c>
      <c r="EU739" s="1540"/>
      <c r="EV739" s="1540"/>
      <c r="EW739" s="1540"/>
      <c r="EX739" s="1540"/>
      <c r="EZ739" s="1542" t="str">
        <f t="shared" si="32"/>
        <v/>
      </c>
      <c r="FA739" s="1560"/>
      <c r="FB739" s="1560"/>
      <c r="FC739" s="1560"/>
      <c r="FD739" s="1543"/>
      <c r="FE739" s="1542" t="str">
        <f t="shared" si="33"/>
        <v/>
      </c>
      <c r="FF739" s="1560"/>
      <c r="FG739" s="1560"/>
      <c r="FH739" s="1560"/>
      <c r="FI739" s="1543"/>
      <c r="FJ739" s="1542" t="str">
        <f t="shared" si="34"/>
        <v/>
      </c>
      <c r="FK739" s="1560"/>
      <c r="FL739" s="1560"/>
      <c r="FM739" s="1560"/>
      <c r="FN739" s="1543"/>
      <c r="FO739" s="1542" t="str">
        <f t="shared" si="35"/>
        <v/>
      </c>
      <c r="FP739" s="1560"/>
      <c r="FQ739" s="1560"/>
      <c r="FR739" s="1560"/>
      <c r="FS739" s="1543"/>
      <c r="FT739" s="1542" t="str">
        <f t="shared" si="36"/>
        <v/>
      </c>
      <c r="FU739" s="1560"/>
      <c r="FV739" s="1560"/>
      <c r="FW739" s="1560"/>
      <c r="FX739" s="1543"/>
      <c r="FY739" s="1542" t="str">
        <f t="shared" si="37"/>
        <v/>
      </c>
      <c r="FZ739" s="1560"/>
      <c r="GA739" s="1560"/>
      <c r="GB739" s="1560"/>
      <c r="GC739" s="1543"/>
    </row>
    <row r="740" spans="1:185" ht="12.95" customHeight="1">
      <c r="B740" s="1360"/>
      <c r="C740" s="1361"/>
      <c r="D740" s="1361"/>
      <c r="E740" s="1361"/>
      <c r="F740" s="1362"/>
      <c r="G740" s="1354"/>
      <c r="H740" s="1355"/>
      <c r="I740" s="1355"/>
      <c r="J740" s="1356"/>
      <c r="K740" s="1357"/>
      <c r="L740" s="1358"/>
      <c r="M740" s="1358"/>
      <c r="N740" s="1359"/>
      <c r="O740" s="1393"/>
      <c r="P740" s="1394"/>
      <c r="Q740" s="1394"/>
      <c r="R740" s="1394"/>
      <c r="S740" s="1395"/>
      <c r="T740" s="1393"/>
      <c r="U740" s="1394"/>
      <c r="V740" s="1394"/>
      <c r="W740" s="1395"/>
      <c r="X740" s="1441">
        <f t="shared" si="10"/>
        <v>0</v>
      </c>
      <c r="Y740" s="1442"/>
      <c r="Z740" s="1442"/>
      <c r="AA740" s="1442"/>
      <c r="AB740" s="1443"/>
      <c r="AC740" s="1438"/>
      <c r="AD740" s="1439"/>
      <c r="AE740" s="1439"/>
      <c r="AF740" s="1439"/>
      <c r="AG740" s="1440"/>
      <c r="AH740" s="1421" t="str">
        <f t="shared" si="38"/>
        <v/>
      </c>
      <c r="AI740" s="1422"/>
      <c r="AJ740" s="1423"/>
      <c r="AK740" s="1360" t="s">
        <v>591</v>
      </c>
      <c r="AL740" s="1361"/>
      <c r="AM740" s="1361"/>
      <c r="AN740" s="1361"/>
      <c r="AO740" s="1362"/>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2">
        <f t="shared" si="39"/>
        <v>0</v>
      </c>
      <c r="CH740" s="1543"/>
      <c r="CI740" s="1551">
        <f t="shared" si="40"/>
        <v>0</v>
      </c>
      <c r="CJ740" s="1552"/>
      <c r="CK740" s="1542">
        <f t="shared" si="18"/>
        <v>0</v>
      </c>
      <c r="CL740" s="1543"/>
      <c r="CM740" s="1551">
        <f t="shared" si="19"/>
        <v>0</v>
      </c>
      <c r="CN740" s="1552"/>
      <c r="CO740" s="3"/>
      <c r="CP740" s="1544">
        <f t="shared" si="20"/>
        <v>0</v>
      </c>
      <c r="CQ740" s="1545"/>
      <c r="CR740" s="1545"/>
      <c r="CS740" s="1545"/>
      <c r="CT740" s="1546"/>
      <c r="CU740" s="1547">
        <f t="shared" si="21"/>
        <v>0</v>
      </c>
      <c r="CV740" s="1547"/>
      <c r="CW740" s="1547"/>
      <c r="CX740" s="1547"/>
      <c r="CY740" s="1547"/>
      <c r="CZ740" s="1547">
        <f t="shared" si="22"/>
        <v>0</v>
      </c>
      <c r="DA740" s="1547"/>
      <c r="DB740" s="1547"/>
      <c r="DC740" s="1547"/>
      <c r="DD740" s="1547"/>
      <c r="DE740" s="1547">
        <f t="shared" si="23"/>
        <v>0</v>
      </c>
      <c r="DF740" s="1547"/>
      <c r="DG740" s="1547"/>
      <c r="DH740" s="1547"/>
      <c r="DI740" s="1547"/>
      <c r="DJ740" s="1547">
        <f t="shared" si="24"/>
        <v>0</v>
      </c>
      <c r="DK740" s="1547"/>
      <c r="DL740" s="1547"/>
      <c r="DM740" s="1547"/>
      <c r="DN740" s="1547"/>
      <c r="DO740" s="1547">
        <f t="shared" si="25"/>
        <v>0</v>
      </c>
      <c r="DP740" s="1547"/>
      <c r="DQ740" s="1547"/>
      <c r="DR740" s="1547"/>
      <c r="DS740" s="1547"/>
      <c r="DT740" s="6"/>
      <c r="DU740" s="1540">
        <f t="shared" si="26"/>
        <v>0</v>
      </c>
      <c r="DV740" s="1540"/>
      <c r="DW740" s="1540"/>
      <c r="DX740" s="1540"/>
      <c r="DY740" s="1540"/>
      <c r="DZ740" s="1540">
        <f t="shared" si="27"/>
        <v>0</v>
      </c>
      <c r="EA740" s="1540"/>
      <c r="EB740" s="1540"/>
      <c r="EC740" s="1540"/>
      <c r="ED740" s="1540"/>
      <c r="EE740" s="1540">
        <f t="shared" si="28"/>
        <v>0</v>
      </c>
      <c r="EF740" s="1540"/>
      <c r="EG740" s="1540"/>
      <c r="EH740" s="1540"/>
      <c r="EI740" s="1540"/>
      <c r="EJ740" s="1540">
        <f t="shared" si="29"/>
        <v>0</v>
      </c>
      <c r="EK740" s="1540"/>
      <c r="EL740" s="1540"/>
      <c r="EM740" s="1540"/>
      <c r="EN740" s="1540"/>
      <c r="EO740" s="1540">
        <f t="shared" si="30"/>
        <v>0</v>
      </c>
      <c r="EP740" s="1540"/>
      <c r="EQ740" s="1540"/>
      <c r="ER740" s="1540"/>
      <c r="ES740" s="1540"/>
      <c r="ET740" s="1540">
        <f t="shared" si="31"/>
        <v>0</v>
      </c>
      <c r="EU740" s="1540"/>
      <c r="EV740" s="1540"/>
      <c r="EW740" s="1540"/>
      <c r="EX740" s="1540"/>
      <c r="EZ740" s="1542" t="str">
        <f t="shared" si="32"/>
        <v/>
      </c>
      <c r="FA740" s="1560"/>
      <c r="FB740" s="1560"/>
      <c r="FC740" s="1560"/>
      <c r="FD740" s="1543"/>
      <c r="FE740" s="1542" t="str">
        <f t="shared" si="33"/>
        <v/>
      </c>
      <c r="FF740" s="1560"/>
      <c r="FG740" s="1560"/>
      <c r="FH740" s="1560"/>
      <c r="FI740" s="1543"/>
      <c r="FJ740" s="1542" t="str">
        <f t="shared" si="34"/>
        <v/>
      </c>
      <c r="FK740" s="1560"/>
      <c r="FL740" s="1560"/>
      <c r="FM740" s="1560"/>
      <c r="FN740" s="1543"/>
      <c r="FO740" s="1542" t="str">
        <f t="shared" si="35"/>
        <v/>
      </c>
      <c r="FP740" s="1560"/>
      <c r="FQ740" s="1560"/>
      <c r="FR740" s="1560"/>
      <c r="FS740" s="1543"/>
      <c r="FT740" s="1542" t="str">
        <f t="shared" si="36"/>
        <v/>
      </c>
      <c r="FU740" s="1560"/>
      <c r="FV740" s="1560"/>
      <c r="FW740" s="1560"/>
      <c r="FX740" s="1543"/>
      <c r="FY740" s="1542" t="str">
        <f t="shared" si="37"/>
        <v/>
      </c>
      <c r="FZ740" s="1560"/>
      <c r="GA740" s="1560"/>
      <c r="GB740" s="1560"/>
      <c r="GC740" s="1543"/>
    </row>
    <row r="741" spans="1:185" ht="12.95" customHeight="1">
      <c r="B741" s="1360"/>
      <c r="C741" s="1361"/>
      <c r="D741" s="1361"/>
      <c r="E741" s="1361"/>
      <c r="F741" s="1362"/>
      <c r="G741" s="1354"/>
      <c r="H741" s="1355"/>
      <c r="I741" s="1355"/>
      <c r="J741" s="1356"/>
      <c r="K741" s="1357"/>
      <c r="L741" s="1358"/>
      <c r="M741" s="1358"/>
      <c r="N741" s="1359"/>
      <c r="O741" s="1393"/>
      <c r="P741" s="1394"/>
      <c r="Q741" s="1394"/>
      <c r="R741" s="1394"/>
      <c r="S741" s="1395"/>
      <c r="T741" s="1393"/>
      <c r="U741" s="1394"/>
      <c r="V741" s="1394"/>
      <c r="W741" s="1395"/>
      <c r="X741" s="1441">
        <f t="shared" si="10"/>
        <v>0</v>
      </c>
      <c r="Y741" s="1442"/>
      <c r="Z741" s="1442"/>
      <c r="AA741" s="1442"/>
      <c r="AB741" s="1443"/>
      <c r="AC741" s="1438"/>
      <c r="AD741" s="1439"/>
      <c r="AE741" s="1439"/>
      <c r="AF741" s="1439"/>
      <c r="AG741" s="1440"/>
      <c r="AH741" s="1421" t="str">
        <f t="shared" si="38"/>
        <v/>
      </c>
      <c r="AI741" s="1422"/>
      <c r="AJ741" s="1423"/>
      <c r="AK741" s="1360" t="s">
        <v>591</v>
      </c>
      <c r="AL741" s="1361"/>
      <c r="AM741" s="1361"/>
      <c r="AN741" s="1361"/>
      <c r="AO741" s="1362"/>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2">
        <f t="shared" si="39"/>
        <v>0</v>
      </c>
      <c r="CH741" s="1543"/>
      <c r="CI741" s="1551">
        <f t="shared" si="40"/>
        <v>0</v>
      </c>
      <c r="CJ741" s="1552"/>
      <c r="CK741" s="1542">
        <f t="shared" si="18"/>
        <v>0</v>
      </c>
      <c r="CL741" s="1543"/>
      <c r="CM741" s="1551">
        <f t="shared" si="19"/>
        <v>0</v>
      </c>
      <c r="CN741" s="1552"/>
      <c r="CO741" s="3"/>
      <c r="CP741" s="1544">
        <f t="shared" si="20"/>
        <v>0</v>
      </c>
      <c r="CQ741" s="1545"/>
      <c r="CR741" s="1545"/>
      <c r="CS741" s="1545"/>
      <c r="CT741" s="1546"/>
      <c r="CU741" s="1547">
        <f t="shared" si="21"/>
        <v>0</v>
      </c>
      <c r="CV741" s="1547"/>
      <c r="CW741" s="1547"/>
      <c r="CX741" s="1547"/>
      <c r="CY741" s="1547"/>
      <c r="CZ741" s="1547">
        <f t="shared" si="22"/>
        <v>0</v>
      </c>
      <c r="DA741" s="1547"/>
      <c r="DB741" s="1547"/>
      <c r="DC741" s="1547"/>
      <c r="DD741" s="1547"/>
      <c r="DE741" s="1547">
        <f t="shared" si="23"/>
        <v>0</v>
      </c>
      <c r="DF741" s="1547"/>
      <c r="DG741" s="1547"/>
      <c r="DH741" s="1547"/>
      <c r="DI741" s="1547"/>
      <c r="DJ741" s="1547">
        <f t="shared" si="24"/>
        <v>0</v>
      </c>
      <c r="DK741" s="1547"/>
      <c r="DL741" s="1547"/>
      <c r="DM741" s="1547"/>
      <c r="DN741" s="1547"/>
      <c r="DO741" s="1547">
        <f t="shared" si="25"/>
        <v>0</v>
      </c>
      <c r="DP741" s="1547"/>
      <c r="DQ741" s="1547"/>
      <c r="DR741" s="1547"/>
      <c r="DS741" s="1547"/>
      <c r="DT741" s="6"/>
      <c r="DU741" s="1540">
        <f t="shared" si="26"/>
        <v>0</v>
      </c>
      <c r="DV741" s="1540"/>
      <c r="DW741" s="1540"/>
      <c r="DX741" s="1540"/>
      <c r="DY741" s="1540"/>
      <c r="DZ741" s="1540">
        <f t="shared" si="27"/>
        <v>0</v>
      </c>
      <c r="EA741" s="1540"/>
      <c r="EB741" s="1540"/>
      <c r="EC741" s="1540"/>
      <c r="ED741" s="1540"/>
      <c r="EE741" s="1540">
        <f t="shared" si="28"/>
        <v>0</v>
      </c>
      <c r="EF741" s="1540"/>
      <c r="EG741" s="1540"/>
      <c r="EH741" s="1540"/>
      <c r="EI741" s="1540"/>
      <c r="EJ741" s="1540">
        <f t="shared" si="29"/>
        <v>0</v>
      </c>
      <c r="EK741" s="1540"/>
      <c r="EL741" s="1540"/>
      <c r="EM741" s="1540"/>
      <c r="EN741" s="1540"/>
      <c r="EO741" s="1540">
        <f t="shared" si="30"/>
        <v>0</v>
      </c>
      <c r="EP741" s="1540"/>
      <c r="EQ741" s="1540"/>
      <c r="ER741" s="1540"/>
      <c r="ES741" s="1540"/>
      <c r="ET741" s="1540">
        <f t="shared" si="31"/>
        <v>0</v>
      </c>
      <c r="EU741" s="1540"/>
      <c r="EV741" s="1540"/>
      <c r="EW741" s="1540"/>
      <c r="EX741" s="1540"/>
      <c r="EZ741" s="1542" t="str">
        <f t="shared" si="32"/>
        <v/>
      </c>
      <c r="FA741" s="1560"/>
      <c r="FB741" s="1560"/>
      <c r="FC741" s="1560"/>
      <c r="FD741" s="1543"/>
      <c r="FE741" s="1542" t="str">
        <f t="shared" si="33"/>
        <v/>
      </c>
      <c r="FF741" s="1560"/>
      <c r="FG741" s="1560"/>
      <c r="FH741" s="1560"/>
      <c r="FI741" s="1543"/>
      <c r="FJ741" s="1542" t="str">
        <f t="shared" si="34"/>
        <v/>
      </c>
      <c r="FK741" s="1560"/>
      <c r="FL741" s="1560"/>
      <c r="FM741" s="1560"/>
      <c r="FN741" s="1543"/>
      <c r="FO741" s="1542" t="str">
        <f t="shared" si="35"/>
        <v/>
      </c>
      <c r="FP741" s="1560"/>
      <c r="FQ741" s="1560"/>
      <c r="FR741" s="1560"/>
      <c r="FS741" s="1543"/>
      <c r="FT741" s="1542" t="str">
        <f t="shared" si="36"/>
        <v/>
      </c>
      <c r="FU741" s="1560"/>
      <c r="FV741" s="1560"/>
      <c r="FW741" s="1560"/>
      <c r="FX741" s="1543"/>
      <c r="FY741" s="1542" t="str">
        <f t="shared" si="37"/>
        <v/>
      </c>
      <c r="FZ741" s="1560"/>
      <c r="GA741" s="1560"/>
      <c r="GB741" s="1560"/>
      <c r="GC741" s="1543"/>
    </row>
    <row r="742" spans="1:185" ht="12.95" customHeight="1">
      <c r="B742" s="1360"/>
      <c r="C742" s="1361"/>
      <c r="D742" s="1361"/>
      <c r="E742" s="1361"/>
      <c r="F742" s="1362"/>
      <c r="G742" s="1354"/>
      <c r="H742" s="1355"/>
      <c r="I742" s="1355"/>
      <c r="J742" s="1356"/>
      <c r="K742" s="1357"/>
      <c r="L742" s="1358"/>
      <c r="M742" s="1358"/>
      <c r="N742" s="1359"/>
      <c r="O742" s="1393"/>
      <c r="P742" s="1394"/>
      <c r="Q742" s="1394"/>
      <c r="R742" s="1394"/>
      <c r="S742" s="1395"/>
      <c r="T742" s="1393"/>
      <c r="U742" s="1394"/>
      <c r="V742" s="1394"/>
      <c r="W742" s="1395"/>
      <c r="X742" s="1441">
        <f t="shared" si="10"/>
        <v>0</v>
      </c>
      <c r="Y742" s="1442"/>
      <c r="Z742" s="1442"/>
      <c r="AA742" s="1442"/>
      <c r="AB742" s="1443"/>
      <c r="AC742" s="1438"/>
      <c r="AD742" s="1439"/>
      <c r="AE742" s="1439"/>
      <c r="AF742" s="1439"/>
      <c r="AG742" s="1440"/>
      <c r="AH742" s="1421" t="str">
        <f t="shared" si="38"/>
        <v/>
      </c>
      <c r="AI742" s="1422"/>
      <c r="AJ742" s="1423"/>
      <c r="AK742" s="1360" t="s">
        <v>591</v>
      </c>
      <c r="AL742" s="1361"/>
      <c r="AM742" s="1361"/>
      <c r="AN742" s="1361"/>
      <c r="AO742" s="1362"/>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2">
        <f t="shared" si="39"/>
        <v>0</v>
      </c>
      <c r="CH742" s="1543"/>
      <c r="CI742" s="1551">
        <f t="shared" si="40"/>
        <v>0</v>
      </c>
      <c r="CJ742" s="1552"/>
      <c r="CK742" s="1542">
        <f t="shared" si="18"/>
        <v>0</v>
      </c>
      <c r="CL742" s="1543"/>
      <c r="CM742" s="1551">
        <f t="shared" si="19"/>
        <v>0</v>
      </c>
      <c r="CN742" s="1552"/>
      <c r="CO742" s="3"/>
      <c r="CP742" s="1544">
        <f t="shared" si="20"/>
        <v>0</v>
      </c>
      <c r="CQ742" s="1545"/>
      <c r="CR742" s="1545"/>
      <c r="CS742" s="1545"/>
      <c r="CT742" s="1546"/>
      <c r="CU742" s="1547">
        <f t="shared" si="21"/>
        <v>0</v>
      </c>
      <c r="CV742" s="1547"/>
      <c r="CW742" s="1547"/>
      <c r="CX742" s="1547"/>
      <c r="CY742" s="1547"/>
      <c r="CZ742" s="1547">
        <f t="shared" si="22"/>
        <v>0</v>
      </c>
      <c r="DA742" s="1547"/>
      <c r="DB742" s="1547"/>
      <c r="DC742" s="1547"/>
      <c r="DD742" s="1547"/>
      <c r="DE742" s="1547">
        <f t="shared" si="23"/>
        <v>0</v>
      </c>
      <c r="DF742" s="1547"/>
      <c r="DG742" s="1547"/>
      <c r="DH742" s="1547"/>
      <c r="DI742" s="1547"/>
      <c r="DJ742" s="1547">
        <f t="shared" si="24"/>
        <v>0</v>
      </c>
      <c r="DK742" s="1547"/>
      <c r="DL742" s="1547"/>
      <c r="DM742" s="1547"/>
      <c r="DN742" s="1547"/>
      <c r="DO742" s="1547">
        <f t="shared" si="25"/>
        <v>0</v>
      </c>
      <c r="DP742" s="1547"/>
      <c r="DQ742" s="1547"/>
      <c r="DR742" s="1547"/>
      <c r="DS742" s="1547"/>
      <c r="DT742" s="6"/>
      <c r="DU742" s="1540">
        <f t="shared" si="26"/>
        <v>0</v>
      </c>
      <c r="DV742" s="1540"/>
      <c r="DW742" s="1540"/>
      <c r="DX742" s="1540"/>
      <c r="DY742" s="1540"/>
      <c r="DZ742" s="1540">
        <f t="shared" si="27"/>
        <v>0</v>
      </c>
      <c r="EA742" s="1540"/>
      <c r="EB742" s="1540"/>
      <c r="EC742" s="1540"/>
      <c r="ED742" s="1540"/>
      <c r="EE742" s="1540">
        <f t="shared" si="28"/>
        <v>0</v>
      </c>
      <c r="EF742" s="1540"/>
      <c r="EG742" s="1540"/>
      <c r="EH742" s="1540"/>
      <c r="EI742" s="1540"/>
      <c r="EJ742" s="1540">
        <f t="shared" si="29"/>
        <v>0</v>
      </c>
      <c r="EK742" s="1540"/>
      <c r="EL742" s="1540"/>
      <c r="EM742" s="1540"/>
      <c r="EN742" s="1540"/>
      <c r="EO742" s="1540">
        <f t="shared" si="30"/>
        <v>0</v>
      </c>
      <c r="EP742" s="1540"/>
      <c r="EQ742" s="1540"/>
      <c r="ER742" s="1540"/>
      <c r="ES742" s="1540"/>
      <c r="ET742" s="1540">
        <f t="shared" si="31"/>
        <v>0</v>
      </c>
      <c r="EU742" s="1540"/>
      <c r="EV742" s="1540"/>
      <c r="EW742" s="1540"/>
      <c r="EX742" s="1540"/>
      <c r="EZ742" s="1542" t="str">
        <f t="shared" si="32"/>
        <v/>
      </c>
      <c r="FA742" s="1560"/>
      <c r="FB742" s="1560"/>
      <c r="FC742" s="1560"/>
      <c r="FD742" s="1543"/>
      <c r="FE742" s="1542" t="str">
        <f t="shared" si="33"/>
        <v/>
      </c>
      <c r="FF742" s="1560"/>
      <c r="FG742" s="1560"/>
      <c r="FH742" s="1560"/>
      <c r="FI742" s="1543"/>
      <c r="FJ742" s="1542" t="str">
        <f t="shared" si="34"/>
        <v/>
      </c>
      <c r="FK742" s="1560"/>
      <c r="FL742" s="1560"/>
      <c r="FM742" s="1560"/>
      <c r="FN742" s="1543"/>
      <c r="FO742" s="1542" t="str">
        <f t="shared" si="35"/>
        <v/>
      </c>
      <c r="FP742" s="1560"/>
      <c r="FQ742" s="1560"/>
      <c r="FR742" s="1560"/>
      <c r="FS742" s="1543"/>
      <c r="FT742" s="1542" t="str">
        <f t="shared" si="36"/>
        <v/>
      </c>
      <c r="FU742" s="1560"/>
      <c r="FV742" s="1560"/>
      <c r="FW742" s="1560"/>
      <c r="FX742" s="1543"/>
      <c r="FY742" s="1542" t="str">
        <f t="shared" si="37"/>
        <v/>
      </c>
      <c r="FZ742" s="1560"/>
      <c r="GA742" s="1560"/>
      <c r="GB742" s="1560"/>
      <c r="GC742" s="1543"/>
    </row>
    <row r="743" spans="1:185" ht="12.95" customHeight="1">
      <c r="B743" s="1360"/>
      <c r="C743" s="1361"/>
      <c r="D743" s="1361"/>
      <c r="E743" s="1361"/>
      <c r="F743" s="1362"/>
      <c r="G743" s="1354"/>
      <c r="H743" s="1355"/>
      <c r="I743" s="1355"/>
      <c r="J743" s="1356"/>
      <c r="K743" s="1357"/>
      <c r="L743" s="1358"/>
      <c r="M743" s="1358"/>
      <c r="N743" s="1359"/>
      <c r="O743" s="1393"/>
      <c r="P743" s="1394"/>
      <c r="Q743" s="1394"/>
      <c r="R743" s="1394"/>
      <c r="S743" s="1395"/>
      <c r="T743" s="1393"/>
      <c r="U743" s="1394"/>
      <c r="V743" s="1394"/>
      <c r="W743" s="1395"/>
      <c r="X743" s="1441">
        <f t="shared" si="10"/>
        <v>0</v>
      </c>
      <c r="Y743" s="1442"/>
      <c r="Z743" s="1442"/>
      <c r="AA743" s="1442"/>
      <c r="AB743" s="1443"/>
      <c r="AC743" s="1438"/>
      <c r="AD743" s="1439"/>
      <c r="AE743" s="1439"/>
      <c r="AF743" s="1439"/>
      <c r="AG743" s="1440"/>
      <c r="AH743" s="1421" t="str">
        <f t="shared" si="38"/>
        <v/>
      </c>
      <c r="AI743" s="1422"/>
      <c r="AJ743" s="1423"/>
      <c r="AK743" s="1360" t="s">
        <v>591</v>
      </c>
      <c r="AL743" s="1361"/>
      <c r="AM743" s="1361"/>
      <c r="AN743" s="1361"/>
      <c r="AO743" s="1362"/>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2">
        <f t="shared" si="39"/>
        <v>0</v>
      </c>
      <c r="CH743" s="1543"/>
      <c r="CI743" s="1551">
        <f t="shared" si="40"/>
        <v>0</v>
      </c>
      <c r="CJ743" s="1552"/>
      <c r="CK743" s="1542">
        <f t="shared" si="18"/>
        <v>0</v>
      </c>
      <c r="CL743" s="1543"/>
      <c r="CM743" s="1551">
        <f t="shared" si="19"/>
        <v>0</v>
      </c>
      <c r="CN743" s="1552"/>
      <c r="CO743" s="3"/>
      <c r="CP743" s="1544">
        <f t="shared" si="20"/>
        <v>0</v>
      </c>
      <c r="CQ743" s="1545"/>
      <c r="CR743" s="1545"/>
      <c r="CS743" s="1545"/>
      <c r="CT743" s="1546"/>
      <c r="CU743" s="1547">
        <f t="shared" si="21"/>
        <v>0</v>
      </c>
      <c r="CV743" s="1547"/>
      <c r="CW743" s="1547"/>
      <c r="CX743" s="1547"/>
      <c r="CY743" s="1547"/>
      <c r="CZ743" s="1547">
        <f t="shared" si="22"/>
        <v>0</v>
      </c>
      <c r="DA743" s="1547"/>
      <c r="DB743" s="1547"/>
      <c r="DC743" s="1547"/>
      <c r="DD743" s="1547"/>
      <c r="DE743" s="1547">
        <f t="shared" si="23"/>
        <v>0</v>
      </c>
      <c r="DF743" s="1547"/>
      <c r="DG743" s="1547"/>
      <c r="DH743" s="1547"/>
      <c r="DI743" s="1547"/>
      <c r="DJ743" s="1547">
        <f t="shared" si="24"/>
        <v>0</v>
      </c>
      <c r="DK743" s="1547"/>
      <c r="DL743" s="1547"/>
      <c r="DM743" s="1547"/>
      <c r="DN743" s="1547"/>
      <c r="DO743" s="1547">
        <f t="shared" si="25"/>
        <v>0</v>
      </c>
      <c r="DP743" s="1547"/>
      <c r="DQ743" s="1547"/>
      <c r="DR743" s="1547"/>
      <c r="DS743" s="1547"/>
      <c r="DT743" s="6"/>
      <c r="DU743" s="1540">
        <f t="shared" si="26"/>
        <v>0</v>
      </c>
      <c r="DV743" s="1540"/>
      <c r="DW743" s="1540"/>
      <c r="DX743" s="1540"/>
      <c r="DY743" s="1540"/>
      <c r="DZ743" s="1540">
        <f t="shared" si="27"/>
        <v>0</v>
      </c>
      <c r="EA743" s="1540"/>
      <c r="EB743" s="1540"/>
      <c r="EC743" s="1540"/>
      <c r="ED743" s="1540"/>
      <c r="EE743" s="1540">
        <f t="shared" si="28"/>
        <v>0</v>
      </c>
      <c r="EF743" s="1540"/>
      <c r="EG743" s="1540"/>
      <c r="EH743" s="1540"/>
      <c r="EI743" s="1540"/>
      <c r="EJ743" s="1540">
        <f t="shared" si="29"/>
        <v>0</v>
      </c>
      <c r="EK743" s="1540"/>
      <c r="EL743" s="1540"/>
      <c r="EM743" s="1540"/>
      <c r="EN743" s="1540"/>
      <c r="EO743" s="1540">
        <f t="shared" si="30"/>
        <v>0</v>
      </c>
      <c r="EP743" s="1540"/>
      <c r="EQ743" s="1540"/>
      <c r="ER743" s="1540"/>
      <c r="ES743" s="1540"/>
      <c r="ET743" s="1540">
        <f t="shared" si="31"/>
        <v>0</v>
      </c>
      <c r="EU743" s="1540"/>
      <c r="EV743" s="1540"/>
      <c r="EW743" s="1540"/>
      <c r="EX743" s="1540"/>
      <c r="EZ743" s="1542" t="str">
        <f t="shared" si="32"/>
        <v/>
      </c>
      <c r="FA743" s="1560"/>
      <c r="FB743" s="1560"/>
      <c r="FC743" s="1560"/>
      <c r="FD743" s="1543"/>
      <c r="FE743" s="1542" t="str">
        <f t="shared" si="33"/>
        <v/>
      </c>
      <c r="FF743" s="1560"/>
      <c r="FG743" s="1560"/>
      <c r="FH743" s="1560"/>
      <c r="FI743" s="1543"/>
      <c r="FJ743" s="1542" t="str">
        <f t="shared" si="34"/>
        <v/>
      </c>
      <c r="FK743" s="1560"/>
      <c r="FL743" s="1560"/>
      <c r="FM743" s="1560"/>
      <c r="FN743" s="1543"/>
      <c r="FO743" s="1542" t="str">
        <f t="shared" si="35"/>
        <v/>
      </c>
      <c r="FP743" s="1560"/>
      <c r="FQ743" s="1560"/>
      <c r="FR743" s="1560"/>
      <c r="FS743" s="1543"/>
      <c r="FT743" s="1542" t="str">
        <f t="shared" si="36"/>
        <v/>
      </c>
      <c r="FU743" s="1560"/>
      <c r="FV743" s="1560"/>
      <c r="FW743" s="1560"/>
      <c r="FX743" s="1543"/>
      <c r="FY743" s="1542" t="str">
        <f t="shared" si="37"/>
        <v/>
      </c>
      <c r="FZ743" s="1560"/>
      <c r="GA743" s="1560"/>
      <c r="GB743" s="1560"/>
      <c r="GC743" s="1543"/>
    </row>
    <row r="744" spans="1:185" ht="12.95" customHeight="1">
      <c r="B744" s="1360"/>
      <c r="C744" s="1361"/>
      <c r="D744" s="1361"/>
      <c r="E744" s="1361"/>
      <c r="F744" s="1362"/>
      <c r="G744" s="1354"/>
      <c r="H744" s="1355"/>
      <c r="I744" s="1355"/>
      <c r="J744" s="1356"/>
      <c r="K744" s="1357"/>
      <c r="L744" s="1358"/>
      <c r="M744" s="1358"/>
      <c r="N744" s="1359"/>
      <c r="O744" s="1393"/>
      <c r="P744" s="1394"/>
      <c r="Q744" s="1394"/>
      <c r="R744" s="1394"/>
      <c r="S744" s="1395"/>
      <c r="T744" s="1393"/>
      <c r="U744" s="1394"/>
      <c r="V744" s="1394"/>
      <c r="W744" s="1395"/>
      <c r="X744" s="1441">
        <f t="shared" si="10"/>
        <v>0</v>
      </c>
      <c r="Y744" s="1442"/>
      <c r="Z744" s="1442"/>
      <c r="AA744" s="1442"/>
      <c r="AB744" s="1443"/>
      <c r="AC744" s="1438"/>
      <c r="AD744" s="1439"/>
      <c r="AE744" s="1439"/>
      <c r="AF744" s="1439"/>
      <c r="AG744" s="1440"/>
      <c r="AH744" s="1421" t="str">
        <f t="shared" si="38"/>
        <v/>
      </c>
      <c r="AI744" s="1422"/>
      <c r="AJ744" s="1423"/>
      <c r="AK744" s="1360" t="s">
        <v>591</v>
      </c>
      <c r="AL744" s="1361"/>
      <c r="AM744" s="1361"/>
      <c r="AN744" s="1361"/>
      <c r="AO744" s="1362"/>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2">
        <f t="shared" si="39"/>
        <v>0</v>
      </c>
      <c r="CH744" s="1543"/>
      <c r="CI744" s="1551">
        <f t="shared" si="40"/>
        <v>0</v>
      </c>
      <c r="CJ744" s="1552"/>
      <c r="CK744" s="1542">
        <f t="shared" si="18"/>
        <v>0</v>
      </c>
      <c r="CL744" s="1543"/>
      <c r="CM744" s="1551">
        <f t="shared" si="19"/>
        <v>0</v>
      </c>
      <c r="CN744" s="1552"/>
      <c r="CO744" s="3"/>
      <c r="CP744" s="1544">
        <f t="shared" si="20"/>
        <v>0</v>
      </c>
      <c r="CQ744" s="1545"/>
      <c r="CR744" s="1545"/>
      <c r="CS744" s="1545"/>
      <c r="CT744" s="1546"/>
      <c r="CU744" s="1547">
        <f t="shared" si="21"/>
        <v>0</v>
      </c>
      <c r="CV744" s="1547"/>
      <c r="CW744" s="1547"/>
      <c r="CX744" s="1547"/>
      <c r="CY744" s="1547"/>
      <c r="CZ744" s="1547">
        <f t="shared" si="22"/>
        <v>0</v>
      </c>
      <c r="DA744" s="1547"/>
      <c r="DB744" s="1547"/>
      <c r="DC744" s="1547"/>
      <c r="DD744" s="1547"/>
      <c r="DE744" s="1547">
        <f t="shared" si="23"/>
        <v>0</v>
      </c>
      <c r="DF744" s="1547"/>
      <c r="DG744" s="1547"/>
      <c r="DH744" s="1547"/>
      <c r="DI744" s="1547"/>
      <c r="DJ744" s="1547">
        <f t="shared" si="24"/>
        <v>0</v>
      </c>
      <c r="DK744" s="1547"/>
      <c r="DL744" s="1547"/>
      <c r="DM744" s="1547"/>
      <c r="DN744" s="1547"/>
      <c r="DO744" s="1547">
        <f t="shared" si="25"/>
        <v>0</v>
      </c>
      <c r="DP744" s="1547"/>
      <c r="DQ744" s="1547"/>
      <c r="DR744" s="1547"/>
      <c r="DS744" s="1547"/>
      <c r="DT744" s="6"/>
      <c r="DU744" s="1540">
        <f t="shared" si="26"/>
        <v>0</v>
      </c>
      <c r="DV744" s="1540"/>
      <c r="DW744" s="1540"/>
      <c r="DX744" s="1540"/>
      <c r="DY744" s="1540"/>
      <c r="DZ744" s="1540">
        <f t="shared" si="27"/>
        <v>0</v>
      </c>
      <c r="EA744" s="1540"/>
      <c r="EB744" s="1540"/>
      <c r="EC744" s="1540"/>
      <c r="ED744" s="1540"/>
      <c r="EE744" s="1540">
        <f t="shared" si="28"/>
        <v>0</v>
      </c>
      <c r="EF744" s="1540"/>
      <c r="EG744" s="1540"/>
      <c r="EH744" s="1540"/>
      <c r="EI744" s="1540"/>
      <c r="EJ744" s="1540">
        <f t="shared" si="29"/>
        <v>0</v>
      </c>
      <c r="EK744" s="1540"/>
      <c r="EL744" s="1540"/>
      <c r="EM744" s="1540"/>
      <c r="EN744" s="1540"/>
      <c r="EO744" s="1540">
        <f t="shared" si="30"/>
        <v>0</v>
      </c>
      <c r="EP744" s="1540"/>
      <c r="EQ744" s="1540"/>
      <c r="ER744" s="1540"/>
      <c r="ES744" s="1540"/>
      <c r="ET744" s="1540">
        <f t="shared" si="31"/>
        <v>0</v>
      </c>
      <c r="EU744" s="1540"/>
      <c r="EV744" s="1540"/>
      <c r="EW744" s="1540"/>
      <c r="EX744" s="1540"/>
      <c r="EZ744" s="1542" t="str">
        <f t="shared" si="32"/>
        <v/>
      </c>
      <c r="FA744" s="1560"/>
      <c r="FB744" s="1560"/>
      <c r="FC744" s="1560"/>
      <c r="FD744" s="1543"/>
      <c r="FE744" s="1542" t="str">
        <f t="shared" si="33"/>
        <v/>
      </c>
      <c r="FF744" s="1560"/>
      <c r="FG744" s="1560"/>
      <c r="FH744" s="1560"/>
      <c r="FI744" s="1543"/>
      <c r="FJ744" s="1542" t="str">
        <f t="shared" si="34"/>
        <v/>
      </c>
      <c r="FK744" s="1560"/>
      <c r="FL744" s="1560"/>
      <c r="FM744" s="1560"/>
      <c r="FN744" s="1543"/>
      <c r="FO744" s="1542" t="str">
        <f t="shared" si="35"/>
        <v/>
      </c>
      <c r="FP744" s="1560"/>
      <c r="FQ744" s="1560"/>
      <c r="FR744" s="1560"/>
      <c r="FS744" s="1543"/>
      <c r="FT744" s="1542" t="str">
        <f t="shared" si="36"/>
        <v/>
      </c>
      <c r="FU744" s="1560"/>
      <c r="FV744" s="1560"/>
      <c r="FW744" s="1560"/>
      <c r="FX744" s="1543"/>
      <c r="FY744" s="1542" t="str">
        <f t="shared" si="37"/>
        <v/>
      </c>
      <c r="FZ744" s="1560"/>
      <c r="GA744" s="1560"/>
      <c r="GB744" s="1560"/>
      <c r="GC744" s="1543"/>
    </row>
    <row r="745" spans="1:185" ht="12.95" customHeight="1">
      <c r="B745" s="1360"/>
      <c r="C745" s="1361"/>
      <c r="D745" s="1361"/>
      <c r="E745" s="1361"/>
      <c r="F745" s="1362"/>
      <c r="G745" s="1354"/>
      <c r="H745" s="1355"/>
      <c r="I745" s="1355"/>
      <c r="J745" s="1356"/>
      <c r="K745" s="1357"/>
      <c r="L745" s="1358"/>
      <c r="M745" s="1358"/>
      <c r="N745" s="1359"/>
      <c r="O745" s="1393"/>
      <c r="P745" s="1394"/>
      <c r="Q745" s="1394"/>
      <c r="R745" s="1394"/>
      <c r="S745" s="1395"/>
      <c r="T745" s="1393"/>
      <c r="U745" s="1394"/>
      <c r="V745" s="1394"/>
      <c r="W745" s="1395"/>
      <c r="X745" s="1441">
        <f t="shared" si="10"/>
        <v>0</v>
      </c>
      <c r="Y745" s="1442"/>
      <c r="Z745" s="1442"/>
      <c r="AA745" s="1442"/>
      <c r="AB745" s="1443"/>
      <c r="AC745" s="1438"/>
      <c r="AD745" s="1439"/>
      <c r="AE745" s="1439"/>
      <c r="AF745" s="1439"/>
      <c r="AG745" s="1440"/>
      <c r="AH745" s="1421" t="str">
        <f t="shared" si="38"/>
        <v/>
      </c>
      <c r="AI745" s="1422"/>
      <c r="AJ745" s="1423"/>
      <c r="AK745" s="1360" t="s">
        <v>591</v>
      </c>
      <c r="AL745" s="1361"/>
      <c r="AM745" s="1361"/>
      <c r="AN745" s="1361"/>
      <c r="AO745" s="1362"/>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2">
        <f t="shared" si="39"/>
        <v>0</v>
      </c>
      <c r="CH745" s="1543"/>
      <c r="CI745" s="1551">
        <f t="shared" si="40"/>
        <v>0</v>
      </c>
      <c r="CJ745" s="1552"/>
      <c r="CK745" s="1542">
        <f t="shared" si="18"/>
        <v>0</v>
      </c>
      <c r="CL745" s="1543"/>
      <c r="CM745" s="1551">
        <f t="shared" si="19"/>
        <v>0</v>
      </c>
      <c r="CN745" s="1552"/>
      <c r="CO745" s="3"/>
      <c r="CP745" s="1544">
        <f t="shared" si="20"/>
        <v>0</v>
      </c>
      <c r="CQ745" s="1545"/>
      <c r="CR745" s="1545"/>
      <c r="CS745" s="1545"/>
      <c r="CT745" s="1546"/>
      <c r="CU745" s="1547">
        <f t="shared" si="21"/>
        <v>0</v>
      </c>
      <c r="CV745" s="1547"/>
      <c r="CW745" s="1547"/>
      <c r="CX745" s="1547"/>
      <c r="CY745" s="1547"/>
      <c r="CZ745" s="1547">
        <f t="shared" si="22"/>
        <v>0</v>
      </c>
      <c r="DA745" s="1547"/>
      <c r="DB745" s="1547"/>
      <c r="DC745" s="1547"/>
      <c r="DD745" s="1547"/>
      <c r="DE745" s="1547">
        <f t="shared" si="23"/>
        <v>0</v>
      </c>
      <c r="DF745" s="1547"/>
      <c r="DG745" s="1547"/>
      <c r="DH745" s="1547"/>
      <c r="DI745" s="1547"/>
      <c r="DJ745" s="1547">
        <f t="shared" si="24"/>
        <v>0</v>
      </c>
      <c r="DK745" s="1547"/>
      <c r="DL745" s="1547"/>
      <c r="DM745" s="1547"/>
      <c r="DN745" s="1547"/>
      <c r="DO745" s="1547">
        <f t="shared" si="25"/>
        <v>0</v>
      </c>
      <c r="DP745" s="1547"/>
      <c r="DQ745" s="1547"/>
      <c r="DR745" s="1547"/>
      <c r="DS745" s="1547"/>
      <c r="DT745" s="6"/>
      <c r="DU745" s="1540">
        <f t="shared" si="26"/>
        <v>0</v>
      </c>
      <c r="DV745" s="1540"/>
      <c r="DW745" s="1540"/>
      <c r="DX745" s="1540"/>
      <c r="DY745" s="1540"/>
      <c r="DZ745" s="1540">
        <f t="shared" si="27"/>
        <v>0</v>
      </c>
      <c r="EA745" s="1540"/>
      <c r="EB745" s="1540"/>
      <c r="EC745" s="1540"/>
      <c r="ED745" s="1540"/>
      <c r="EE745" s="1540">
        <f t="shared" si="28"/>
        <v>0</v>
      </c>
      <c r="EF745" s="1540"/>
      <c r="EG745" s="1540"/>
      <c r="EH745" s="1540"/>
      <c r="EI745" s="1540"/>
      <c r="EJ745" s="1540">
        <f t="shared" si="29"/>
        <v>0</v>
      </c>
      <c r="EK745" s="1540"/>
      <c r="EL745" s="1540"/>
      <c r="EM745" s="1540"/>
      <c r="EN745" s="1540"/>
      <c r="EO745" s="1540">
        <f t="shared" si="30"/>
        <v>0</v>
      </c>
      <c r="EP745" s="1540"/>
      <c r="EQ745" s="1540"/>
      <c r="ER745" s="1540"/>
      <c r="ES745" s="1540"/>
      <c r="ET745" s="1540">
        <f t="shared" si="31"/>
        <v>0</v>
      </c>
      <c r="EU745" s="1540"/>
      <c r="EV745" s="1540"/>
      <c r="EW745" s="1540"/>
      <c r="EX745" s="1540"/>
      <c r="EZ745" s="1542" t="str">
        <f t="shared" si="32"/>
        <v/>
      </c>
      <c r="FA745" s="1560"/>
      <c r="FB745" s="1560"/>
      <c r="FC745" s="1560"/>
      <c r="FD745" s="1543"/>
      <c r="FE745" s="1542" t="str">
        <f t="shared" si="33"/>
        <v/>
      </c>
      <c r="FF745" s="1560"/>
      <c r="FG745" s="1560"/>
      <c r="FH745" s="1560"/>
      <c r="FI745" s="1543"/>
      <c r="FJ745" s="1542" t="str">
        <f t="shared" si="34"/>
        <v/>
      </c>
      <c r="FK745" s="1560"/>
      <c r="FL745" s="1560"/>
      <c r="FM745" s="1560"/>
      <c r="FN745" s="1543"/>
      <c r="FO745" s="1542" t="str">
        <f t="shared" si="35"/>
        <v/>
      </c>
      <c r="FP745" s="1560"/>
      <c r="FQ745" s="1560"/>
      <c r="FR745" s="1560"/>
      <c r="FS745" s="1543"/>
      <c r="FT745" s="1542" t="str">
        <f t="shared" si="36"/>
        <v/>
      </c>
      <c r="FU745" s="1560"/>
      <c r="FV745" s="1560"/>
      <c r="FW745" s="1560"/>
      <c r="FX745" s="1543"/>
      <c r="FY745" s="1542" t="str">
        <f t="shared" si="37"/>
        <v/>
      </c>
      <c r="FZ745" s="1560"/>
      <c r="GA745" s="1560"/>
      <c r="GB745" s="1560"/>
      <c r="GC745" s="1543"/>
    </row>
    <row r="746" spans="1:185" ht="12.95" customHeight="1">
      <c r="B746" s="1360"/>
      <c r="C746" s="1361"/>
      <c r="D746" s="1361"/>
      <c r="E746" s="1361"/>
      <c r="F746" s="1362"/>
      <c r="G746" s="1354"/>
      <c r="H746" s="1355"/>
      <c r="I746" s="1355"/>
      <c r="J746" s="1356"/>
      <c r="K746" s="1357"/>
      <c r="L746" s="1358"/>
      <c r="M746" s="1358"/>
      <c r="N746" s="1359"/>
      <c r="O746" s="1393"/>
      <c r="P746" s="1394"/>
      <c r="Q746" s="1394"/>
      <c r="R746" s="1394"/>
      <c r="S746" s="1395"/>
      <c r="T746" s="1393"/>
      <c r="U746" s="1394"/>
      <c r="V746" s="1394"/>
      <c r="W746" s="1395"/>
      <c r="X746" s="1441">
        <f t="shared" si="10"/>
        <v>0</v>
      </c>
      <c r="Y746" s="1442"/>
      <c r="Z746" s="1442"/>
      <c r="AA746" s="1442"/>
      <c r="AB746" s="1443"/>
      <c r="AC746" s="1438"/>
      <c r="AD746" s="1439"/>
      <c r="AE746" s="1439"/>
      <c r="AF746" s="1439"/>
      <c r="AG746" s="1440"/>
      <c r="AH746" s="1421" t="str">
        <f t="shared" si="38"/>
        <v/>
      </c>
      <c r="AI746" s="1422"/>
      <c r="AJ746" s="1423"/>
      <c r="AK746" s="1360" t="s">
        <v>591</v>
      </c>
      <c r="AL746" s="1361"/>
      <c r="AM746" s="1361"/>
      <c r="AN746" s="1361"/>
      <c r="AO746" s="1362"/>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2">
        <f t="shared" si="39"/>
        <v>0</v>
      </c>
      <c r="CH746" s="1543"/>
      <c r="CI746" s="1551">
        <f t="shared" si="40"/>
        <v>0</v>
      </c>
      <c r="CJ746" s="1552"/>
      <c r="CK746" s="1542">
        <f t="shared" si="18"/>
        <v>0</v>
      </c>
      <c r="CL746" s="1543"/>
      <c r="CM746" s="1551">
        <f t="shared" si="19"/>
        <v>0</v>
      </c>
      <c r="CN746" s="1552"/>
      <c r="CO746" s="3"/>
      <c r="CP746" s="1544">
        <f t="shared" si="20"/>
        <v>0</v>
      </c>
      <c r="CQ746" s="1545"/>
      <c r="CR746" s="1545"/>
      <c r="CS746" s="1545"/>
      <c r="CT746" s="1546"/>
      <c r="CU746" s="1547">
        <f t="shared" si="21"/>
        <v>0</v>
      </c>
      <c r="CV746" s="1547"/>
      <c r="CW746" s="1547"/>
      <c r="CX746" s="1547"/>
      <c r="CY746" s="1547"/>
      <c r="CZ746" s="1547">
        <f t="shared" si="22"/>
        <v>0</v>
      </c>
      <c r="DA746" s="1547"/>
      <c r="DB746" s="1547"/>
      <c r="DC746" s="1547"/>
      <c r="DD746" s="1547"/>
      <c r="DE746" s="1547">
        <f t="shared" si="23"/>
        <v>0</v>
      </c>
      <c r="DF746" s="1547"/>
      <c r="DG746" s="1547"/>
      <c r="DH746" s="1547"/>
      <c r="DI746" s="1547"/>
      <c r="DJ746" s="1547">
        <f t="shared" si="24"/>
        <v>0</v>
      </c>
      <c r="DK746" s="1547"/>
      <c r="DL746" s="1547"/>
      <c r="DM746" s="1547"/>
      <c r="DN746" s="1547"/>
      <c r="DO746" s="1547">
        <f t="shared" si="25"/>
        <v>0</v>
      </c>
      <c r="DP746" s="1547"/>
      <c r="DQ746" s="1547"/>
      <c r="DR746" s="1547"/>
      <c r="DS746" s="1547"/>
      <c r="DT746" s="6"/>
      <c r="DU746" s="1540">
        <f t="shared" si="26"/>
        <v>0</v>
      </c>
      <c r="DV746" s="1540"/>
      <c r="DW746" s="1540"/>
      <c r="DX746" s="1540"/>
      <c r="DY746" s="1540"/>
      <c r="DZ746" s="1540">
        <f t="shared" si="27"/>
        <v>0</v>
      </c>
      <c r="EA746" s="1540"/>
      <c r="EB746" s="1540"/>
      <c r="EC746" s="1540"/>
      <c r="ED746" s="1540"/>
      <c r="EE746" s="1540">
        <f t="shared" si="28"/>
        <v>0</v>
      </c>
      <c r="EF746" s="1540"/>
      <c r="EG746" s="1540"/>
      <c r="EH746" s="1540"/>
      <c r="EI746" s="1540"/>
      <c r="EJ746" s="1540">
        <f t="shared" si="29"/>
        <v>0</v>
      </c>
      <c r="EK746" s="1540"/>
      <c r="EL746" s="1540"/>
      <c r="EM746" s="1540"/>
      <c r="EN746" s="1540"/>
      <c r="EO746" s="1540">
        <f t="shared" si="30"/>
        <v>0</v>
      </c>
      <c r="EP746" s="1540"/>
      <c r="EQ746" s="1540"/>
      <c r="ER746" s="1540"/>
      <c r="ES746" s="1540"/>
      <c r="ET746" s="1540">
        <f t="shared" si="31"/>
        <v>0</v>
      </c>
      <c r="EU746" s="1540"/>
      <c r="EV746" s="1540"/>
      <c r="EW746" s="1540"/>
      <c r="EX746" s="1540"/>
      <c r="EZ746" s="1542" t="str">
        <f t="shared" si="32"/>
        <v/>
      </c>
      <c r="FA746" s="1560"/>
      <c r="FB746" s="1560"/>
      <c r="FC746" s="1560"/>
      <c r="FD746" s="1543"/>
      <c r="FE746" s="1542" t="str">
        <f t="shared" si="33"/>
        <v/>
      </c>
      <c r="FF746" s="1560"/>
      <c r="FG746" s="1560"/>
      <c r="FH746" s="1560"/>
      <c r="FI746" s="1543"/>
      <c r="FJ746" s="1542" t="str">
        <f t="shared" si="34"/>
        <v/>
      </c>
      <c r="FK746" s="1560"/>
      <c r="FL746" s="1560"/>
      <c r="FM746" s="1560"/>
      <c r="FN746" s="1543"/>
      <c r="FO746" s="1542" t="str">
        <f t="shared" si="35"/>
        <v/>
      </c>
      <c r="FP746" s="1560"/>
      <c r="FQ746" s="1560"/>
      <c r="FR746" s="1560"/>
      <c r="FS746" s="1543"/>
      <c r="FT746" s="1542" t="str">
        <f t="shared" si="36"/>
        <v/>
      </c>
      <c r="FU746" s="1560"/>
      <c r="FV746" s="1560"/>
      <c r="FW746" s="1560"/>
      <c r="FX746" s="1543"/>
      <c r="FY746" s="1542" t="str">
        <f t="shared" si="37"/>
        <v/>
      </c>
      <c r="FZ746" s="1560"/>
      <c r="GA746" s="1560"/>
      <c r="GB746" s="1560"/>
      <c r="GC746" s="1543"/>
    </row>
    <row r="747" spans="1:185" ht="12.95" customHeight="1">
      <c r="B747" s="1360"/>
      <c r="C747" s="1361"/>
      <c r="D747" s="1361"/>
      <c r="E747" s="1361"/>
      <c r="F747" s="1362"/>
      <c r="G747" s="1354"/>
      <c r="H747" s="1355"/>
      <c r="I747" s="1355"/>
      <c r="J747" s="1356"/>
      <c r="K747" s="1357"/>
      <c r="L747" s="1358"/>
      <c r="M747" s="1358"/>
      <c r="N747" s="1359"/>
      <c r="O747" s="1393"/>
      <c r="P747" s="1394"/>
      <c r="Q747" s="1394"/>
      <c r="R747" s="1394"/>
      <c r="S747" s="1395"/>
      <c r="T747" s="1393"/>
      <c r="U747" s="1394"/>
      <c r="V747" s="1394"/>
      <c r="W747" s="1395"/>
      <c r="X747" s="1441">
        <f t="shared" si="10"/>
        <v>0</v>
      </c>
      <c r="Y747" s="1442"/>
      <c r="Z747" s="1442"/>
      <c r="AA747" s="1442"/>
      <c r="AB747" s="1443"/>
      <c r="AC747" s="1438"/>
      <c r="AD747" s="1439"/>
      <c r="AE747" s="1439"/>
      <c r="AF747" s="1439"/>
      <c r="AG747" s="1440"/>
      <c r="AH747" s="1421" t="str">
        <f t="shared" si="38"/>
        <v/>
      </c>
      <c r="AI747" s="1422"/>
      <c r="AJ747" s="1423"/>
      <c r="AK747" s="1360" t="s">
        <v>591</v>
      </c>
      <c r="AL747" s="1361"/>
      <c r="AM747" s="1361"/>
      <c r="AN747" s="1361"/>
      <c r="AO747" s="1362"/>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2">
        <f t="shared" si="39"/>
        <v>0</v>
      </c>
      <c r="CH747" s="1543"/>
      <c r="CI747" s="1551">
        <f t="shared" si="40"/>
        <v>0</v>
      </c>
      <c r="CJ747" s="1552"/>
      <c r="CK747" s="1542">
        <f t="shared" si="18"/>
        <v>0</v>
      </c>
      <c r="CL747" s="1543"/>
      <c r="CM747" s="1551">
        <f t="shared" si="19"/>
        <v>0</v>
      </c>
      <c r="CN747" s="1552"/>
      <c r="CO747" s="3"/>
      <c r="CP747" s="1544">
        <f t="shared" si="20"/>
        <v>0</v>
      </c>
      <c r="CQ747" s="1545"/>
      <c r="CR747" s="1545"/>
      <c r="CS747" s="1545"/>
      <c r="CT747" s="1546"/>
      <c r="CU747" s="1547">
        <f t="shared" si="21"/>
        <v>0</v>
      </c>
      <c r="CV747" s="1547"/>
      <c r="CW747" s="1547"/>
      <c r="CX747" s="1547"/>
      <c r="CY747" s="1547"/>
      <c r="CZ747" s="1547">
        <f t="shared" si="22"/>
        <v>0</v>
      </c>
      <c r="DA747" s="1547"/>
      <c r="DB747" s="1547"/>
      <c r="DC747" s="1547"/>
      <c r="DD747" s="1547"/>
      <c r="DE747" s="1547">
        <f t="shared" si="23"/>
        <v>0</v>
      </c>
      <c r="DF747" s="1547"/>
      <c r="DG747" s="1547"/>
      <c r="DH747" s="1547"/>
      <c r="DI747" s="1547"/>
      <c r="DJ747" s="1547">
        <f t="shared" si="24"/>
        <v>0</v>
      </c>
      <c r="DK747" s="1547"/>
      <c r="DL747" s="1547"/>
      <c r="DM747" s="1547"/>
      <c r="DN747" s="1547"/>
      <c r="DO747" s="1547">
        <f t="shared" si="25"/>
        <v>0</v>
      </c>
      <c r="DP747" s="1547"/>
      <c r="DQ747" s="1547"/>
      <c r="DR747" s="1547"/>
      <c r="DS747" s="1547"/>
      <c r="DT747" s="6"/>
      <c r="DU747" s="1540">
        <f t="shared" si="26"/>
        <v>0</v>
      </c>
      <c r="DV747" s="1540"/>
      <c r="DW747" s="1540"/>
      <c r="DX747" s="1540"/>
      <c r="DY747" s="1540"/>
      <c r="DZ747" s="1540">
        <f t="shared" si="27"/>
        <v>0</v>
      </c>
      <c r="EA747" s="1540"/>
      <c r="EB747" s="1540"/>
      <c r="EC747" s="1540"/>
      <c r="ED747" s="1540"/>
      <c r="EE747" s="1540">
        <f t="shared" si="28"/>
        <v>0</v>
      </c>
      <c r="EF747" s="1540"/>
      <c r="EG747" s="1540"/>
      <c r="EH747" s="1540"/>
      <c r="EI747" s="1540"/>
      <c r="EJ747" s="1540">
        <f t="shared" si="29"/>
        <v>0</v>
      </c>
      <c r="EK747" s="1540"/>
      <c r="EL747" s="1540"/>
      <c r="EM747" s="1540"/>
      <c r="EN747" s="1540"/>
      <c r="EO747" s="1540">
        <f t="shared" si="30"/>
        <v>0</v>
      </c>
      <c r="EP747" s="1540"/>
      <c r="EQ747" s="1540"/>
      <c r="ER747" s="1540"/>
      <c r="ES747" s="1540"/>
      <c r="ET747" s="1540">
        <f t="shared" si="31"/>
        <v>0</v>
      </c>
      <c r="EU747" s="1540"/>
      <c r="EV747" s="1540"/>
      <c r="EW747" s="1540"/>
      <c r="EX747" s="1540"/>
      <c r="EZ747" s="1542" t="str">
        <f t="shared" si="32"/>
        <v/>
      </c>
      <c r="FA747" s="1560"/>
      <c r="FB747" s="1560"/>
      <c r="FC747" s="1560"/>
      <c r="FD747" s="1543"/>
      <c r="FE747" s="1542" t="str">
        <f t="shared" si="33"/>
        <v/>
      </c>
      <c r="FF747" s="1560"/>
      <c r="FG747" s="1560"/>
      <c r="FH747" s="1560"/>
      <c r="FI747" s="1543"/>
      <c r="FJ747" s="1542" t="str">
        <f t="shared" si="34"/>
        <v/>
      </c>
      <c r="FK747" s="1560"/>
      <c r="FL747" s="1560"/>
      <c r="FM747" s="1560"/>
      <c r="FN747" s="1543"/>
      <c r="FO747" s="1542" t="str">
        <f t="shared" si="35"/>
        <v/>
      </c>
      <c r="FP747" s="1560"/>
      <c r="FQ747" s="1560"/>
      <c r="FR747" s="1560"/>
      <c r="FS747" s="1543"/>
      <c r="FT747" s="1542" t="str">
        <f t="shared" si="36"/>
        <v/>
      </c>
      <c r="FU747" s="1560"/>
      <c r="FV747" s="1560"/>
      <c r="FW747" s="1560"/>
      <c r="FX747" s="1543"/>
      <c r="FY747" s="1542" t="str">
        <f t="shared" si="37"/>
        <v/>
      </c>
      <c r="FZ747" s="1560"/>
      <c r="GA747" s="1560"/>
      <c r="GB747" s="1560"/>
      <c r="GC747" s="1543"/>
    </row>
    <row r="748" spans="1:185" ht="12.95" customHeight="1">
      <c r="B748" s="1360"/>
      <c r="C748" s="1361"/>
      <c r="D748" s="1361"/>
      <c r="E748" s="1361"/>
      <c r="F748" s="1362"/>
      <c r="G748" s="1354"/>
      <c r="H748" s="1355"/>
      <c r="I748" s="1355"/>
      <c r="J748" s="1356"/>
      <c r="K748" s="1357"/>
      <c r="L748" s="1358"/>
      <c r="M748" s="1358"/>
      <c r="N748" s="1359"/>
      <c r="O748" s="1393"/>
      <c r="P748" s="1394"/>
      <c r="Q748" s="1394"/>
      <c r="R748" s="1394"/>
      <c r="S748" s="1395"/>
      <c r="T748" s="1393"/>
      <c r="U748" s="1394"/>
      <c r="V748" s="1394"/>
      <c r="W748" s="1395"/>
      <c r="X748" s="1441">
        <f t="shared" si="10"/>
        <v>0</v>
      </c>
      <c r="Y748" s="1442"/>
      <c r="Z748" s="1442"/>
      <c r="AA748" s="1442"/>
      <c r="AB748" s="1443"/>
      <c r="AC748" s="1438"/>
      <c r="AD748" s="1439"/>
      <c r="AE748" s="1439"/>
      <c r="AF748" s="1439"/>
      <c r="AG748" s="1440"/>
      <c r="AH748" s="1421" t="str">
        <f t="shared" si="38"/>
        <v/>
      </c>
      <c r="AI748" s="1422"/>
      <c r="AJ748" s="1423"/>
      <c r="AK748" s="1360" t="s">
        <v>591</v>
      </c>
      <c r="AL748" s="1361"/>
      <c r="AM748" s="1361"/>
      <c r="AN748" s="1361"/>
      <c r="AO748" s="1362"/>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2">
        <f t="shared" si="39"/>
        <v>0</v>
      </c>
      <c r="CH748" s="1543"/>
      <c r="CI748" s="1551">
        <f t="shared" si="40"/>
        <v>0</v>
      </c>
      <c r="CJ748" s="1552"/>
      <c r="CK748" s="1542">
        <f t="shared" si="18"/>
        <v>0</v>
      </c>
      <c r="CL748" s="1543"/>
      <c r="CM748" s="1551">
        <f t="shared" si="19"/>
        <v>0</v>
      </c>
      <c r="CN748" s="1552"/>
      <c r="CO748" s="3"/>
      <c r="CP748" s="1544">
        <f t="shared" si="20"/>
        <v>0</v>
      </c>
      <c r="CQ748" s="1545"/>
      <c r="CR748" s="1545"/>
      <c r="CS748" s="1545"/>
      <c r="CT748" s="1546"/>
      <c r="CU748" s="1547">
        <f t="shared" si="21"/>
        <v>0</v>
      </c>
      <c r="CV748" s="1547"/>
      <c r="CW748" s="1547"/>
      <c r="CX748" s="1547"/>
      <c r="CY748" s="1547"/>
      <c r="CZ748" s="1547">
        <f t="shared" si="22"/>
        <v>0</v>
      </c>
      <c r="DA748" s="1547"/>
      <c r="DB748" s="1547"/>
      <c r="DC748" s="1547"/>
      <c r="DD748" s="1547"/>
      <c r="DE748" s="1547">
        <f t="shared" si="23"/>
        <v>0</v>
      </c>
      <c r="DF748" s="1547"/>
      <c r="DG748" s="1547"/>
      <c r="DH748" s="1547"/>
      <c r="DI748" s="1547"/>
      <c r="DJ748" s="1547">
        <f t="shared" si="24"/>
        <v>0</v>
      </c>
      <c r="DK748" s="1547"/>
      <c r="DL748" s="1547"/>
      <c r="DM748" s="1547"/>
      <c r="DN748" s="1547"/>
      <c r="DO748" s="1547">
        <f t="shared" si="25"/>
        <v>0</v>
      </c>
      <c r="DP748" s="1547"/>
      <c r="DQ748" s="1547"/>
      <c r="DR748" s="1547"/>
      <c r="DS748" s="1547"/>
      <c r="DT748" s="6"/>
      <c r="DU748" s="1540">
        <f t="shared" si="26"/>
        <v>0</v>
      </c>
      <c r="DV748" s="1540"/>
      <c r="DW748" s="1540"/>
      <c r="DX748" s="1540"/>
      <c r="DY748" s="1540"/>
      <c r="DZ748" s="1540">
        <f t="shared" si="27"/>
        <v>0</v>
      </c>
      <c r="EA748" s="1540"/>
      <c r="EB748" s="1540"/>
      <c r="EC748" s="1540"/>
      <c r="ED748" s="1540"/>
      <c r="EE748" s="1540">
        <f t="shared" si="28"/>
        <v>0</v>
      </c>
      <c r="EF748" s="1540"/>
      <c r="EG748" s="1540"/>
      <c r="EH748" s="1540"/>
      <c r="EI748" s="1540"/>
      <c r="EJ748" s="1540">
        <f t="shared" si="29"/>
        <v>0</v>
      </c>
      <c r="EK748" s="1540"/>
      <c r="EL748" s="1540"/>
      <c r="EM748" s="1540"/>
      <c r="EN748" s="1540"/>
      <c r="EO748" s="1540">
        <f t="shared" si="30"/>
        <v>0</v>
      </c>
      <c r="EP748" s="1540"/>
      <c r="EQ748" s="1540"/>
      <c r="ER748" s="1540"/>
      <c r="ES748" s="1540"/>
      <c r="ET748" s="1540">
        <f t="shared" si="31"/>
        <v>0</v>
      </c>
      <c r="EU748" s="1540"/>
      <c r="EV748" s="1540"/>
      <c r="EW748" s="1540"/>
      <c r="EX748" s="1540"/>
      <c r="EZ748" s="1542" t="str">
        <f t="shared" si="32"/>
        <v/>
      </c>
      <c r="FA748" s="1560"/>
      <c r="FB748" s="1560"/>
      <c r="FC748" s="1560"/>
      <c r="FD748" s="1543"/>
      <c r="FE748" s="1542" t="str">
        <f t="shared" si="33"/>
        <v/>
      </c>
      <c r="FF748" s="1560"/>
      <c r="FG748" s="1560"/>
      <c r="FH748" s="1560"/>
      <c r="FI748" s="1543"/>
      <c r="FJ748" s="1542" t="str">
        <f t="shared" si="34"/>
        <v/>
      </c>
      <c r="FK748" s="1560"/>
      <c r="FL748" s="1560"/>
      <c r="FM748" s="1560"/>
      <c r="FN748" s="1543"/>
      <c r="FO748" s="1542" t="str">
        <f t="shared" si="35"/>
        <v/>
      </c>
      <c r="FP748" s="1560"/>
      <c r="FQ748" s="1560"/>
      <c r="FR748" s="1560"/>
      <c r="FS748" s="1543"/>
      <c r="FT748" s="1542" t="str">
        <f t="shared" si="36"/>
        <v/>
      </c>
      <c r="FU748" s="1560"/>
      <c r="FV748" s="1560"/>
      <c r="FW748" s="1560"/>
      <c r="FX748" s="1543"/>
      <c r="FY748" s="1542" t="str">
        <f t="shared" si="37"/>
        <v/>
      </c>
      <c r="FZ748" s="1560"/>
      <c r="GA748" s="1560"/>
      <c r="GB748" s="1560"/>
      <c r="GC748" s="1543"/>
    </row>
    <row r="749" spans="1:185" ht="12.95" customHeight="1">
      <c r="B749" s="1360"/>
      <c r="C749" s="1361"/>
      <c r="D749" s="1361"/>
      <c r="E749" s="1361"/>
      <c r="F749" s="1362"/>
      <c r="G749" s="1354"/>
      <c r="H749" s="1355"/>
      <c r="I749" s="1355"/>
      <c r="J749" s="1356"/>
      <c r="K749" s="1357"/>
      <c r="L749" s="1358"/>
      <c r="M749" s="1358"/>
      <c r="N749" s="1359"/>
      <c r="O749" s="1393"/>
      <c r="P749" s="1394"/>
      <c r="Q749" s="1394"/>
      <c r="R749" s="1394"/>
      <c r="S749" s="1395"/>
      <c r="T749" s="1393"/>
      <c r="U749" s="1394"/>
      <c r="V749" s="1394"/>
      <c r="W749" s="1395"/>
      <c r="X749" s="1441">
        <f t="shared" si="10"/>
        <v>0</v>
      </c>
      <c r="Y749" s="1442"/>
      <c r="Z749" s="1442"/>
      <c r="AA749" s="1442"/>
      <c r="AB749" s="1443"/>
      <c r="AC749" s="1438"/>
      <c r="AD749" s="1439"/>
      <c r="AE749" s="1439"/>
      <c r="AF749" s="1439"/>
      <c r="AG749" s="1440"/>
      <c r="AH749" s="1421" t="str">
        <f t="shared" si="38"/>
        <v/>
      </c>
      <c r="AI749" s="1422"/>
      <c r="AJ749" s="1423"/>
      <c r="AK749" s="1360" t="s">
        <v>591</v>
      </c>
      <c r="AL749" s="1361"/>
      <c r="AM749" s="1361"/>
      <c r="AN749" s="1361"/>
      <c r="AO749" s="1362"/>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2">
        <f t="shared" si="39"/>
        <v>0</v>
      </c>
      <c r="CH749" s="1543"/>
      <c r="CI749" s="1551">
        <f t="shared" si="40"/>
        <v>0</v>
      </c>
      <c r="CJ749" s="1552"/>
      <c r="CK749" s="1542">
        <f t="shared" si="18"/>
        <v>0</v>
      </c>
      <c r="CL749" s="1543"/>
      <c r="CM749" s="1551">
        <f t="shared" si="19"/>
        <v>0</v>
      </c>
      <c r="CN749" s="1552"/>
      <c r="CO749" s="3"/>
      <c r="CP749" s="1544">
        <f t="shared" si="20"/>
        <v>0</v>
      </c>
      <c r="CQ749" s="1545"/>
      <c r="CR749" s="1545"/>
      <c r="CS749" s="1545"/>
      <c r="CT749" s="1546"/>
      <c r="CU749" s="1547">
        <f t="shared" si="21"/>
        <v>0</v>
      </c>
      <c r="CV749" s="1547"/>
      <c r="CW749" s="1547"/>
      <c r="CX749" s="1547"/>
      <c r="CY749" s="1547"/>
      <c r="CZ749" s="1547">
        <f t="shared" si="22"/>
        <v>0</v>
      </c>
      <c r="DA749" s="1547"/>
      <c r="DB749" s="1547"/>
      <c r="DC749" s="1547"/>
      <c r="DD749" s="1547"/>
      <c r="DE749" s="1547">
        <f t="shared" si="23"/>
        <v>0</v>
      </c>
      <c r="DF749" s="1547"/>
      <c r="DG749" s="1547"/>
      <c r="DH749" s="1547"/>
      <c r="DI749" s="1547"/>
      <c r="DJ749" s="1547">
        <f t="shared" si="24"/>
        <v>0</v>
      </c>
      <c r="DK749" s="1547"/>
      <c r="DL749" s="1547"/>
      <c r="DM749" s="1547"/>
      <c r="DN749" s="1547"/>
      <c r="DO749" s="1547">
        <f t="shared" si="25"/>
        <v>0</v>
      </c>
      <c r="DP749" s="1547"/>
      <c r="DQ749" s="1547"/>
      <c r="DR749" s="1547"/>
      <c r="DS749" s="1547"/>
      <c r="DT749" s="6"/>
      <c r="DU749" s="1540">
        <f t="shared" si="26"/>
        <v>0</v>
      </c>
      <c r="DV749" s="1540"/>
      <c r="DW749" s="1540"/>
      <c r="DX749" s="1540"/>
      <c r="DY749" s="1540"/>
      <c r="DZ749" s="1540">
        <f t="shared" si="27"/>
        <v>0</v>
      </c>
      <c r="EA749" s="1540"/>
      <c r="EB749" s="1540"/>
      <c r="EC749" s="1540"/>
      <c r="ED749" s="1540"/>
      <c r="EE749" s="1540">
        <f t="shared" si="28"/>
        <v>0</v>
      </c>
      <c r="EF749" s="1540"/>
      <c r="EG749" s="1540"/>
      <c r="EH749" s="1540"/>
      <c r="EI749" s="1540"/>
      <c r="EJ749" s="1540">
        <f t="shared" si="29"/>
        <v>0</v>
      </c>
      <c r="EK749" s="1540"/>
      <c r="EL749" s="1540"/>
      <c r="EM749" s="1540"/>
      <c r="EN749" s="1540"/>
      <c r="EO749" s="1540">
        <f t="shared" si="30"/>
        <v>0</v>
      </c>
      <c r="EP749" s="1540"/>
      <c r="EQ749" s="1540"/>
      <c r="ER749" s="1540"/>
      <c r="ES749" s="1540"/>
      <c r="ET749" s="1540">
        <f t="shared" si="31"/>
        <v>0</v>
      </c>
      <c r="EU749" s="1540"/>
      <c r="EV749" s="1540"/>
      <c r="EW749" s="1540"/>
      <c r="EX749" s="1540"/>
      <c r="EZ749" s="1542" t="str">
        <f t="shared" si="32"/>
        <v/>
      </c>
      <c r="FA749" s="1560"/>
      <c r="FB749" s="1560"/>
      <c r="FC749" s="1560"/>
      <c r="FD749" s="1543"/>
      <c r="FE749" s="1542" t="str">
        <f t="shared" si="33"/>
        <v/>
      </c>
      <c r="FF749" s="1560"/>
      <c r="FG749" s="1560"/>
      <c r="FH749" s="1560"/>
      <c r="FI749" s="1543"/>
      <c r="FJ749" s="1542" t="str">
        <f t="shared" si="34"/>
        <v/>
      </c>
      <c r="FK749" s="1560"/>
      <c r="FL749" s="1560"/>
      <c r="FM749" s="1560"/>
      <c r="FN749" s="1543"/>
      <c r="FO749" s="1542" t="str">
        <f t="shared" si="35"/>
        <v/>
      </c>
      <c r="FP749" s="1560"/>
      <c r="FQ749" s="1560"/>
      <c r="FR749" s="1560"/>
      <c r="FS749" s="1543"/>
      <c r="FT749" s="1542" t="str">
        <f t="shared" si="36"/>
        <v/>
      </c>
      <c r="FU749" s="1560"/>
      <c r="FV749" s="1560"/>
      <c r="FW749" s="1560"/>
      <c r="FX749" s="1543"/>
      <c r="FY749" s="1542" t="str">
        <f t="shared" si="37"/>
        <v/>
      </c>
      <c r="FZ749" s="1560"/>
      <c r="GA749" s="1560"/>
      <c r="GB749" s="1560"/>
      <c r="GC749" s="1543"/>
    </row>
    <row r="750" spans="1:185" ht="12.95" customHeight="1">
      <c r="B750" s="1360"/>
      <c r="C750" s="1361"/>
      <c r="D750" s="1361"/>
      <c r="E750" s="1361"/>
      <c r="F750" s="1362"/>
      <c r="G750" s="1354"/>
      <c r="H750" s="1355"/>
      <c r="I750" s="1355"/>
      <c r="J750" s="1356"/>
      <c r="K750" s="1357"/>
      <c r="L750" s="1358"/>
      <c r="M750" s="1358"/>
      <c r="N750" s="1359"/>
      <c r="O750" s="1393"/>
      <c r="P750" s="1394"/>
      <c r="Q750" s="1394"/>
      <c r="R750" s="1394"/>
      <c r="S750" s="1395"/>
      <c r="T750" s="1393"/>
      <c r="U750" s="1394"/>
      <c r="V750" s="1394"/>
      <c r="W750" s="1395"/>
      <c r="X750" s="1441">
        <f t="shared" ref="X750:X759" si="41">O750+T750</f>
        <v>0</v>
      </c>
      <c r="Y750" s="1442"/>
      <c r="Z750" s="1442"/>
      <c r="AA750" s="1442"/>
      <c r="AB750" s="1443"/>
      <c r="AC750" s="1438"/>
      <c r="AD750" s="1439"/>
      <c r="AE750" s="1439"/>
      <c r="AF750" s="1439"/>
      <c r="AG750" s="1440"/>
      <c r="AH750" s="1421" t="str">
        <f t="shared" si="38"/>
        <v/>
      </c>
      <c r="AI750" s="1422"/>
      <c r="AJ750" s="1423"/>
      <c r="AK750" s="1360" t="s">
        <v>591</v>
      </c>
      <c r="AL750" s="1361"/>
      <c r="AM750" s="1361"/>
      <c r="AN750" s="1361"/>
      <c r="AO750" s="1362"/>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2">
        <f t="shared" si="39"/>
        <v>0</v>
      </c>
      <c r="CH750" s="1543"/>
      <c r="CI750" s="1551">
        <f t="shared" si="40"/>
        <v>0</v>
      </c>
      <c r="CJ750" s="1552"/>
      <c r="CK750" s="1542">
        <f t="shared" si="18"/>
        <v>0</v>
      </c>
      <c r="CL750" s="1543"/>
      <c r="CM750" s="1551">
        <f t="shared" si="19"/>
        <v>0</v>
      </c>
      <c r="CN750" s="1552"/>
      <c r="CO750" s="3"/>
      <c r="CP750" s="1544">
        <f t="shared" si="20"/>
        <v>0</v>
      </c>
      <c r="CQ750" s="1545"/>
      <c r="CR750" s="1545"/>
      <c r="CS750" s="1545"/>
      <c r="CT750" s="1546"/>
      <c r="CU750" s="1547">
        <f t="shared" si="21"/>
        <v>0</v>
      </c>
      <c r="CV750" s="1547"/>
      <c r="CW750" s="1547"/>
      <c r="CX750" s="1547"/>
      <c r="CY750" s="1547"/>
      <c r="CZ750" s="1547">
        <f t="shared" si="22"/>
        <v>0</v>
      </c>
      <c r="DA750" s="1547"/>
      <c r="DB750" s="1547"/>
      <c r="DC750" s="1547"/>
      <c r="DD750" s="1547"/>
      <c r="DE750" s="1547">
        <f t="shared" si="23"/>
        <v>0</v>
      </c>
      <c r="DF750" s="1547"/>
      <c r="DG750" s="1547"/>
      <c r="DH750" s="1547"/>
      <c r="DI750" s="1547"/>
      <c r="DJ750" s="1547">
        <f t="shared" si="24"/>
        <v>0</v>
      </c>
      <c r="DK750" s="1547"/>
      <c r="DL750" s="1547"/>
      <c r="DM750" s="1547"/>
      <c r="DN750" s="1547"/>
      <c r="DO750" s="1547">
        <f t="shared" si="25"/>
        <v>0</v>
      </c>
      <c r="DP750" s="1547"/>
      <c r="DQ750" s="1547"/>
      <c r="DR750" s="1547"/>
      <c r="DS750" s="1547"/>
      <c r="DT750" s="6"/>
      <c r="DU750" s="1540">
        <f t="shared" si="26"/>
        <v>0</v>
      </c>
      <c r="DV750" s="1540"/>
      <c r="DW750" s="1540"/>
      <c r="DX750" s="1540"/>
      <c r="DY750" s="1540"/>
      <c r="DZ750" s="1540">
        <f t="shared" si="27"/>
        <v>0</v>
      </c>
      <c r="EA750" s="1540"/>
      <c r="EB750" s="1540"/>
      <c r="EC750" s="1540"/>
      <c r="ED750" s="1540"/>
      <c r="EE750" s="1540">
        <f t="shared" si="28"/>
        <v>0</v>
      </c>
      <c r="EF750" s="1540"/>
      <c r="EG750" s="1540"/>
      <c r="EH750" s="1540"/>
      <c r="EI750" s="1540"/>
      <c r="EJ750" s="1540">
        <f t="shared" si="29"/>
        <v>0</v>
      </c>
      <c r="EK750" s="1540"/>
      <c r="EL750" s="1540"/>
      <c r="EM750" s="1540"/>
      <c r="EN750" s="1540"/>
      <c r="EO750" s="1540">
        <f t="shared" si="30"/>
        <v>0</v>
      </c>
      <c r="EP750" s="1540"/>
      <c r="EQ750" s="1540"/>
      <c r="ER750" s="1540"/>
      <c r="ES750" s="1540"/>
      <c r="ET750" s="1540">
        <f t="shared" si="31"/>
        <v>0</v>
      </c>
      <c r="EU750" s="1540"/>
      <c r="EV750" s="1540"/>
      <c r="EW750" s="1540"/>
      <c r="EX750" s="1540"/>
      <c r="EZ750" s="1542" t="str">
        <f t="shared" si="32"/>
        <v/>
      </c>
      <c r="FA750" s="1560"/>
      <c r="FB750" s="1560"/>
      <c r="FC750" s="1560"/>
      <c r="FD750" s="1543"/>
      <c r="FE750" s="1542" t="str">
        <f t="shared" si="33"/>
        <v/>
      </c>
      <c r="FF750" s="1560"/>
      <c r="FG750" s="1560"/>
      <c r="FH750" s="1560"/>
      <c r="FI750" s="1543"/>
      <c r="FJ750" s="1542" t="str">
        <f t="shared" si="34"/>
        <v/>
      </c>
      <c r="FK750" s="1560"/>
      <c r="FL750" s="1560"/>
      <c r="FM750" s="1560"/>
      <c r="FN750" s="1543"/>
      <c r="FO750" s="1542" t="str">
        <f t="shared" si="35"/>
        <v/>
      </c>
      <c r="FP750" s="1560"/>
      <c r="FQ750" s="1560"/>
      <c r="FR750" s="1560"/>
      <c r="FS750" s="1543"/>
      <c r="FT750" s="1542" t="str">
        <f t="shared" si="36"/>
        <v/>
      </c>
      <c r="FU750" s="1560"/>
      <c r="FV750" s="1560"/>
      <c r="FW750" s="1560"/>
      <c r="FX750" s="1543"/>
      <c r="FY750" s="1542" t="str">
        <f t="shared" si="37"/>
        <v/>
      </c>
      <c r="FZ750" s="1560"/>
      <c r="GA750" s="1560"/>
      <c r="GB750" s="1560"/>
      <c r="GC750" s="1543"/>
    </row>
    <row r="751" spans="1:185" s="3" customFormat="1" ht="12.95" customHeight="1">
      <c r="A751"/>
      <c r="B751" s="1360"/>
      <c r="C751" s="1361"/>
      <c r="D751" s="1361"/>
      <c r="E751" s="1361"/>
      <c r="F751" s="1362"/>
      <c r="G751" s="1354"/>
      <c r="H751" s="1355"/>
      <c r="I751" s="1355"/>
      <c r="J751" s="1356"/>
      <c r="K751" s="1357"/>
      <c r="L751" s="1358"/>
      <c r="M751" s="1358"/>
      <c r="N751" s="1359"/>
      <c r="O751" s="1393"/>
      <c r="P751" s="1394"/>
      <c r="Q751" s="1394"/>
      <c r="R751" s="1394"/>
      <c r="S751" s="1395"/>
      <c r="T751" s="1393"/>
      <c r="U751" s="1394"/>
      <c r="V751" s="1394"/>
      <c r="W751" s="1395"/>
      <c r="X751" s="1441">
        <f t="shared" si="41"/>
        <v>0</v>
      </c>
      <c r="Y751" s="1442"/>
      <c r="Z751" s="1442"/>
      <c r="AA751" s="1442"/>
      <c r="AB751" s="1443"/>
      <c r="AC751" s="1438"/>
      <c r="AD751" s="1439"/>
      <c r="AE751" s="1439"/>
      <c r="AF751" s="1439"/>
      <c r="AG751" s="1440"/>
      <c r="AH751" s="1421" t="str">
        <f t="shared" si="38"/>
        <v/>
      </c>
      <c r="AI751" s="1422"/>
      <c r="AJ751" s="1423"/>
      <c r="AK751" s="1360" t="s">
        <v>591</v>
      </c>
      <c r="AL751" s="1361"/>
      <c r="AM751" s="1361"/>
      <c r="AN751" s="1361"/>
      <c r="AO751" s="1362"/>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2">
        <f t="shared" si="39"/>
        <v>0</v>
      </c>
      <c r="CH751" s="1543"/>
      <c r="CI751" s="1551">
        <f t="shared" si="40"/>
        <v>0</v>
      </c>
      <c r="CJ751" s="1552"/>
      <c r="CK751" s="1542">
        <f t="shared" si="18"/>
        <v>0</v>
      </c>
      <c r="CL751" s="1543"/>
      <c r="CM751" s="1551">
        <f t="shared" si="19"/>
        <v>0</v>
      </c>
      <c r="CN751" s="1552"/>
      <c r="CP751" s="1544">
        <f t="shared" si="20"/>
        <v>0</v>
      </c>
      <c r="CQ751" s="1545"/>
      <c r="CR751" s="1545"/>
      <c r="CS751" s="1545"/>
      <c r="CT751" s="1546"/>
      <c r="CU751" s="1547">
        <f t="shared" si="21"/>
        <v>0</v>
      </c>
      <c r="CV751" s="1547"/>
      <c r="CW751" s="1547"/>
      <c r="CX751" s="1547"/>
      <c r="CY751" s="1547"/>
      <c r="CZ751" s="1547">
        <f t="shared" si="22"/>
        <v>0</v>
      </c>
      <c r="DA751" s="1547"/>
      <c r="DB751" s="1547"/>
      <c r="DC751" s="1547"/>
      <c r="DD751" s="1547"/>
      <c r="DE751" s="1547">
        <f t="shared" si="23"/>
        <v>0</v>
      </c>
      <c r="DF751" s="1547"/>
      <c r="DG751" s="1547"/>
      <c r="DH751" s="1547"/>
      <c r="DI751" s="1547"/>
      <c r="DJ751" s="1547">
        <f t="shared" si="24"/>
        <v>0</v>
      </c>
      <c r="DK751" s="1547"/>
      <c r="DL751" s="1547"/>
      <c r="DM751" s="1547"/>
      <c r="DN751" s="1547"/>
      <c r="DO751" s="1547">
        <f t="shared" si="25"/>
        <v>0</v>
      </c>
      <c r="DP751" s="1547"/>
      <c r="DQ751" s="1547"/>
      <c r="DR751" s="1547"/>
      <c r="DS751" s="1547"/>
      <c r="DT751" s="6"/>
      <c r="DU751" s="1540">
        <f t="shared" si="26"/>
        <v>0</v>
      </c>
      <c r="DV751" s="1540"/>
      <c r="DW751" s="1540"/>
      <c r="DX751" s="1540"/>
      <c r="DY751" s="1540"/>
      <c r="DZ751" s="1540">
        <f t="shared" si="27"/>
        <v>0</v>
      </c>
      <c r="EA751" s="1540"/>
      <c r="EB751" s="1540"/>
      <c r="EC751" s="1540"/>
      <c r="ED751" s="1540"/>
      <c r="EE751" s="1540">
        <f t="shared" si="28"/>
        <v>0</v>
      </c>
      <c r="EF751" s="1540"/>
      <c r="EG751" s="1540"/>
      <c r="EH751" s="1540"/>
      <c r="EI751" s="1540"/>
      <c r="EJ751" s="1540">
        <f t="shared" si="29"/>
        <v>0</v>
      </c>
      <c r="EK751" s="1540"/>
      <c r="EL751" s="1540"/>
      <c r="EM751" s="1540"/>
      <c r="EN751" s="1540"/>
      <c r="EO751" s="1540">
        <f t="shared" si="30"/>
        <v>0</v>
      </c>
      <c r="EP751" s="1540"/>
      <c r="EQ751" s="1540"/>
      <c r="ER751" s="1540"/>
      <c r="ES751" s="1540"/>
      <c r="ET751" s="1540">
        <f t="shared" si="31"/>
        <v>0</v>
      </c>
      <c r="EU751" s="1540"/>
      <c r="EV751" s="1540"/>
      <c r="EW751" s="1540"/>
      <c r="EX751" s="1540"/>
      <c r="EY751"/>
      <c r="EZ751" s="1542" t="str">
        <f t="shared" si="32"/>
        <v/>
      </c>
      <c r="FA751" s="1560"/>
      <c r="FB751" s="1560"/>
      <c r="FC751" s="1560"/>
      <c r="FD751" s="1543"/>
      <c r="FE751" s="1542" t="str">
        <f t="shared" si="33"/>
        <v/>
      </c>
      <c r="FF751" s="1560"/>
      <c r="FG751" s="1560"/>
      <c r="FH751" s="1560"/>
      <c r="FI751" s="1543"/>
      <c r="FJ751" s="1542" t="str">
        <f t="shared" si="34"/>
        <v/>
      </c>
      <c r="FK751" s="1560"/>
      <c r="FL751" s="1560"/>
      <c r="FM751" s="1560"/>
      <c r="FN751" s="1543"/>
      <c r="FO751" s="1542" t="str">
        <f t="shared" si="35"/>
        <v/>
      </c>
      <c r="FP751" s="1560"/>
      <c r="FQ751" s="1560"/>
      <c r="FR751" s="1560"/>
      <c r="FS751" s="1543"/>
      <c r="FT751" s="1542" t="str">
        <f t="shared" si="36"/>
        <v/>
      </c>
      <c r="FU751" s="1560"/>
      <c r="FV751" s="1560"/>
      <c r="FW751" s="1560"/>
      <c r="FX751" s="1543"/>
      <c r="FY751" s="1542" t="str">
        <f t="shared" si="37"/>
        <v/>
      </c>
      <c r="FZ751" s="1560"/>
      <c r="GA751" s="1560"/>
      <c r="GB751" s="1560"/>
      <c r="GC751" s="1543"/>
    </row>
    <row r="752" spans="1:185" ht="12.95" customHeight="1">
      <c r="B752" s="1360"/>
      <c r="C752" s="1361"/>
      <c r="D752" s="1361"/>
      <c r="E752" s="1361"/>
      <c r="F752" s="1362"/>
      <c r="G752" s="1354"/>
      <c r="H752" s="1355"/>
      <c r="I752" s="1355"/>
      <c r="J752" s="1356"/>
      <c r="K752" s="1357"/>
      <c r="L752" s="1358"/>
      <c r="M752" s="1358"/>
      <c r="N752" s="1359"/>
      <c r="O752" s="1393"/>
      <c r="P752" s="1394"/>
      <c r="Q752" s="1394"/>
      <c r="R752" s="1394"/>
      <c r="S752" s="1395"/>
      <c r="T752" s="1393"/>
      <c r="U752" s="1394"/>
      <c r="V752" s="1394"/>
      <c r="W752" s="1395"/>
      <c r="X752" s="1441">
        <f t="shared" si="41"/>
        <v>0</v>
      </c>
      <c r="Y752" s="1442"/>
      <c r="Z752" s="1442"/>
      <c r="AA752" s="1442"/>
      <c r="AB752" s="1443"/>
      <c r="AC752" s="1438"/>
      <c r="AD752" s="1439"/>
      <c r="AE752" s="1439"/>
      <c r="AF752" s="1439"/>
      <c r="AG752" s="1440"/>
      <c r="AH752" s="1421" t="str">
        <f t="shared" si="38"/>
        <v/>
      </c>
      <c r="AI752" s="1422"/>
      <c r="AJ752" s="1423"/>
      <c r="AK752" s="1360" t="s">
        <v>591</v>
      </c>
      <c r="AL752" s="1361"/>
      <c r="AM752" s="1361"/>
      <c r="AN752" s="1361"/>
      <c r="AO752" s="1362"/>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2">
        <f t="shared" si="39"/>
        <v>0</v>
      </c>
      <c r="CH752" s="1543"/>
      <c r="CI752" s="1551">
        <f t="shared" si="40"/>
        <v>0</v>
      </c>
      <c r="CJ752" s="1552"/>
      <c r="CK752" s="1542">
        <f t="shared" si="18"/>
        <v>0</v>
      </c>
      <c r="CL752" s="1543"/>
      <c r="CM752" s="1551">
        <f t="shared" si="19"/>
        <v>0</v>
      </c>
      <c r="CN752" s="1552"/>
      <c r="CO752" s="3"/>
      <c r="CP752" s="1544">
        <f t="shared" si="20"/>
        <v>0</v>
      </c>
      <c r="CQ752" s="1545"/>
      <c r="CR752" s="1545"/>
      <c r="CS752" s="1545"/>
      <c r="CT752" s="1546"/>
      <c r="CU752" s="1547">
        <f t="shared" si="21"/>
        <v>0</v>
      </c>
      <c r="CV752" s="1547"/>
      <c r="CW752" s="1547"/>
      <c r="CX752" s="1547"/>
      <c r="CY752" s="1547"/>
      <c r="CZ752" s="1547">
        <f t="shared" si="22"/>
        <v>0</v>
      </c>
      <c r="DA752" s="1547"/>
      <c r="DB752" s="1547"/>
      <c r="DC752" s="1547"/>
      <c r="DD752" s="1547"/>
      <c r="DE752" s="1547">
        <f t="shared" si="23"/>
        <v>0</v>
      </c>
      <c r="DF752" s="1547"/>
      <c r="DG752" s="1547"/>
      <c r="DH752" s="1547"/>
      <c r="DI752" s="1547"/>
      <c r="DJ752" s="1547">
        <f t="shared" si="24"/>
        <v>0</v>
      </c>
      <c r="DK752" s="1547"/>
      <c r="DL752" s="1547"/>
      <c r="DM752" s="1547"/>
      <c r="DN752" s="1547"/>
      <c r="DO752" s="1547">
        <f t="shared" si="25"/>
        <v>0</v>
      </c>
      <c r="DP752" s="1547"/>
      <c r="DQ752" s="1547"/>
      <c r="DR752" s="1547"/>
      <c r="DS752" s="1547"/>
      <c r="DT752" s="6"/>
      <c r="DU752" s="1540">
        <f t="shared" si="26"/>
        <v>0</v>
      </c>
      <c r="DV752" s="1540"/>
      <c r="DW752" s="1540"/>
      <c r="DX752" s="1540"/>
      <c r="DY752" s="1540"/>
      <c r="DZ752" s="1540">
        <f t="shared" si="27"/>
        <v>0</v>
      </c>
      <c r="EA752" s="1540"/>
      <c r="EB752" s="1540"/>
      <c r="EC752" s="1540"/>
      <c r="ED752" s="1540"/>
      <c r="EE752" s="1540">
        <f t="shared" si="28"/>
        <v>0</v>
      </c>
      <c r="EF752" s="1540"/>
      <c r="EG752" s="1540"/>
      <c r="EH752" s="1540"/>
      <c r="EI752" s="1540"/>
      <c r="EJ752" s="1540">
        <f t="shared" si="29"/>
        <v>0</v>
      </c>
      <c r="EK752" s="1540"/>
      <c r="EL752" s="1540"/>
      <c r="EM752" s="1540"/>
      <c r="EN752" s="1540"/>
      <c r="EO752" s="1540">
        <f t="shared" si="30"/>
        <v>0</v>
      </c>
      <c r="EP752" s="1540"/>
      <c r="EQ752" s="1540"/>
      <c r="ER752" s="1540"/>
      <c r="ES752" s="1540"/>
      <c r="ET752" s="1540">
        <f t="shared" si="31"/>
        <v>0</v>
      </c>
      <c r="EU752" s="1540"/>
      <c r="EV752" s="1540"/>
      <c r="EW752" s="1540"/>
      <c r="EX752" s="1540"/>
      <c r="EZ752" s="1542" t="str">
        <f t="shared" si="32"/>
        <v/>
      </c>
      <c r="FA752" s="1560"/>
      <c r="FB752" s="1560"/>
      <c r="FC752" s="1560"/>
      <c r="FD752" s="1543"/>
      <c r="FE752" s="1542" t="str">
        <f t="shared" si="33"/>
        <v/>
      </c>
      <c r="FF752" s="1560"/>
      <c r="FG752" s="1560"/>
      <c r="FH752" s="1560"/>
      <c r="FI752" s="1543"/>
      <c r="FJ752" s="1542" t="str">
        <f t="shared" si="34"/>
        <v/>
      </c>
      <c r="FK752" s="1560"/>
      <c r="FL752" s="1560"/>
      <c r="FM752" s="1560"/>
      <c r="FN752" s="1543"/>
      <c r="FO752" s="1542" t="str">
        <f t="shared" si="35"/>
        <v/>
      </c>
      <c r="FP752" s="1560"/>
      <c r="FQ752" s="1560"/>
      <c r="FR752" s="1560"/>
      <c r="FS752" s="1543"/>
      <c r="FT752" s="1542" t="str">
        <f t="shared" si="36"/>
        <v/>
      </c>
      <c r="FU752" s="1560"/>
      <c r="FV752" s="1560"/>
      <c r="FW752" s="1560"/>
      <c r="FX752" s="1543"/>
      <c r="FY752" s="1542" t="str">
        <f t="shared" si="37"/>
        <v/>
      </c>
      <c r="FZ752" s="1560"/>
      <c r="GA752" s="1560"/>
      <c r="GB752" s="1560"/>
      <c r="GC752" s="1543"/>
    </row>
    <row r="753" spans="1:185" ht="12.95" customHeight="1">
      <c r="B753" s="1360"/>
      <c r="C753" s="1361"/>
      <c r="D753" s="1361"/>
      <c r="E753" s="1361"/>
      <c r="F753" s="1362"/>
      <c r="G753" s="1354"/>
      <c r="H753" s="1355"/>
      <c r="I753" s="1355"/>
      <c r="J753" s="1356"/>
      <c r="K753" s="1357"/>
      <c r="L753" s="1358"/>
      <c r="M753" s="1358"/>
      <c r="N753" s="1359"/>
      <c r="O753" s="1393"/>
      <c r="P753" s="1394"/>
      <c r="Q753" s="1394"/>
      <c r="R753" s="1394"/>
      <c r="S753" s="1395"/>
      <c r="T753" s="1393"/>
      <c r="U753" s="1394"/>
      <c r="V753" s="1394"/>
      <c r="W753" s="1395"/>
      <c r="X753" s="1441">
        <f t="shared" si="41"/>
        <v>0</v>
      </c>
      <c r="Y753" s="1442"/>
      <c r="Z753" s="1442"/>
      <c r="AA753" s="1442"/>
      <c r="AB753" s="1443"/>
      <c r="AC753" s="1438"/>
      <c r="AD753" s="1439"/>
      <c r="AE753" s="1439"/>
      <c r="AF753" s="1439"/>
      <c r="AG753" s="1440"/>
      <c r="AH753" s="1421" t="str">
        <f t="shared" si="38"/>
        <v/>
      </c>
      <c r="AI753" s="1422"/>
      <c r="AJ753" s="1423"/>
      <c r="AK753" s="1360" t="s">
        <v>591</v>
      </c>
      <c r="AL753" s="1361"/>
      <c r="AM753" s="1361"/>
      <c r="AN753" s="1361"/>
      <c r="AO753" s="1362"/>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2">
        <f t="shared" si="39"/>
        <v>0</v>
      </c>
      <c r="CH753" s="1543"/>
      <c r="CI753" s="1551">
        <f t="shared" si="40"/>
        <v>0</v>
      </c>
      <c r="CJ753" s="1552"/>
      <c r="CK753" s="1542">
        <f t="shared" si="18"/>
        <v>0</v>
      </c>
      <c r="CL753" s="1543"/>
      <c r="CM753" s="1551">
        <f t="shared" si="19"/>
        <v>0</v>
      </c>
      <c r="CN753" s="1552"/>
      <c r="CO753" s="3"/>
      <c r="CP753" s="1544">
        <f t="shared" si="20"/>
        <v>0</v>
      </c>
      <c r="CQ753" s="1545"/>
      <c r="CR753" s="1545"/>
      <c r="CS753" s="1545"/>
      <c r="CT753" s="1546"/>
      <c r="CU753" s="1547">
        <f t="shared" si="21"/>
        <v>0</v>
      </c>
      <c r="CV753" s="1547"/>
      <c r="CW753" s="1547"/>
      <c r="CX753" s="1547"/>
      <c r="CY753" s="1547"/>
      <c r="CZ753" s="1547">
        <f t="shared" si="22"/>
        <v>0</v>
      </c>
      <c r="DA753" s="1547"/>
      <c r="DB753" s="1547"/>
      <c r="DC753" s="1547"/>
      <c r="DD753" s="1547"/>
      <c r="DE753" s="1547">
        <f t="shared" si="23"/>
        <v>0</v>
      </c>
      <c r="DF753" s="1547"/>
      <c r="DG753" s="1547"/>
      <c r="DH753" s="1547"/>
      <c r="DI753" s="1547"/>
      <c r="DJ753" s="1547">
        <f t="shared" si="24"/>
        <v>0</v>
      </c>
      <c r="DK753" s="1547"/>
      <c r="DL753" s="1547"/>
      <c r="DM753" s="1547"/>
      <c r="DN753" s="1547"/>
      <c r="DO753" s="1547">
        <f t="shared" si="25"/>
        <v>0</v>
      </c>
      <c r="DP753" s="1547"/>
      <c r="DQ753" s="1547"/>
      <c r="DR753" s="1547"/>
      <c r="DS753" s="1547"/>
      <c r="DT753" s="6"/>
      <c r="DU753" s="1540">
        <f t="shared" si="26"/>
        <v>0</v>
      </c>
      <c r="DV753" s="1540"/>
      <c r="DW753" s="1540"/>
      <c r="DX753" s="1540"/>
      <c r="DY753" s="1540"/>
      <c r="DZ753" s="1540">
        <f t="shared" si="27"/>
        <v>0</v>
      </c>
      <c r="EA753" s="1540"/>
      <c r="EB753" s="1540"/>
      <c r="EC753" s="1540"/>
      <c r="ED753" s="1540"/>
      <c r="EE753" s="1540">
        <f t="shared" si="28"/>
        <v>0</v>
      </c>
      <c r="EF753" s="1540"/>
      <c r="EG753" s="1540"/>
      <c r="EH753" s="1540"/>
      <c r="EI753" s="1540"/>
      <c r="EJ753" s="1540">
        <f t="shared" si="29"/>
        <v>0</v>
      </c>
      <c r="EK753" s="1540"/>
      <c r="EL753" s="1540"/>
      <c r="EM753" s="1540"/>
      <c r="EN753" s="1540"/>
      <c r="EO753" s="1540">
        <f t="shared" si="30"/>
        <v>0</v>
      </c>
      <c r="EP753" s="1540"/>
      <c r="EQ753" s="1540"/>
      <c r="ER753" s="1540"/>
      <c r="ES753" s="1540"/>
      <c r="ET753" s="1540">
        <f t="shared" si="31"/>
        <v>0</v>
      </c>
      <c r="EU753" s="1540"/>
      <c r="EV753" s="1540"/>
      <c r="EW753" s="1540"/>
      <c r="EX753" s="1540"/>
      <c r="EZ753" s="1542" t="str">
        <f t="shared" si="32"/>
        <v/>
      </c>
      <c r="FA753" s="1560"/>
      <c r="FB753" s="1560"/>
      <c r="FC753" s="1560"/>
      <c r="FD753" s="1543"/>
      <c r="FE753" s="1542" t="str">
        <f t="shared" si="33"/>
        <v/>
      </c>
      <c r="FF753" s="1560"/>
      <c r="FG753" s="1560"/>
      <c r="FH753" s="1560"/>
      <c r="FI753" s="1543"/>
      <c r="FJ753" s="1542" t="str">
        <f t="shared" si="34"/>
        <v/>
      </c>
      <c r="FK753" s="1560"/>
      <c r="FL753" s="1560"/>
      <c r="FM753" s="1560"/>
      <c r="FN753" s="1543"/>
      <c r="FO753" s="1542" t="str">
        <f t="shared" si="35"/>
        <v/>
      </c>
      <c r="FP753" s="1560"/>
      <c r="FQ753" s="1560"/>
      <c r="FR753" s="1560"/>
      <c r="FS753" s="1543"/>
      <c r="FT753" s="1542" t="str">
        <f t="shared" si="36"/>
        <v/>
      </c>
      <c r="FU753" s="1560"/>
      <c r="FV753" s="1560"/>
      <c r="FW753" s="1560"/>
      <c r="FX753" s="1543"/>
      <c r="FY753" s="1542" t="str">
        <f t="shared" si="37"/>
        <v/>
      </c>
      <c r="FZ753" s="1560"/>
      <c r="GA753" s="1560"/>
      <c r="GB753" s="1560"/>
      <c r="GC753" s="1543"/>
    </row>
    <row r="754" spans="1:185" ht="12.95" customHeight="1">
      <c r="B754" s="1360"/>
      <c r="C754" s="1361"/>
      <c r="D754" s="1361"/>
      <c r="E754" s="1361"/>
      <c r="F754" s="1362"/>
      <c r="G754" s="1354"/>
      <c r="H754" s="1355"/>
      <c r="I754" s="1355"/>
      <c r="J754" s="1356"/>
      <c r="K754" s="1357"/>
      <c r="L754" s="1358"/>
      <c r="M754" s="1358"/>
      <c r="N754" s="1359"/>
      <c r="O754" s="1393"/>
      <c r="P754" s="1394"/>
      <c r="Q754" s="1394"/>
      <c r="R754" s="1394"/>
      <c r="S754" s="1395"/>
      <c r="T754" s="1393"/>
      <c r="U754" s="1394"/>
      <c r="V754" s="1394"/>
      <c r="W754" s="1395"/>
      <c r="X754" s="1441">
        <f t="shared" si="41"/>
        <v>0</v>
      </c>
      <c r="Y754" s="1442"/>
      <c r="Z754" s="1442"/>
      <c r="AA754" s="1442"/>
      <c r="AB754" s="1443"/>
      <c r="AC754" s="1438"/>
      <c r="AD754" s="1439"/>
      <c r="AE754" s="1439"/>
      <c r="AF754" s="1439"/>
      <c r="AG754" s="1440"/>
      <c r="AH754" s="1421" t="str">
        <f t="shared" si="38"/>
        <v/>
      </c>
      <c r="AI754" s="1422"/>
      <c r="AJ754" s="1423"/>
      <c r="AK754" s="1360" t="s">
        <v>591</v>
      </c>
      <c r="AL754" s="1361"/>
      <c r="AM754" s="1361"/>
      <c r="AN754" s="1361"/>
      <c r="AO754" s="1362"/>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2">
        <f t="shared" si="39"/>
        <v>0</v>
      </c>
      <c r="CH754" s="1543"/>
      <c r="CI754" s="1551">
        <f t="shared" si="40"/>
        <v>0</v>
      </c>
      <c r="CJ754" s="1552"/>
      <c r="CK754" s="1542">
        <f t="shared" si="18"/>
        <v>0</v>
      </c>
      <c r="CL754" s="1543"/>
      <c r="CM754" s="1551">
        <f t="shared" si="19"/>
        <v>0</v>
      </c>
      <c r="CN754" s="1552"/>
      <c r="CO754" s="3"/>
      <c r="CP754" s="1544">
        <f t="shared" si="20"/>
        <v>0</v>
      </c>
      <c r="CQ754" s="1545"/>
      <c r="CR754" s="1545"/>
      <c r="CS754" s="1545"/>
      <c r="CT754" s="1546"/>
      <c r="CU754" s="1547">
        <f t="shared" si="21"/>
        <v>0</v>
      </c>
      <c r="CV754" s="1547"/>
      <c r="CW754" s="1547"/>
      <c r="CX754" s="1547"/>
      <c r="CY754" s="1547"/>
      <c r="CZ754" s="1547">
        <f t="shared" si="22"/>
        <v>0</v>
      </c>
      <c r="DA754" s="1547"/>
      <c r="DB754" s="1547"/>
      <c r="DC754" s="1547"/>
      <c r="DD754" s="1547"/>
      <c r="DE754" s="1547">
        <f t="shared" si="23"/>
        <v>0</v>
      </c>
      <c r="DF754" s="1547"/>
      <c r="DG754" s="1547"/>
      <c r="DH754" s="1547"/>
      <c r="DI754" s="1547"/>
      <c r="DJ754" s="1547">
        <f t="shared" si="24"/>
        <v>0</v>
      </c>
      <c r="DK754" s="1547"/>
      <c r="DL754" s="1547"/>
      <c r="DM754" s="1547"/>
      <c r="DN754" s="1547"/>
      <c r="DO754" s="1547">
        <f t="shared" si="25"/>
        <v>0</v>
      </c>
      <c r="DP754" s="1547"/>
      <c r="DQ754" s="1547"/>
      <c r="DR754" s="1547"/>
      <c r="DS754" s="1547"/>
      <c r="DT754" s="6"/>
      <c r="DU754" s="1540">
        <f t="shared" si="26"/>
        <v>0</v>
      </c>
      <c r="DV754" s="1540"/>
      <c r="DW754" s="1540"/>
      <c r="DX754" s="1540"/>
      <c r="DY754" s="1540"/>
      <c r="DZ754" s="1540">
        <f t="shared" si="27"/>
        <v>0</v>
      </c>
      <c r="EA754" s="1540"/>
      <c r="EB754" s="1540"/>
      <c r="EC754" s="1540"/>
      <c r="ED754" s="1540"/>
      <c r="EE754" s="1540">
        <f t="shared" si="28"/>
        <v>0</v>
      </c>
      <c r="EF754" s="1540"/>
      <c r="EG754" s="1540"/>
      <c r="EH754" s="1540"/>
      <c r="EI754" s="1540"/>
      <c r="EJ754" s="1540">
        <f t="shared" si="29"/>
        <v>0</v>
      </c>
      <c r="EK754" s="1540"/>
      <c r="EL754" s="1540"/>
      <c r="EM754" s="1540"/>
      <c r="EN754" s="1540"/>
      <c r="EO754" s="1540">
        <f t="shared" si="30"/>
        <v>0</v>
      </c>
      <c r="EP754" s="1540"/>
      <c r="EQ754" s="1540"/>
      <c r="ER754" s="1540"/>
      <c r="ES754" s="1540"/>
      <c r="ET754" s="1540">
        <f t="shared" si="31"/>
        <v>0</v>
      </c>
      <c r="EU754" s="1540"/>
      <c r="EV754" s="1540"/>
      <c r="EW754" s="1540"/>
      <c r="EX754" s="1540"/>
      <c r="EZ754" s="1542" t="str">
        <f t="shared" si="32"/>
        <v/>
      </c>
      <c r="FA754" s="1560"/>
      <c r="FB754" s="1560"/>
      <c r="FC754" s="1560"/>
      <c r="FD754" s="1543"/>
      <c r="FE754" s="1542" t="str">
        <f t="shared" si="33"/>
        <v/>
      </c>
      <c r="FF754" s="1560"/>
      <c r="FG754" s="1560"/>
      <c r="FH754" s="1560"/>
      <c r="FI754" s="1543"/>
      <c r="FJ754" s="1542" t="str">
        <f t="shared" si="34"/>
        <v/>
      </c>
      <c r="FK754" s="1560"/>
      <c r="FL754" s="1560"/>
      <c r="FM754" s="1560"/>
      <c r="FN754" s="1543"/>
      <c r="FO754" s="1542" t="str">
        <f t="shared" si="35"/>
        <v/>
      </c>
      <c r="FP754" s="1560"/>
      <c r="FQ754" s="1560"/>
      <c r="FR754" s="1560"/>
      <c r="FS754" s="1543"/>
      <c r="FT754" s="1542" t="str">
        <f t="shared" si="36"/>
        <v/>
      </c>
      <c r="FU754" s="1560"/>
      <c r="FV754" s="1560"/>
      <c r="FW754" s="1560"/>
      <c r="FX754" s="1543"/>
      <c r="FY754" s="1542" t="str">
        <f t="shared" si="37"/>
        <v/>
      </c>
      <c r="FZ754" s="1560"/>
      <c r="GA754" s="1560"/>
      <c r="GB754" s="1560"/>
      <c r="GC754" s="1543"/>
    </row>
    <row r="755" spans="1:185" ht="12.95" customHeight="1">
      <c r="B755" s="1360"/>
      <c r="C755" s="1361"/>
      <c r="D755" s="1361"/>
      <c r="E755" s="1361"/>
      <c r="F755" s="1362"/>
      <c r="G755" s="1354"/>
      <c r="H755" s="1355"/>
      <c r="I755" s="1355"/>
      <c r="J755" s="1356"/>
      <c r="K755" s="1357"/>
      <c r="L755" s="1358"/>
      <c r="M755" s="1358"/>
      <c r="N755" s="1359"/>
      <c r="O755" s="1393"/>
      <c r="P755" s="1394"/>
      <c r="Q755" s="1394"/>
      <c r="R755" s="1394"/>
      <c r="S755" s="1395"/>
      <c r="T755" s="1393"/>
      <c r="U755" s="1394"/>
      <c r="V755" s="1394"/>
      <c r="W755" s="1395"/>
      <c r="X755" s="1441">
        <f t="shared" si="41"/>
        <v>0</v>
      </c>
      <c r="Y755" s="1442"/>
      <c r="Z755" s="1442"/>
      <c r="AA755" s="1442"/>
      <c r="AB755" s="1443"/>
      <c r="AC755" s="1438"/>
      <c r="AD755" s="1439"/>
      <c r="AE755" s="1439"/>
      <c r="AF755" s="1439"/>
      <c r="AG755" s="1440"/>
      <c r="AH755" s="1421" t="str">
        <f t="shared" si="38"/>
        <v/>
      </c>
      <c r="AI755" s="1422"/>
      <c r="AJ755" s="1423"/>
      <c r="AK755" s="1360" t="s">
        <v>591</v>
      </c>
      <c r="AL755" s="1361"/>
      <c r="AM755" s="1361"/>
      <c r="AN755" s="1361"/>
      <c r="AO755" s="1362"/>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2">
        <f t="shared" si="39"/>
        <v>0</v>
      </c>
      <c r="CH755" s="1543"/>
      <c r="CI755" s="1551">
        <f t="shared" si="40"/>
        <v>0</v>
      </c>
      <c r="CJ755" s="1552"/>
      <c r="CK755" s="1542">
        <f t="shared" si="18"/>
        <v>0</v>
      </c>
      <c r="CL755" s="1543"/>
      <c r="CM755" s="1551">
        <f t="shared" si="19"/>
        <v>0</v>
      </c>
      <c r="CN755" s="1552"/>
      <c r="CO755" s="3"/>
      <c r="CP755" s="1544">
        <f t="shared" si="20"/>
        <v>0</v>
      </c>
      <c r="CQ755" s="1545"/>
      <c r="CR755" s="1545"/>
      <c r="CS755" s="1545"/>
      <c r="CT755" s="1546"/>
      <c r="CU755" s="1547">
        <f t="shared" si="21"/>
        <v>0</v>
      </c>
      <c r="CV755" s="1547"/>
      <c r="CW755" s="1547"/>
      <c r="CX755" s="1547"/>
      <c r="CY755" s="1547"/>
      <c r="CZ755" s="1547">
        <f t="shared" si="22"/>
        <v>0</v>
      </c>
      <c r="DA755" s="1547"/>
      <c r="DB755" s="1547"/>
      <c r="DC755" s="1547"/>
      <c r="DD755" s="1547"/>
      <c r="DE755" s="1547">
        <f t="shared" si="23"/>
        <v>0</v>
      </c>
      <c r="DF755" s="1547"/>
      <c r="DG755" s="1547"/>
      <c r="DH755" s="1547"/>
      <c r="DI755" s="1547"/>
      <c r="DJ755" s="1547">
        <f t="shared" si="24"/>
        <v>0</v>
      </c>
      <c r="DK755" s="1547"/>
      <c r="DL755" s="1547"/>
      <c r="DM755" s="1547"/>
      <c r="DN755" s="1547"/>
      <c r="DO755" s="1547">
        <f t="shared" si="25"/>
        <v>0</v>
      </c>
      <c r="DP755" s="1547"/>
      <c r="DQ755" s="1547"/>
      <c r="DR755" s="1547"/>
      <c r="DS755" s="1547"/>
      <c r="DT755" s="6"/>
      <c r="DU755" s="1540">
        <f t="shared" si="26"/>
        <v>0</v>
      </c>
      <c r="DV755" s="1540"/>
      <c r="DW755" s="1540"/>
      <c r="DX755" s="1540"/>
      <c r="DY755" s="1540"/>
      <c r="DZ755" s="1540">
        <f t="shared" si="27"/>
        <v>0</v>
      </c>
      <c r="EA755" s="1540"/>
      <c r="EB755" s="1540"/>
      <c r="EC755" s="1540"/>
      <c r="ED755" s="1540"/>
      <c r="EE755" s="1540">
        <f t="shared" si="28"/>
        <v>0</v>
      </c>
      <c r="EF755" s="1540"/>
      <c r="EG755" s="1540"/>
      <c r="EH755" s="1540"/>
      <c r="EI755" s="1540"/>
      <c r="EJ755" s="1540">
        <f t="shared" si="29"/>
        <v>0</v>
      </c>
      <c r="EK755" s="1540"/>
      <c r="EL755" s="1540"/>
      <c r="EM755" s="1540"/>
      <c r="EN755" s="1540"/>
      <c r="EO755" s="1540">
        <f t="shared" si="30"/>
        <v>0</v>
      </c>
      <c r="EP755" s="1540"/>
      <c r="EQ755" s="1540"/>
      <c r="ER755" s="1540"/>
      <c r="ES755" s="1540"/>
      <c r="ET755" s="1540">
        <f t="shared" si="31"/>
        <v>0</v>
      </c>
      <c r="EU755" s="1540"/>
      <c r="EV755" s="1540"/>
      <c r="EW755" s="1540"/>
      <c r="EX755" s="1540"/>
      <c r="EZ755" s="1542" t="str">
        <f t="shared" si="32"/>
        <v/>
      </c>
      <c r="FA755" s="1560"/>
      <c r="FB755" s="1560"/>
      <c r="FC755" s="1560"/>
      <c r="FD755" s="1543"/>
      <c r="FE755" s="1542" t="str">
        <f t="shared" si="33"/>
        <v/>
      </c>
      <c r="FF755" s="1560"/>
      <c r="FG755" s="1560"/>
      <c r="FH755" s="1560"/>
      <c r="FI755" s="1543"/>
      <c r="FJ755" s="1542" t="str">
        <f t="shared" si="34"/>
        <v/>
      </c>
      <c r="FK755" s="1560"/>
      <c r="FL755" s="1560"/>
      <c r="FM755" s="1560"/>
      <c r="FN755" s="1543"/>
      <c r="FO755" s="1542" t="str">
        <f t="shared" si="35"/>
        <v/>
      </c>
      <c r="FP755" s="1560"/>
      <c r="FQ755" s="1560"/>
      <c r="FR755" s="1560"/>
      <c r="FS755" s="1543"/>
      <c r="FT755" s="1542" t="str">
        <f t="shared" si="36"/>
        <v/>
      </c>
      <c r="FU755" s="1560"/>
      <c r="FV755" s="1560"/>
      <c r="FW755" s="1560"/>
      <c r="FX755" s="1543"/>
      <c r="FY755" s="1542" t="str">
        <f t="shared" si="37"/>
        <v/>
      </c>
      <c r="FZ755" s="1560"/>
      <c r="GA755" s="1560"/>
      <c r="GB755" s="1560"/>
      <c r="GC755" s="1543"/>
    </row>
    <row r="756" spans="1:185" s="3" customFormat="1" ht="12.95" customHeight="1">
      <c r="A756"/>
      <c r="B756" s="1360"/>
      <c r="C756" s="1361"/>
      <c r="D756" s="1361"/>
      <c r="E756" s="1361"/>
      <c r="F756" s="1362"/>
      <c r="G756" s="1354"/>
      <c r="H756" s="1355"/>
      <c r="I756" s="1355"/>
      <c r="J756" s="1356"/>
      <c r="K756" s="1357"/>
      <c r="L756" s="1358"/>
      <c r="M756" s="1358"/>
      <c r="N756" s="1359"/>
      <c r="O756" s="1393"/>
      <c r="P756" s="1394"/>
      <c r="Q756" s="1394"/>
      <c r="R756" s="1394"/>
      <c r="S756" s="1395"/>
      <c r="T756" s="1393"/>
      <c r="U756" s="1394"/>
      <c r="V756" s="1394"/>
      <c r="W756" s="1395"/>
      <c r="X756" s="1441">
        <f t="shared" si="41"/>
        <v>0</v>
      </c>
      <c r="Y756" s="1442"/>
      <c r="Z756" s="1442"/>
      <c r="AA756" s="1442"/>
      <c r="AB756" s="1443"/>
      <c r="AC756" s="1438"/>
      <c r="AD756" s="1439"/>
      <c r="AE756" s="1439"/>
      <c r="AF756" s="1439"/>
      <c r="AG756" s="1440"/>
      <c r="AH756" s="1421" t="str">
        <f t="shared" si="38"/>
        <v/>
      </c>
      <c r="AI756" s="1422"/>
      <c r="AJ756" s="1423"/>
      <c r="AK756" s="1360" t="s">
        <v>591</v>
      </c>
      <c r="AL756" s="1361"/>
      <c r="AM756" s="1361"/>
      <c r="AN756" s="1361"/>
      <c r="AO756" s="1362"/>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2">
        <f t="shared" si="39"/>
        <v>0</v>
      </c>
      <c r="CH756" s="1543"/>
      <c r="CI756" s="1551">
        <f t="shared" si="40"/>
        <v>0</v>
      </c>
      <c r="CJ756" s="1552"/>
      <c r="CK756" s="1542">
        <f t="shared" si="18"/>
        <v>0</v>
      </c>
      <c r="CL756" s="1543"/>
      <c r="CM756" s="1551">
        <f t="shared" si="19"/>
        <v>0</v>
      </c>
      <c r="CN756" s="1552"/>
      <c r="CP756" s="1544">
        <f t="shared" si="20"/>
        <v>0</v>
      </c>
      <c r="CQ756" s="1545"/>
      <c r="CR756" s="1545"/>
      <c r="CS756" s="1545"/>
      <c r="CT756" s="1546"/>
      <c r="CU756" s="1547">
        <f t="shared" si="21"/>
        <v>0</v>
      </c>
      <c r="CV756" s="1547"/>
      <c r="CW756" s="1547"/>
      <c r="CX756" s="1547"/>
      <c r="CY756" s="1547"/>
      <c r="CZ756" s="1547">
        <f t="shared" si="22"/>
        <v>0</v>
      </c>
      <c r="DA756" s="1547"/>
      <c r="DB756" s="1547"/>
      <c r="DC756" s="1547"/>
      <c r="DD756" s="1547"/>
      <c r="DE756" s="1547">
        <f t="shared" si="23"/>
        <v>0</v>
      </c>
      <c r="DF756" s="1547"/>
      <c r="DG756" s="1547"/>
      <c r="DH756" s="1547"/>
      <c r="DI756" s="1547"/>
      <c r="DJ756" s="1547">
        <f t="shared" si="24"/>
        <v>0</v>
      </c>
      <c r="DK756" s="1547"/>
      <c r="DL756" s="1547"/>
      <c r="DM756" s="1547"/>
      <c r="DN756" s="1547"/>
      <c r="DO756" s="1547">
        <f t="shared" si="25"/>
        <v>0</v>
      </c>
      <c r="DP756" s="1547"/>
      <c r="DQ756" s="1547"/>
      <c r="DR756" s="1547"/>
      <c r="DS756" s="1547"/>
      <c r="DT756" s="6"/>
      <c r="DU756" s="1540">
        <f t="shared" si="26"/>
        <v>0</v>
      </c>
      <c r="DV756" s="1540"/>
      <c r="DW756" s="1540"/>
      <c r="DX756" s="1540"/>
      <c r="DY756" s="1540"/>
      <c r="DZ756" s="1540">
        <f t="shared" si="27"/>
        <v>0</v>
      </c>
      <c r="EA756" s="1540"/>
      <c r="EB756" s="1540"/>
      <c r="EC756" s="1540"/>
      <c r="ED756" s="1540"/>
      <c r="EE756" s="1540">
        <f t="shared" si="28"/>
        <v>0</v>
      </c>
      <c r="EF756" s="1540"/>
      <c r="EG756" s="1540"/>
      <c r="EH756" s="1540"/>
      <c r="EI756" s="1540"/>
      <c r="EJ756" s="1540">
        <f t="shared" si="29"/>
        <v>0</v>
      </c>
      <c r="EK756" s="1540"/>
      <c r="EL756" s="1540"/>
      <c r="EM756" s="1540"/>
      <c r="EN756" s="1540"/>
      <c r="EO756" s="1540">
        <f t="shared" si="30"/>
        <v>0</v>
      </c>
      <c r="EP756" s="1540"/>
      <c r="EQ756" s="1540"/>
      <c r="ER756" s="1540"/>
      <c r="ES756" s="1540"/>
      <c r="ET756" s="1540">
        <f t="shared" si="31"/>
        <v>0</v>
      </c>
      <c r="EU756" s="1540"/>
      <c r="EV756" s="1540"/>
      <c r="EW756" s="1540"/>
      <c r="EX756" s="1540"/>
      <c r="EY756"/>
      <c r="EZ756" s="1542" t="str">
        <f t="shared" si="32"/>
        <v/>
      </c>
      <c r="FA756" s="1560"/>
      <c r="FB756" s="1560"/>
      <c r="FC756" s="1560"/>
      <c r="FD756" s="1543"/>
      <c r="FE756" s="1542" t="str">
        <f t="shared" si="33"/>
        <v/>
      </c>
      <c r="FF756" s="1560"/>
      <c r="FG756" s="1560"/>
      <c r="FH756" s="1560"/>
      <c r="FI756" s="1543"/>
      <c r="FJ756" s="1542" t="str">
        <f t="shared" si="34"/>
        <v/>
      </c>
      <c r="FK756" s="1560"/>
      <c r="FL756" s="1560"/>
      <c r="FM756" s="1560"/>
      <c r="FN756" s="1543"/>
      <c r="FO756" s="1542" t="str">
        <f t="shared" si="35"/>
        <v/>
      </c>
      <c r="FP756" s="1560"/>
      <c r="FQ756" s="1560"/>
      <c r="FR756" s="1560"/>
      <c r="FS756" s="1543"/>
      <c r="FT756" s="1542" t="str">
        <f t="shared" si="36"/>
        <v/>
      </c>
      <c r="FU756" s="1560"/>
      <c r="FV756" s="1560"/>
      <c r="FW756" s="1560"/>
      <c r="FX756" s="1543"/>
      <c r="FY756" s="1542" t="str">
        <f t="shared" si="37"/>
        <v/>
      </c>
      <c r="FZ756" s="1560"/>
      <c r="GA756" s="1560"/>
      <c r="GB756" s="1560"/>
      <c r="GC756" s="1543"/>
    </row>
    <row r="757" spans="1:185" s="3" customFormat="1" ht="12.95" customHeight="1">
      <c r="A757"/>
      <c r="B757" s="1360"/>
      <c r="C757" s="1361"/>
      <c r="D757" s="1361"/>
      <c r="E757" s="1361"/>
      <c r="F757" s="1362"/>
      <c r="G757" s="1354"/>
      <c r="H757" s="1355"/>
      <c r="I757" s="1355"/>
      <c r="J757" s="1356"/>
      <c r="K757" s="1357"/>
      <c r="L757" s="1358"/>
      <c r="M757" s="1358"/>
      <c r="N757" s="1359"/>
      <c r="O757" s="1393"/>
      <c r="P757" s="1394"/>
      <c r="Q757" s="1394"/>
      <c r="R757" s="1394"/>
      <c r="S757" s="1395"/>
      <c r="T757" s="1393"/>
      <c r="U757" s="1394"/>
      <c r="V757" s="1394"/>
      <c r="W757" s="1395"/>
      <c r="X757" s="1441">
        <f t="shared" si="41"/>
        <v>0</v>
      </c>
      <c r="Y757" s="1442"/>
      <c r="Z757" s="1442"/>
      <c r="AA757" s="1442"/>
      <c r="AB757" s="1443"/>
      <c r="AC757" s="1438"/>
      <c r="AD757" s="1439"/>
      <c r="AE757" s="1439"/>
      <c r="AF757" s="1439"/>
      <c r="AG757" s="1440"/>
      <c r="AH757" s="1421" t="str">
        <f t="shared" si="38"/>
        <v/>
      </c>
      <c r="AI757" s="1422"/>
      <c r="AJ757" s="1423"/>
      <c r="AK757" s="1360" t="s">
        <v>591</v>
      </c>
      <c r="AL757" s="1361"/>
      <c r="AM757" s="1361"/>
      <c r="AN757" s="1361"/>
      <c r="AO757" s="1362"/>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2">
        <f t="shared" si="39"/>
        <v>0</v>
      </c>
      <c r="CH757" s="1543"/>
      <c r="CI757" s="1551">
        <f t="shared" si="40"/>
        <v>0</v>
      </c>
      <c r="CJ757" s="1552"/>
      <c r="CK757" s="1542">
        <f t="shared" si="18"/>
        <v>0</v>
      </c>
      <c r="CL757" s="1543"/>
      <c r="CM757" s="1551">
        <f t="shared" si="19"/>
        <v>0</v>
      </c>
      <c r="CN757" s="1552"/>
      <c r="CP757" s="1544">
        <f t="shared" si="20"/>
        <v>0</v>
      </c>
      <c r="CQ757" s="1545"/>
      <c r="CR757" s="1545"/>
      <c r="CS757" s="1545"/>
      <c r="CT757" s="1546"/>
      <c r="CU757" s="1547">
        <f t="shared" si="21"/>
        <v>0</v>
      </c>
      <c r="CV757" s="1547"/>
      <c r="CW757" s="1547"/>
      <c r="CX757" s="1547"/>
      <c r="CY757" s="1547"/>
      <c r="CZ757" s="1547">
        <f t="shared" si="22"/>
        <v>0</v>
      </c>
      <c r="DA757" s="1547"/>
      <c r="DB757" s="1547"/>
      <c r="DC757" s="1547"/>
      <c r="DD757" s="1547"/>
      <c r="DE757" s="1547">
        <f t="shared" si="23"/>
        <v>0</v>
      </c>
      <c r="DF757" s="1547"/>
      <c r="DG757" s="1547"/>
      <c r="DH757" s="1547"/>
      <c r="DI757" s="1547"/>
      <c r="DJ757" s="1547">
        <f t="shared" si="24"/>
        <v>0</v>
      </c>
      <c r="DK757" s="1547"/>
      <c r="DL757" s="1547"/>
      <c r="DM757" s="1547"/>
      <c r="DN757" s="1547"/>
      <c r="DO757" s="1547">
        <f t="shared" si="25"/>
        <v>0</v>
      </c>
      <c r="DP757" s="1547"/>
      <c r="DQ757" s="1547"/>
      <c r="DR757" s="1547"/>
      <c r="DS757" s="1547"/>
      <c r="DT757" s="6"/>
      <c r="DU757" s="1540">
        <f t="shared" si="26"/>
        <v>0</v>
      </c>
      <c r="DV757" s="1540"/>
      <c r="DW757" s="1540"/>
      <c r="DX757" s="1540"/>
      <c r="DY757" s="1540"/>
      <c r="DZ757" s="1540">
        <f t="shared" si="27"/>
        <v>0</v>
      </c>
      <c r="EA757" s="1540"/>
      <c r="EB757" s="1540"/>
      <c r="EC757" s="1540"/>
      <c r="ED757" s="1540"/>
      <c r="EE757" s="1540">
        <f t="shared" si="28"/>
        <v>0</v>
      </c>
      <c r="EF757" s="1540"/>
      <c r="EG757" s="1540"/>
      <c r="EH757" s="1540"/>
      <c r="EI757" s="1540"/>
      <c r="EJ757" s="1540">
        <f t="shared" si="29"/>
        <v>0</v>
      </c>
      <c r="EK757" s="1540"/>
      <c r="EL757" s="1540"/>
      <c r="EM757" s="1540"/>
      <c r="EN757" s="1540"/>
      <c r="EO757" s="1540">
        <f t="shared" si="30"/>
        <v>0</v>
      </c>
      <c r="EP757" s="1540"/>
      <c r="EQ757" s="1540"/>
      <c r="ER757" s="1540"/>
      <c r="ES757" s="1540"/>
      <c r="ET757" s="1540">
        <f t="shared" si="31"/>
        <v>0</v>
      </c>
      <c r="EU757" s="1540"/>
      <c r="EV757" s="1540"/>
      <c r="EW757" s="1540"/>
      <c r="EX757" s="1540"/>
      <c r="EY757"/>
      <c r="EZ757" s="1542" t="str">
        <f t="shared" si="32"/>
        <v/>
      </c>
      <c r="FA757" s="1560"/>
      <c r="FB757" s="1560"/>
      <c r="FC757" s="1560"/>
      <c r="FD757" s="1543"/>
      <c r="FE757" s="1542" t="str">
        <f t="shared" si="33"/>
        <v/>
      </c>
      <c r="FF757" s="1560"/>
      <c r="FG757" s="1560"/>
      <c r="FH757" s="1560"/>
      <c r="FI757" s="1543"/>
      <c r="FJ757" s="1542" t="str">
        <f t="shared" si="34"/>
        <v/>
      </c>
      <c r="FK757" s="1560"/>
      <c r="FL757" s="1560"/>
      <c r="FM757" s="1560"/>
      <c r="FN757" s="1543"/>
      <c r="FO757" s="1542" t="str">
        <f t="shared" si="35"/>
        <v/>
      </c>
      <c r="FP757" s="1560"/>
      <c r="FQ757" s="1560"/>
      <c r="FR757" s="1560"/>
      <c r="FS757" s="1543"/>
      <c r="FT757" s="1542" t="str">
        <f t="shared" si="36"/>
        <v/>
      </c>
      <c r="FU757" s="1560"/>
      <c r="FV757" s="1560"/>
      <c r="FW757" s="1560"/>
      <c r="FX757" s="1543"/>
      <c r="FY757" s="1542" t="str">
        <f t="shared" si="37"/>
        <v/>
      </c>
      <c r="FZ757" s="1560"/>
      <c r="GA757" s="1560"/>
      <c r="GB757" s="1560"/>
      <c r="GC757" s="1543"/>
    </row>
    <row r="758" spans="1:185" s="3" customFormat="1" ht="12.95" customHeight="1">
      <c r="A758"/>
      <c r="B758" s="1360"/>
      <c r="C758" s="1361"/>
      <c r="D758" s="1361"/>
      <c r="E758" s="1361"/>
      <c r="F758" s="1362"/>
      <c r="G758" s="1354"/>
      <c r="H758" s="1355"/>
      <c r="I758" s="1355"/>
      <c r="J758" s="1356"/>
      <c r="K758" s="1357"/>
      <c r="L758" s="1358"/>
      <c r="M758" s="1358"/>
      <c r="N758" s="1359"/>
      <c r="O758" s="1393"/>
      <c r="P758" s="1394"/>
      <c r="Q758" s="1394"/>
      <c r="R758" s="1394"/>
      <c r="S758" s="1395"/>
      <c r="T758" s="1393"/>
      <c r="U758" s="1394"/>
      <c r="V758" s="1394"/>
      <c r="W758" s="1395"/>
      <c r="X758" s="1441">
        <f t="shared" si="41"/>
        <v>0</v>
      </c>
      <c r="Y758" s="1442"/>
      <c r="Z758" s="1442"/>
      <c r="AA758" s="1442"/>
      <c r="AB758" s="1443"/>
      <c r="AC758" s="1438"/>
      <c r="AD758" s="1439"/>
      <c r="AE758" s="1439"/>
      <c r="AF758" s="1439"/>
      <c r="AG758" s="1440"/>
      <c r="AH758" s="1421" t="str">
        <f t="shared" si="38"/>
        <v/>
      </c>
      <c r="AI758" s="1422"/>
      <c r="AJ758" s="1423"/>
      <c r="AK758" s="1360" t="s">
        <v>591</v>
      </c>
      <c r="AL758" s="1361"/>
      <c r="AM758" s="1361"/>
      <c r="AN758" s="1361"/>
      <c r="AO758" s="1362"/>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2">
        <f t="shared" si="39"/>
        <v>0</v>
      </c>
      <c r="CH758" s="1543"/>
      <c r="CI758" s="1551">
        <f t="shared" si="40"/>
        <v>0</v>
      </c>
      <c r="CJ758" s="1552"/>
      <c r="CK758" s="1542">
        <f t="shared" si="18"/>
        <v>0</v>
      </c>
      <c r="CL758" s="1543"/>
      <c r="CM758" s="1551">
        <f t="shared" si="19"/>
        <v>0</v>
      </c>
      <c r="CN758" s="1552"/>
      <c r="CP758" s="1544">
        <f t="shared" si="20"/>
        <v>0</v>
      </c>
      <c r="CQ758" s="1545"/>
      <c r="CR758" s="1545"/>
      <c r="CS758" s="1545"/>
      <c r="CT758" s="1546"/>
      <c r="CU758" s="1547">
        <f t="shared" si="21"/>
        <v>0</v>
      </c>
      <c r="CV758" s="1547"/>
      <c r="CW758" s="1547"/>
      <c r="CX758" s="1547"/>
      <c r="CY758" s="1547"/>
      <c r="CZ758" s="1547">
        <f t="shared" si="22"/>
        <v>0</v>
      </c>
      <c r="DA758" s="1547"/>
      <c r="DB758" s="1547"/>
      <c r="DC758" s="1547"/>
      <c r="DD758" s="1547"/>
      <c r="DE758" s="1547">
        <f t="shared" si="23"/>
        <v>0</v>
      </c>
      <c r="DF758" s="1547"/>
      <c r="DG758" s="1547"/>
      <c r="DH758" s="1547"/>
      <c r="DI758" s="1547"/>
      <c r="DJ758" s="1547">
        <f t="shared" si="24"/>
        <v>0</v>
      </c>
      <c r="DK758" s="1547"/>
      <c r="DL758" s="1547"/>
      <c r="DM758" s="1547"/>
      <c r="DN758" s="1547"/>
      <c r="DO758" s="1547">
        <f t="shared" si="25"/>
        <v>0</v>
      </c>
      <c r="DP758" s="1547"/>
      <c r="DQ758" s="1547"/>
      <c r="DR758" s="1547"/>
      <c r="DS758" s="1547"/>
      <c r="DT758" s="6"/>
      <c r="DU758" s="1540">
        <f t="shared" si="26"/>
        <v>0</v>
      </c>
      <c r="DV758" s="1540"/>
      <c r="DW758" s="1540"/>
      <c r="DX758" s="1540"/>
      <c r="DY758" s="1540"/>
      <c r="DZ758" s="1540">
        <f t="shared" si="27"/>
        <v>0</v>
      </c>
      <c r="EA758" s="1540"/>
      <c r="EB758" s="1540"/>
      <c r="EC758" s="1540"/>
      <c r="ED758" s="1540"/>
      <c r="EE758" s="1540">
        <f t="shared" si="28"/>
        <v>0</v>
      </c>
      <c r="EF758" s="1540"/>
      <c r="EG758" s="1540"/>
      <c r="EH758" s="1540"/>
      <c r="EI758" s="1540"/>
      <c r="EJ758" s="1540">
        <f t="shared" si="29"/>
        <v>0</v>
      </c>
      <c r="EK758" s="1540"/>
      <c r="EL758" s="1540"/>
      <c r="EM758" s="1540"/>
      <c r="EN758" s="1540"/>
      <c r="EO758" s="1540">
        <f t="shared" si="30"/>
        <v>0</v>
      </c>
      <c r="EP758" s="1540"/>
      <c r="EQ758" s="1540"/>
      <c r="ER758" s="1540"/>
      <c r="ES758" s="1540"/>
      <c r="ET758" s="1540">
        <f t="shared" si="31"/>
        <v>0</v>
      </c>
      <c r="EU758" s="1540"/>
      <c r="EV758" s="1540"/>
      <c r="EW758" s="1540"/>
      <c r="EX758" s="1540"/>
      <c r="EY758"/>
      <c r="EZ758" s="1542" t="str">
        <f t="shared" si="32"/>
        <v/>
      </c>
      <c r="FA758" s="1560"/>
      <c r="FB758" s="1560"/>
      <c r="FC758" s="1560"/>
      <c r="FD758" s="1543"/>
      <c r="FE758" s="1542" t="str">
        <f t="shared" si="33"/>
        <v/>
      </c>
      <c r="FF758" s="1560"/>
      <c r="FG758" s="1560"/>
      <c r="FH758" s="1560"/>
      <c r="FI758" s="1543"/>
      <c r="FJ758" s="1542" t="str">
        <f t="shared" si="34"/>
        <v/>
      </c>
      <c r="FK758" s="1560"/>
      <c r="FL758" s="1560"/>
      <c r="FM758" s="1560"/>
      <c r="FN758" s="1543"/>
      <c r="FO758" s="1542" t="str">
        <f t="shared" si="35"/>
        <v/>
      </c>
      <c r="FP758" s="1560"/>
      <c r="FQ758" s="1560"/>
      <c r="FR758" s="1560"/>
      <c r="FS758" s="1543"/>
      <c r="FT758" s="1542" t="str">
        <f t="shared" si="36"/>
        <v/>
      </c>
      <c r="FU758" s="1560"/>
      <c r="FV758" s="1560"/>
      <c r="FW758" s="1560"/>
      <c r="FX758" s="1543"/>
      <c r="FY758" s="1542" t="str">
        <f t="shared" si="37"/>
        <v/>
      </c>
      <c r="FZ758" s="1560"/>
      <c r="GA758" s="1560"/>
      <c r="GB758" s="1560"/>
      <c r="GC758" s="1543"/>
    </row>
    <row r="759" spans="1:185" s="3" customFormat="1" ht="12.95" customHeight="1">
      <c r="A759"/>
      <c r="B759" s="1360"/>
      <c r="C759" s="1361"/>
      <c r="D759" s="1361"/>
      <c r="E759" s="1361"/>
      <c r="F759" s="1362"/>
      <c r="G759" s="1354"/>
      <c r="H759" s="1355"/>
      <c r="I759" s="1355"/>
      <c r="J759" s="1356"/>
      <c r="K759" s="1357"/>
      <c r="L759" s="1358"/>
      <c r="M759" s="1358"/>
      <c r="N759" s="1359"/>
      <c r="O759" s="1393"/>
      <c r="P759" s="1394"/>
      <c r="Q759" s="1394"/>
      <c r="R759" s="1394"/>
      <c r="S759" s="1395"/>
      <c r="T759" s="1393"/>
      <c r="U759" s="1394"/>
      <c r="V759" s="1394"/>
      <c r="W759" s="1395"/>
      <c r="X759" s="1441">
        <f t="shared" si="41"/>
        <v>0</v>
      </c>
      <c r="Y759" s="1442"/>
      <c r="Z759" s="1442"/>
      <c r="AA759" s="1442"/>
      <c r="AB759" s="1443"/>
      <c r="AC759" s="1438"/>
      <c r="AD759" s="1439"/>
      <c r="AE759" s="1439"/>
      <c r="AF759" s="1439"/>
      <c r="AG759" s="1440"/>
      <c r="AH759" s="1421" t="str">
        <f t="shared" si="38"/>
        <v/>
      </c>
      <c r="AI759" s="1422"/>
      <c r="AJ759" s="1423"/>
      <c r="AK759" s="1360" t="s">
        <v>591</v>
      </c>
      <c r="AL759" s="1361"/>
      <c r="AM759" s="1361"/>
      <c r="AN759" s="1361"/>
      <c r="AO759" s="1362"/>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2">
        <f t="shared" si="39"/>
        <v>0</v>
      </c>
      <c r="CH759" s="1543"/>
      <c r="CI759" s="1551">
        <f t="shared" si="40"/>
        <v>0</v>
      </c>
      <c r="CJ759" s="1552"/>
      <c r="CK759" s="1542">
        <f t="shared" si="18"/>
        <v>0</v>
      </c>
      <c r="CL759" s="1543"/>
      <c r="CM759" s="1551">
        <f t="shared" si="19"/>
        <v>0</v>
      </c>
      <c r="CN759" s="1552"/>
      <c r="CP759" s="1544">
        <f t="shared" si="20"/>
        <v>0</v>
      </c>
      <c r="CQ759" s="1545"/>
      <c r="CR759" s="1545"/>
      <c r="CS759" s="1545"/>
      <c r="CT759" s="1546"/>
      <c r="CU759" s="1547">
        <f t="shared" si="21"/>
        <v>0</v>
      </c>
      <c r="CV759" s="1547"/>
      <c r="CW759" s="1547"/>
      <c r="CX759" s="1547"/>
      <c r="CY759" s="1547"/>
      <c r="CZ759" s="1547">
        <f t="shared" si="22"/>
        <v>0</v>
      </c>
      <c r="DA759" s="1547"/>
      <c r="DB759" s="1547"/>
      <c r="DC759" s="1547"/>
      <c r="DD759" s="1547"/>
      <c r="DE759" s="1547">
        <f t="shared" si="23"/>
        <v>0</v>
      </c>
      <c r="DF759" s="1547"/>
      <c r="DG759" s="1547"/>
      <c r="DH759" s="1547"/>
      <c r="DI759" s="1547"/>
      <c r="DJ759" s="1547">
        <f t="shared" si="24"/>
        <v>0</v>
      </c>
      <c r="DK759" s="1547"/>
      <c r="DL759" s="1547"/>
      <c r="DM759" s="1547"/>
      <c r="DN759" s="1547"/>
      <c r="DO759" s="1547">
        <f t="shared" si="25"/>
        <v>0</v>
      </c>
      <c r="DP759" s="1547"/>
      <c r="DQ759" s="1547"/>
      <c r="DR759" s="1547"/>
      <c r="DS759" s="1547"/>
      <c r="DT759" s="6"/>
      <c r="DU759" s="1540">
        <f t="shared" si="26"/>
        <v>0</v>
      </c>
      <c r="DV759" s="1540"/>
      <c r="DW759" s="1540"/>
      <c r="DX759" s="1540"/>
      <c r="DY759" s="1540"/>
      <c r="DZ759" s="1540">
        <f t="shared" si="27"/>
        <v>0</v>
      </c>
      <c r="EA759" s="1540"/>
      <c r="EB759" s="1540"/>
      <c r="EC759" s="1540"/>
      <c r="ED759" s="1540"/>
      <c r="EE759" s="1540">
        <f t="shared" si="28"/>
        <v>0</v>
      </c>
      <c r="EF759" s="1540"/>
      <c r="EG759" s="1540"/>
      <c r="EH759" s="1540"/>
      <c r="EI759" s="1540"/>
      <c r="EJ759" s="1540">
        <f t="shared" si="29"/>
        <v>0</v>
      </c>
      <c r="EK759" s="1540"/>
      <c r="EL759" s="1540"/>
      <c r="EM759" s="1540"/>
      <c r="EN759" s="1540"/>
      <c r="EO759" s="1540">
        <f t="shared" si="30"/>
        <v>0</v>
      </c>
      <c r="EP759" s="1540"/>
      <c r="EQ759" s="1540"/>
      <c r="ER759" s="1540"/>
      <c r="ES759" s="1540"/>
      <c r="ET759" s="1540">
        <f t="shared" si="31"/>
        <v>0</v>
      </c>
      <c r="EU759" s="1540"/>
      <c r="EV759" s="1540"/>
      <c r="EW759" s="1540"/>
      <c r="EX759" s="1540"/>
      <c r="EY759"/>
      <c r="EZ759" s="1542" t="str">
        <f t="shared" si="32"/>
        <v/>
      </c>
      <c r="FA759" s="1560"/>
      <c r="FB759" s="1560"/>
      <c r="FC759" s="1560"/>
      <c r="FD759" s="1543"/>
      <c r="FE759" s="1542" t="str">
        <f t="shared" si="33"/>
        <v/>
      </c>
      <c r="FF759" s="1560"/>
      <c r="FG759" s="1560"/>
      <c r="FH759" s="1560"/>
      <c r="FI759" s="1543"/>
      <c r="FJ759" s="1542" t="str">
        <f t="shared" si="34"/>
        <v/>
      </c>
      <c r="FK759" s="1560"/>
      <c r="FL759" s="1560"/>
      <c r="FM759" s="1560"/>
      <c r="FN759" s="1543"/>
      <c r="FO759" s="1542" t="str">
        <f t="shared" si="35"/>
        <v/>
      </c>
      <c r="FP759" s="1560"/>
      <c r="FQ759" s="1560"/>
      <c r="FR759" s="1560"/>
      <c r="FS759" s="1543"/>
      <c r="FT759" s="1542" t="str">
        <f t="shared" si="36"/>
        <v/>
      </c>
      <c r="FU759" s="1560"/>
      <c r="FV759" s="1560"/>
      <c r="FW759" s="1560"/>
      <c r="FX759" s="1543"/>
      <c r="FY759" s="1542" t="str">
        <f t="shared" si="37"/>
        <v/>
      </c>
      <c r="FZ759" s="1560"/>
      <c r="GA759" s="1560"/>
      <c r="GB759" s="1560"/>
      <c r="GC759" s="1543"/>
    </row>
    <row r="760" spans="1:185" s="3" customFormat="1" ht="12.95" customHeight="1">
      <c r="A760"/>
      <c r="B760" s="1360"/>
      <c r="C760" s="1361"/>
      <c r="D760" s="1361"/>
      <c r="E760" s="1361"/>
      <c r="F760" s="1362"/>
      <c r="G760" s="1354"/>
      <c r="H760" s="1355"/>
      <c r="I760" s="1355"/>
      <c r="J760" s="1356"/>
      <c r="K760" s="1357"/>
      <c r="L760" s="1358"/>
      <c r="M760" s="1358"/>
      <c r="N760" s="1359"/>
      <c r="O760" s="1393"/>
      <c r="P760" s="1394"/>
      <c r="Q760" s="1394"/>
      <c r="R760" s="1394"/>
      <c r="S760" s="1395"/>
      <c r="T760" s="1393"/>
      <c r="U760" s="1394"/>
      <c r="V760" s="1394"/>
      <c r="W760" s="1395"/>
      <c r="X760" s="1441">
        <f>O760+T760</f>
        <v>0</v>
      </c>
      <c r="Y760" s="1442"/>
      <c r="Z760" s="1442"/>
      <c r="AA760" s="1442"/>
      <c r="AB760" s="1443"/>
      <c r="AC760" s="1438"/>
      <c r="AD760" s="1439"/>
      <c r="AE760" s="1439"/>
      <c r="AF760" s="1439"/>
      <c r="AG760" s="1440"/>
      <c r="AH760" s="1421" t="str">
        <f t="shared" si="38"/>
        <v/>
      </c>
      <c r="AI760" s="1422"/>
      <c r="AJ760" s="1423"/>
      <c r="AK760" s="1360" t="s">
        <v>591</v>
      </c>
      <c r="AL760" s="1361"/>
      <c r="AM760" s="1361"/>
      <c r="AN760" s="1361"/>
      <c r="AO760" s="1362"/>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2">
        <f t="shared" si="39"/>
        <v>0</v>
      </c>
      <c r="CH760" s="1543"/>
      <c r="CI760" s="1551">
        <f t="shared" si="40"/>
        <v>0</v>
      </c>
      <c r="CJ760" s="1552"/>
      <c r="CK760" s="1542">
        <f t="shared" si="18"/>
        <v>0</v>
      </c>
      <c r="CL760" s="1543"/>
      <c r="CM760" s="1551">
        <f t="shared" si="19"/>
        <v>0</v>
      </c>
      <c r="CN760" s="1552"/>
      <c r="CP760" s="1544">
        <f t="shared" si="20"/>
        <v>0</v>
      </c>
      <c r="CQ760" s="1545"/>
      <c r="CR760" s="1545"/>
      <c r="CS760" s="1545"/>
      <c r="CT760" s="1546"/>
      <c r="CU760" s="1547">
        <f t="shared" si="21"/>
        <v>0</v>
      </c>
      <c r="CV760" s="1547"/>
      <c r="CW760" s="1547"/>
      <c r="CX760" s="1547"/>
      <c r="CY760" s="1547"/>
      <c r="CZ760" s="1547">
        <f t="shared" si="22"/>
        <v>0</v>
      </c>
      <c r="DA760" s="1547"/>
      <c r="DB760" s="1547"/>
      <c r="DC760" s="1547"/>
      <c r="DD760" s="1547"/>
      <c r="DE760" s="1547">
        <f t="shared" si="23"/>
        <v>0</v>
      </c>
      <c r="DF760" s="1547"/>
      <c r="DG760" s="1547"/>
      <c r="DH760" s="1547"/>
      <c r="DI760" s="1547"/>
      <c r="DJ760" s="1547">
        <f t="shared" si="24"/>
        <v>0</v>
      </c>
      <c r="DK760" s="1547"/>
      <c r="DL760" s="1547"/>
      <c r="DM760" s="1547"/>
      <c r="DN760" s="1547"/>
      <c r="DO760" s="1547">
        <f t="shared" si="25"/>
        <v>0</v>
      </c>
      <c r="DP760" s="1547"/>
      <c r="DQ760" s="1547"/>
      <c r="DR760" s="1547"/>
      <c r="DS760" s="1547"/>
      <c r="DT760" s="6"/>
      <c r="DU760" s="1540">
        <f t="shared" si="26"/>
        <v>0</v>
      </c>
      <c r="DV760" s="1540"/>
      <c r="DW760" s="1540"/>
      <c r="DX760" s="1540"/>
      <c r="DY760" s="1540"/>
      <c r="DZ760" s="1540">
        <f t="shared" si="27"/>
        <v>0</v>
      </c>
      <c r="EA760" s="1540"/>
      <c r="EB760" s="1540"/>
      <c r="EC760" s="1540"/>
      <c r="ED760" s="1540"/>
      <c r="EE760" s="1540">
        <f t="shared" si="28"/>
        <v>0</v>
      </c>
      <c r="EF760" s="1540"/>
      <c r="EG760" s="1540"/>
      <c r="EH760" s="1540"/>
      <c r="EI760" s="1540"/>
      <c r="EJ760" s="1540">
        <f t="shared" si="29"/>
        <v>0</v>
      </c>
      <c r="EK760" s="1540"/>
      <c r="EL760" s="1540"/>
      <c r="EM760" s="1540"/>
      <c r="EN760" s="1540"/>
      <c r="EO760" s="1540">
        <f t="shared" si="30"/>
        <v>0</v>
      </c>
      <c r="EP760" s="1540"/>
      <c r="EQ760" s="1540"/>
      <c r="ER760" s="1540"/>
      <c r="ES760" s="1540"/>
      <c r="ET760" s="1540">
        <f t="shared" si="31"/>
        <v>0</v>
      </c>
      <c r="EU760" s="1540"/>
      <c r="EV760" s="1540"/>
      <c r="EW760" s="1540"/>
      <c r="EX760" s="1540"/>
      <c r="EY760"/>
      <c r="EZ760" s="1542" t="str">
        <f t="shared" si="32"/>
        <v/>
      </c>
      <c r="FA760" s="1560"/>
      <c r="FB760" s="1560"/>
      <c r="FC760" s="1560"/>
      <c r="FD760" s="1543"/>
      <c r="FE760" s="1542" t="str">
        <f t="shared" si="33"/>
        <v/>
      </c>
      <c r="FF760" s="1560"/>
      <c r="FG760" s="1560"/>
      <c r="FH760" s="1560"/>
      <c r="FI760" s="1543"/>
      <c r="FJ760" s="1542" t="str">
        <f t="shared" si="34"/>
        <v/>
      </c>
      <c r="FK760" s="1560"/>
      <c r="FL760" s="1560"/>
      <c r="FM760" s="1560"/>
      <c r="FN760" s="1543"/>
      <c r="FO760" s="1542" t="str">
        <f t="shared" si="35"/>
        <v/>
      </c>
      <c r="FP760" s="1560"/>
      <c r="FQ760" s="1560"/>
      <c r="FR760" s="1560"/>
      <c r="FS760" s="1543"/>
      <c r="FT760" s="1542" t="str">
        <f t="shared" si="36"/>
        <v/>
      </c>
      <c r="FU760" s="1560"/>
      <c r="FV760" s="1560"/>
      <c r="FW760" s="1560"/>
      <c r="FX760" s="1543"/>
      <c r="FY760" s="1542" t="str">
        <f t="shared" si="37"/>
        <v/>
      </c>
      <c r="FZ760" s="1560"/>
      <c r="GA760" s="1560"/>
      <c r="GB760" s="1560"/>
      <c r="GC760" s="1543"/>
    </row>
    <row r="761" spans="1:185" s="3" customFormat="1" ht="12.95" customHeight="1">
      <c r="A761"/>
      <c r="B761" s="1537" t="s">
        <v>125</v>
      </c>
      <c r="C761" s="1538"/>
      <c r="D761" s="1538"/>
      <c r="E761" s="1538"/>
      <c r="F761" s="1539"/>
      <c r="G761" s="1657">
        <f>SUM(G726:G760)</f>
        <v>23</v>
      </c>
      <c r="H761" s="1658"/>
      <c r="I761" s="1658"/>
      <c r="J761" s="1659"/>
      <c r="K761" s="898" t="s">
        <v>124</v>
      </c>
      <c r="L761" s="5"/>
      <c r="M761" s="5"/>
      <c r="N761" s="46"/>
      <c r="O761" s="1441">
        <f>SUMPRODUCT(G726:G760,O726:O760)</f>
        <v>26145</v>
      </c>
      <c r="P761" s="1442"/>
      <c r="Q761" s="1442"/>
      <c r="R761" s="1442"/>
      <c r="S761" s="1443"/>
      <c r="T761"/>
      <c r="U761"/>
      <c r="V761"/>
      <c r="W761"/>
      <c r="X761" s="900" t="s">
        <v>900</v>
      </c>
      <c r="Y761" s="899"/>
      <c r="Z761" s="899"/>
      <c r="AA761" s="899"/>
      <c r="AB761" s="901"/>
      <c r="AC761" s="1620">
        <f>BH761</f>
        <v>0.39565217391304347</v>
      </c>
      <c r="AD761" s="1621"/>
      <c r="AE761" s="1621"/>
      <c r="AF761" s="1621"/>
      <c r="AG761" s="1622"/>
      <c r="AH761" s="1620">
        <f>IFERROR(BU761,"")</f>
        <v>0.39565472695243686</v>
      </c>
      <c r="AI761" s="1621"/>
      <c r="AJ761" s="1622"/>
      <c r="AK761"/>
      <c r="AL761"/>
      <c r="AM761"/>
      <c r="AN761"/>
      <c r="AO761"/>
      <c r="AP761" s="205"/>
      <c r="AQ761" s="205"/>
      <c r="AR761" s="205"/>
      <c r="AS761" s="205"/>
      <c r="AT761"/>
      <c r="AU761"/>
      <c r="AV761"/>
      <c r="AW761"/>
      <c r="AX761"/>
      <c r="AY761"/>
      <c r="AZ761" s="34"/>
      <c r="BA761" s="34"/>
      <c r="BB761" s="34"/>
      <c r="BC761" s="34"/>
      <c r="BE761" s="290" t="s">
        <v>899</v>
      </c>
      <c r="BF761" s="299">
        <f>SUM(BF726:BF760)</f>
        <v>23</v>
      </c>
      <c r="BG761" s="300">
        <f>SUM(BG726:BG760)</f>
        <v>1</v>
      </c>
      <c r="BH761" s="300">
        <f>SUM(BH726:BH760)</f>
        <v>0.39565217391304347</v>
      </c>
      <c r="BI761"/>
      <c r="BJ761"/>
      <c r="BK761"/>
      <c r="BL761"/>
      <c r="BO761"/>
      <c r="BP761"/>
      <c r="BQ761"/>
      <c r="BR761"/>
      <c r="BS761" s="855">
        <f>SUM(BS726:BS760)</f>
        <v>23</v>
      </c>
      <c r="BT761" s="300">
        <f>SUM(BT726:BT760)</f>
        <v>1</v>
      </c>
      <c r="BU761" s="300">
        <f>SUM(BU726:BU760)</f>
        <v>0.39565472695243686</v>
      </c>
      <c r="CI761" s="1542">
        <f>SUM(CI726:CJ760)</f>
        <v>11</v>
      </c>
      <c r="CJ761" s="1543"/>
      <c r="CM761" s="1542">
        <f>SUM(CM726:CN760)</f>
        <v>12</v>
      </c>
      <c r="CN761" s="1543"/>
      <c r="CP761" s="1542">
        <f>SUM(CP726:CT760)</f>
        <v>2</v>
      </c>
      <c r="CQ761" s="1560"/>
      <c r="CR761" s="1560"/>
      <c r="CS761" s="1560"/>
      <c r="CT761" s="1543"/>
      <c r="CU761" s="1555">
        <f>SUM(CU726:CY760)</f>
        <v>19</v>
      </c>
      <c r="CV761" s="1555"/>
      <c r="CW761" s="1555"/>
      <c r="CX761" s="1555"/>
      <c r="CY761" s="1555"/>
      <c r="CZ761" s="1555">
        <f>SUM(CZ726:DD760)</f>
        <v>2</v>
      </c>
      <c r="DA761" s="1555"/>
      <c r="DB761" s="1555"/>
      <c r="DC761" s="1555"/>
      <c r="DD761" s="1555"/>
      <c r="DE761" s="1555">
        <f>SUM(DE726:DI760)</f>
        <v>0</v>
      </c>
      <c r="DF761" s="1555"/>
      <c r="DG761" s="1555"/>
      <c r="DH761" s="1555"/>
      <c r="DI761" s="1555"/>
      <c r="DJ761" s="1555">
        <f>SUM(DJ726:DN760)</f>
        <v>0</v>
      </c>
      <c r="DK761" s="1555"/>
      <c r="DL761" s="1555"/>
      <c r="DM761" s="1555"/>
      <c r="DN761" s="1555"/>
      <c r="DO761" s="1555">
        <f>SUM(DO726:DS760)</f>
        <v>0</v>
      </c>
      <c r="DP761" s="1555"/>
      <c r="DQ761" s="1555"/>
      <c r="DR761" s="1555"/>
      <c r="DS761" s="1555"/>
      <c r="DT761" s="354"/>
      <c r="DU761" s="1555">
        <f>SUM(DU726:DY760)</f>
        <v>1</v>
      </c>
      <c r="DV761" s="1555"/>
      <c r="DW761" s="1555"/>
      <c r="DX761" s="1555"/>
      <c r="DY761" s="1555"/>
      <c r="DZ761" s="1555">
        <f>SUM(DZ726:ED760)</f>
        <v>10</v>
      </c>
      <c r="EA761" s="1555"/>
      <c r="EB761" s="1555"/>
      <c r="EC761" s="1555"/>
      <c r="ED761" s="1555"/>
      <c r="EE761" s="1555">
        <f>SUM(EE726:EI760)</f>
        <v>1</v>
      </c>
      <c r="EF761" s="1555"/>
      <c r="EG761" s="1555"/>
      <c r="EH761" s="1555"/>
      <c r="EI761" s="1555"/>
      <c r="EJ761" s="1555">
        <f>SUM(EJ726:EN760)</f>
        <v>0</v>
      </c>
      <c r="EK761" s="1555"/>
      <c r="EL761" s="1555"/>
      <c r="EM761" s="1555"/>
      <c r="EN761" s="1555"/>
      <c r="EO761" s="1555">
        <f>SUM(EO726:ES760)</f>
        <v>0</v>
      </c>
      <c r="EP761" s="1555"/>
      <c r="EQ761" s="1555"/>
      <c r="ER761" s="1555"/>
      <c r="ES761" s="1555"/>
      <c r="ET761" s="1555">
        <f>SUM(ET726:EX760)</f>
        <v>0</v>
      </c>
      <c r="EU761" s="1555"/>
      <c r="EV761" s="1555"/>
      <c r="EW761" s="1555"/>
      <c r="EX761" s="1555"/>
      <c r="EY761"/>
      <c r="EZ761" s="1555">
        <f>SUM(EZ726:FD760)</f>
        <v>2120</v>
      </c>
      <c r="FA761" s="1555"/>
      <c r="FB761" s="1555"/>
      <c r="FC761" s="1555"/>
      <c r="FD761" s="1555"/>
      <c r="FE761" s="1555">
        <f>SUM(FE726:FI760)</f>
        <v>2272</v>
      </c>
      <c r="FF761" s="1555"/>
      <c r="FG761" s="1555"/>
      <c r="FH761" s="1555"/>
      <c r="FI761" s="1555"/>
      <c r="FJ761" s="1555">
        <f>SUM(FJ726:FN760)</f>
        <v>2725</v>
      </c>
      <c r="FK761" s="1555"/>
      <c r="FL761" s="1555"/>
      <c r="FM761" s="1555"/>
      <c r="FN761" s="1555"/>
      <c r="FO761" s="1555">
        <f>SUM(FO726:FS760)</f>
        <v>0</v>
      </c>
      <c r="FP761" s="1555"/>
      <c r="FQ761" s="1555"/>
      <c r="FR761" s="1555"/>
      <c r="FS761" s="1555"/>
      <c r="FT761" s="1555">
        <f>SUM(FT726:FX760)</f>
        <v>0</v>
      </c>
      <c r="FU761" s="1555"/>
      <c r="FV761" s="1555"/>
      <c r="FW761" s="1555"/>
      <c r="FX761" s="1555"/>
      <c r="FY761" s="1555">
        <f>SUM(FY726:GC760)</f>
        <v>0</v>
      </c>
      <c r="FZ761" s="1555"/>
      <c r="GA761" s="1555"/>
      <c r="GB761" s="1555"/>
      <c r="GC761" s="1555"/>
    </row>
    <row r="762" spans="1:185" s="3" customFormat="1" ht="12.95" customHeight="1">
      <c r="A762"/>
      <c r="B762" s="1678" t="s">
        <v>1867</v>
      </c>
      <c r="C762" s="1678"/>
      <c r="D762" s="1678"/>
      <c r="E762" s="1678"/>
      <c r="F762" s="1678"/>
      <c r="G762" s="1678"/>
      <c r="H762" s="1678"/>
      <c r="I762" s="1678"/>
      <c r="J762" s="1678"/>
      <c r="K762" s="1678"/>
      <c r="L762" s="1678"/>
      <c r="M762" s="1678"/>
      <c r="N762" s="1678"/>
      <c r="O762" s="1678"/>
      <c r="P762" s="1678"/>
      <c r="Q762" s="1678"/>
      <c r="R762" s="1678"/>
      <c r="S762" s="1678"/>
      <c r="T762" s="1678"/>
      <c r="U762" s="1678"/>
      <c r="V762" s="1678"/>
      <c r="W762" s="1678"/>
      <c r="X762" s="1678"/>
      <c r="Y762" s="1678"/>
      <c r="Z762" s="1678"/>
      <c r="AA762" s="1678"/>
      <c r="AB762" s="1678"/>
      <c r="AC762" s="1678"/>
      <c r="AD762" s="1678"/>
      <c r="AE762" s="1678"/>
      <c r="AF762" s="1678"/>
      <c r="AG762" s="1678"/>
      <c r="AH762" s="1678"/>
      <c r="AI762"/>
      <c r="AJ762"/>
      <c r="AK762"/>
      <c r="AT762"/>
      <c r="AU762"/>
      <c r="AV762"/>
      <c r="AW762"/>
      <c r="AX762"/>
      <c r="AY762"/>
      <c r="CD762"/>
      <c r="DN762" s="56" t="s">
        <v>1835</v>
      </c>
      <c r="DO762" s="1542">
        <f>CP761+CU761+CZ761+DE761+DJ761+DO761</f>
        <v>23</v>
      </c>
      <c r="DP762" s="1560"/>
      <c r="DQ762" s="1560"/>
      <c r="DR762" s="1560"/>
      <c r="DS762" s="1543"/>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8"/>
      <c r="C763" s="1678"/>
      <c r="D763" s="1678"/>
      <c r="E763" s="1678"/>
      <c r="F763" s="1678"/>
      <c r="G763" s="1678"/>
      <c r="H763" s="1678"/>
      <c r="I763" s="1678"/>
      <c r="J763" s="1678"/>
      <c r="K763" s="1678"/>
      <c r="L763" s="1678"/>
      <c r="M763" s="1678"/>
      <c r="N763" s="1678"/>
      <c r="O763" s="1678"/>
      <c r="P763" s="1678"/>
      <c r="Q763" s="1678"/>
      <c r="R763" s="1678"/>
      <c r="S763" s="1678"/>
      <c r="T763" s="1678"/>
      <c r="U763" s="1678"/>
      <c r="V763" s="1678"/>
      <c r="W763" s="1678"/>
      <c r="X763" s="1678"/>
      <c r="Y763" s="1678"/>
      <c r="Z763" s="1678"/>
      <c r="AA763" s="1678"/>
      <c r="AB763" s="1678"/>
      <c r="AC763" s="1678"/>
      <c r="AD763" s="1678"/>
      <c r="AE763" s="1678"/>
      <c r="AF763" s="1678"/>
      <c r="AG763" s="1678"/>
      <c r="AH763" s="167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v>
      </c>
      <c r="CU763" s="3"/>
      <c r="CV763" s="3"/>
      <c r="CW763" s="3"/>
      <c r="CX763" s="3"/>
      <c r="CY763" s="857">
        <f>CU761*1</f>
        <v>19</v>
      </c>
      <c r="CZ763" s="3"/>
      <c r="DA763" s="3"/>
      <c r="DB763" s="3"/>
      <c r="DC763" s="3"/>
      <c r="DD763" s="857">
        <f>CZ761*2</f>
        <v>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25</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55">
        <f>DU763</f>
        <v>25</v>
      </c>
      <c r="P764" s="1555"/>
      <c r="Q764" s="1555"/>
      <c r="R764" s="1555"/>
      <c r="S764" s="965"/>
      <c r="T764" s="965"/>
      <c r="U764" s="118" t="s">
        <v>1866</v>
      </c>
      <c r="V764" s="1027"/>
      <c r="W764" s="1027"/>
      <c r="X764" s="1027"/>
      <c r="Y764" s="1028"/>
      <c r="Z764" s="1028"/>
      <c r="AA764" s="1028"/>
      <c r="AB764" s="1028"/>
      <c r="AC764" s="1027"/>
      <c r="AD764" s="1027"/>
      <c r="AE764" s="1027"/>
      <c r="AF764" s="1027"/>
      <c r="AG764" s="1392">
        <v>25</v>
      </c>
      <c r="AH764" s="1392"/>
      <c r="AI764" s="1392"/>
      <c r="AJ764" s="139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437" t="str">
        <f>IF(G761&lt;&gt;AG449,"! Total Low-Income Units in the Unit Mix Table above does not match the number of Total Low-Income Units on row #"&amp;TEXT(ROW(D449),"#"),"")</f>
        <v/>
      </c>
      <c r="D765" s="1437"/>
      <c r="E765" s="1437"/>
      <c r="F765" s="1437"/>
      <c r="G765" s="1437"/>
      <c r="H765" s="1437"/>
      <c r="I765" s="1437"/>
      <c r="J765" s="1437"/>
      <c r="K765" s="1437"/>
      <c r="L765" s="1437"/>
      <c r="M765" s="1437"/>
      <c r="N765" s="1437"/>
      <c r="O765" s="1437"/>
      <c r="P765" s="1437"/>
      <c r="Q765" s="1437"/>
      <c r="R765" s="1437"/>
      <c r="S765" s="1437"/>
      <c r="T765" s="1437"/>
      <c r="U765" s="1437"/>
      <c r="V765" s="1437"/>
      <c r="W765" s="1437"/>
      <c r="X765" s="1437"/>
      <c r="Y765" s="1437"/>
      <c r="Z765" s="1437"/>
      <c r="AA765" s="1437"/>
      <c r="AB765" s="1437"/>
      <c r="AC765" s="1437"/>
      <c r="AD765" s="1437"/>
      <c r="AE765" s="1437"/>
      <c r="AF765" s="1437"/>
      <c r="AG765" s="1437"/>
      <c r="AH765" s="1437"/>
      <c r="AI765" s="1437"/>
      <c r="AJ765" s="1437"/>
      <c r="AK765" s="1437"/>
      <c r="AL765" s="1437"/>
      <c r="AM765" s="1437"/>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437"/>
      <c r="D766" s="1437"/>
      <c r="E766" s="1437"/>
      <c r="F766" s="1437"/>
      <c r="G766" s="1437"/>
      <c r="H766" s="1437"/>
      <c r="I766" s="1437"/>
      <c r="J766" s="1437"/>
      <c r="K766" s="1437"/>
      <c r="L766" s="1437"/>
      <c r="M766" s="1437"/>
      <c r="N766" s="1437"/>
      <c r="O766" s="1437"/>
      <c r="P766" s="1437"/>
      <c r="Q766" s="1437"/>
      <c r="R766" s="1437"/>
      <c r="S766" s="1437"/>
      <c r="T766" s="1437"/>
      <c r="U766" s="1437"/>
      <c r="V766" s="1437"/>
      <c r="W766" s="1437"/>
      <c r="X766" s="1437"/>
      <c r="Y766" s="1437"/>
      <c r="Z766" s="1437"/>
      <c r="AA766" s="1437"/>
      <c r="AB766" s="1437"/>
      <c r="AC766" s="1437"/>
      <c r="AD766" s="1437"/>
      <c r="AE766" s="1437"/>
      <c r="AF766" s="1437"/>
      <c r="AG766" s="1437"/>
      <c r="AH766" s="1437"/>
      <c r="AI766" s="1437"/>
      <c r="AJ766" s="1437"/>
      <c r="AK766" s="1437"/>
      <c r="AL766" s="1437"/>
      <c r="AM766" s="1437"/>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0" t="s">
        <v>591</v>
      </c>
      <c r="AE767" s="1660"/>
      <c r="AF767" s="1660"/>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4" t="s">
        <v>2046</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4" t="s">
        <v>2047</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12" t="s">
        <v>389</v>
      </c>
      <c r="K777" s="1413"/>
      <c r="L777" s="1413"/>
      <c r="M777" s="1413"/>
      <c r="N777" s="1414"/>
      <c r="O777" s="1384" t="s">
        <v>285</v>
      </c>
      <c r="P777" s="1384"/>
      <c r="Q777" s="1384"/>
      <c r="R777" s="1384"/>
      <c r="S777" s="1384"/>
      <c r="T777" s="1724" t="s">
        <v>1668</v>
      </c>
      <c r="U777" s="1725"/>
      <c r="V777" s="1725"/>
      <c r="W777" s="1726"/>
      <c r="X777" s="1412" t="s">
        <v>447</v>
      </c>
      <c r="Y777" s="1413"/>
      <c r="Z777" s="1413"/>
      <c r="AA777" s="1413"/>
      <c r="AB777" s="1414"/>
      <c r="AC777" s="1412" t="s">
        <v>286</v>
      </c>
      <c r="AD777" s="1413"/>
      <c r="AE777" s="1413"/>
      <c r="AF777" s="1413"/>
      <c r="AG777" s="1414"/>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15"/>
      <c r="K778" s="1416"/>
      <c r="L778" s="1416"/>
      <c r="M778" s="1416"/>
      <c r="N778" s="1417"/>
      <c r="O778" s="1384"/>
      <c r="P778" s="1384"/>
      <c r="Q778" s="1384"/>
      <c r="R778" s="1384"/>
      <c r="S778" s="1384"/>
      <c r="T778" s="1727"/>
      <c r="U778" s="1728"/>
      <c r="V778" s="1728"/>
      <c r="W778" s="1729"/>
      <c r="X778" s="1415"/>
      <c r="Y778" s="1416"/>
      <c r="Z778" s="1416"/>
      <c r="AA778" s="1416"/>
      <c r="AB778" s="1417"/>
      <c r="AC778" s="1415"/>
      <c r="AD778" s="1416"/>
      <c r="AE778" s="1416"/>
      <c r="AF778" s="1416"/>
      <c r="AG778" s="1417"/>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15"/>
      <c r="K779" s="1416"/>
      <c r="L779" s="1416"/>
      <c r="M779" s="1416"/>
      <c r="N779" s="1417"/>
      <c r="O779" s="1384"/>
      <c r="P779" s="1384"/>
      <c r="Q779" s="1384"/>
      <c r="R779" s="1384"/>
      <c r="S779" s="1384"/>
      <c r="T779" s="1727"/>
      <c r="U779" s="1728"/>
      <c r="V779" s="1728"/>
      <c r="W779" s="1729"/>
      <c r="X779" s="1415"/>
      <c r="Y779" s="1416"/>
      <c r="Z779" s="1416"/>
      <c r="AA779" s="1416"/>
      <c r="AB779" s="1417"/>
      <c r="AC779" s="1415"/>
      <c r="AD779" s="1416"/>
      <c r="AE779" s="1416"/>
      <c r="AF779" s="1416"/>
      <c r="AG779" s="1417"/>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18"/>
      <c r="K780" s="1419"/>
      <c r="L780" s="1419"/>
      <c r="M780" s="1419"/>
      <c r="N780" s="1420"/>
      <c r="O780" s="1384"/>
      <c r="P780" s="1384"/>
      <c r="Q780" s="1384"/>
      <c r="R780" s="1384"/>
      <c r="S780" s="1384"/>
      <c r="T780" s="1744"/>
      <c r="U780" s="1745"/>
      <c r="V780" s="1745"/>
      <c r="W780" s="1746"/>
      <c r="X780" s="1418"/>
      <c r="Y780" s="1419"/>
      <c r="Z780" s="1419"/>
      <c r="AA780" s="1419"/>
      <c r="AB780" s="1420"/>
      <c r="AC780" s="1418"/>
      <c r="AD780" s="1419"/>
      <c r="AE780" s="1419"/>
      <c r="AF780" s="1419"/>
      <c r="AG780" s="1420"/>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0" t="s">
        <v>325</v>
      </c>
      <c r="K781" s="1361"/>
      <c r="L781" s="1361"/>
      <c r="M781" s="1361"/>
      <c r="N781" s="1362"/>
      <c r="O781" s="1385">
        <v>1</v>
      </c>
      <c r="P781" s="1385"/>
      <c r="Q781" s="1385"/>
      <c r="R781" s="1385"/>
      <c r="S781" s="1385"/>
      <c r="T781" s="1357">
        <v>665</v>
      </c>
      <c r="U781" s="1358"/>
      <c r="V781" s="1358"/>
      <c r="W781" s="1359"/>
      <c r="X781" s="1393">
        <v>0</v>
      </c>
      <c r="Y781" s="1394"/>
      <c r="Z781" s="1394"/>
      <c r="AA781" s="1394"/>
      <c r="AB781" s="1395"/>
      <c r="AC781" s="1441">
        <f>X781*O781</f>
        <v>0</v>
      </c>
      <c r="AD781" s="1442"/>
      <c r="AE781" s="1442"/>
      <c r="AF781" s="1442"/>
      <c r="AG781" s="14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4">
        <f>IF(J781="SRO/Studio",O781,0)</f>
        <v>0</v>
      </c>
      <c r="CQ781" s="1545"/>
      <c r="CR781" s="1545"/>
      <c r="CS781" s="1545"/>
      <c r="CT781" s="1546"/>
      <c r="CU781" s="1547">
        <f>IF(J781="1 Bedroom",O781,0)</f>
        <v>1</v>
      </c>
      <c r="CV781" s="1547"/>
      <c r="CW781" s="1547"/>
      <c r="CX781" s="1547"/>
      <c r="CY781" s="1547"/>
      <c r="CZ781" s="1547">
        <f>IF(J781="2 Bedrooms",O781,0)</f>
        <v>0</v>
      </c>
      <c r="DA781" s="1547"/>
      <c r="DB781" s="1547"/>
      <c r="DC781" s="1547"/>
      <c r="DD781" s="1547"/>
      <c r="DE781" s="1547">
        <f>IF(J781="3 Bedrooms",O781,0)</f>
        <v>0</v>
      </c>
      <c r="DF781" s="1547"/>
      <c r="DG781" s="1547"/>
      <c r="DH781" s="1547"/>
      <c r="DI781" s="1547"/>
      <c r="DJ781" s="1547">
        <f>IF(J781="4 Bedrooms",O781,0)</f>
        <v>0</v>
      </c>
      <c r="DK781" s="1547"/>
      <c r="DL781" s="1547"/>
      <c r="DM781" s="1547"/>
      <c r="DN781" s="1547"/>
      <c r="DO781" s="1547">
        <f>IF(J781="5 Bedrooms",O781,0)</f>
        <v>0</v>
      </c>
      <c r="DP781" s="1547"/>
      <c r="DQ781" s="1547"/>
      <c r="DR781" s="1547"/>
      <c r="DS781" s="1547"/>
      <c r="DT781" s="6"/>
      <c r="DU781" s="3"/>
      <c r="DV781" s="3"/>
    </row>
    <row r="782" spans="1:159" ht="12.95" customHeight="1">
      <c r="J782" s="1360"/>
      <c r="K782" s="1361"/>
      <c r="L782" s="1361"/>
      <c r="M782" s="1361"/>
      <c r="N782" s="1362"/>
      <c r="O782" s="1385"/>
      <c r="P782" s="1385"/>
      <c r="Q782" s="1385"/>
      <c r="R782" s="1385"/>
      <c r="S782" s="1385"/>
      <c r="T782" s="1357"/>
      <c r="U782" s="1358"/>
      <c r="V782" s="1358"/>
      <c r="W782" s="1359"/>
      <c r="X782" s="1393"/>
      <c r="Y782" s="1394"/>
      <c r="Z782" s="1394"/>
      <c r="AA782" s="1394"/>
      <c r="AB782" s="1395"/>
      <c r="AC782" s="1441">
        <f>X782*O782</f>
        <v>0</v>
      </c>
      <c r="AD782" s="1442"/>
      <c r="AE782" s="1442"/>
      <c r="AF782" s="1442"/>
      <c r="AG782" s="14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4">
        <f>IF(J782="SRO/Studio",O782,0)</f>
        <v>0</v>
      </c>
      <c r="CQ782" s="1545"/>
      <c r="CR782" s="1545"/>
      <c r="CS782" s="1545"/>
      <c r="CT782" s="1546"/>
      <c r="CU782" s="1547">
        <f>IF(J782="1 Bedroom",O782,0)</f>
        <v>0</v>
      </c>
      <c r="CV782" s="1547"/>
      <c r="CW782" s="1547"/>
      <c r="CX782" s="1547"/>
      <c r="CY782" s="1547"/>
      <c r="CZ782" s="1547">
        <f>IF(J782="2 Bedrooms",O782,0)</f>
        <v>0</v>
      </c>
      <c r="DA782" s="1547"/>
      <c r="DB782" s="1547"/>
      <c r="DC782" s="1547"/>
      <c r="DD782" s="1547"/>
      <c r="DE782" s="1547">
        <f>IF(J782="3 Bedrooms",O782,0)</f>
        <v>0</v>
      </c>
      <c r="DF782" s="1547"/>
      <c r="DG782" s="1547"/>
      <c r="DH782" s="1547"/>
      <c r="DI782" s="1547"/>
      <c r="DJ782" s="1547">
        <f>IF(J782="4 Bedrooms",O782,0)</f>
        <v>0</v>
      </c>
      <c r="DK782" s="1547"/>
      <c r="DL782" s="1547"/>
      <c r="DM782" s="1547"/>
      <c r="DN782" s="1547"/>
      <c r="DO782" s="1547">
        <f>IF(J782="5 Bedrooms",O782,0)</f>
        <v>0</v>
      </c>
      <c r="DP782" s="1547"/>
      <c r="DQ782" s="1547"/>
      <c r="DR782" s="1547"/>
      <c r="DS782" s="1547"/>
      <c r="DT782" s="6"/>
      <c r="DU782" s="3"/>
      <c r="DV782" s="3"/>
    </row>
    <row r="783" spans="1:159" ht="12.95" customHeight="1">
      <c r="J783" s="1360"/>
      <c r="K783" s="1361"/>
      <c r="L783" s="1361"/>
      <c r="M783" s="1361"/>
      <c r="N783" s="1362"/>
      <c r="O783" s="1385"/>
      <c r="P783" s="1385"/>
      <c r="Q783" s="1385"/>
      <c r="R783" s="1385"/>
      <c r="S783" s="1385"/>
      <c r="T783" s="1357"/>
      <c r="U783" s="1358"/>
      <c r="V783" s="1358"/>
      <c r="W783" s="1359"/>
      <c r="X783" s="1393"/>
      <c r="Y783" s="1394"/>
      <c r="Z783" s="1394"/>
      <c r="AA783" s="1394"/>
      <c r="AB783" s="1395"/>
      <c r="AC783" s="1441">
        <f>X783*O783</f>
        <v>0</v>
      </c>
      <c r="AD783" s="1442"/>
      <c r="AE783" s="1442"/>
      <c r="AF783" s="1442"/>
      <c r="AG783" s="14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4">
        <f>IF(J783="SRO/Studio",O783,0)</f>
        <v>0</v>
      </c>
      <c r="CQ783" s="1545"/>
      <c r="CR783" s="1545"/>
      <c r="CS783" s="1545"/>
      <c r="CT783" s="1546"/>
      <c r="CU783" s="1547">
        <f>IF(J783="1 Bedroom",O783,0)</f>
        <v>0</v>
      </c>
      <c r="CV783" s="1547"/>
      <c r="CW783" s="1547"/>
      <c r="CX783" s="1547"/>
      <c r="CY783" s="1547"/>
      <c r="CZ783" s="1547">
        <f>IF(J783="2 Bedrooms",O783,0)</f>
        <v>0</v>
      </c>
      <c r="DA783" s="1547"/>
      <c r="DB783" s="1547"/>
      <c r="DC783" s="1547"/>
      <c r="DD783" s="1547"/>
      <c r="DE783" s="1547">
        <f>IF(J783="3 Bedrooms",O783,0)</f>
        <v>0</v>
      </c>
      <c r="DF783" s="1547"/>
      <c r="DG783" s="1547"/>
      <c r="DH783" s="1547"/>
      <c r="DI783" s="1547"/>
      <c r="DJ783" s="1547">
        <f>IF(J783="4 Bedrooms",O783,0)</f>
        <v>0</v>
      </c>
      <c r="DK783" s="1547"/>
      <c r="DL783" s="1547"/>
      <c r="DM783" s="1547"/>
      <c r="DN783" s="1547"/>
      <c r="DO783" s="1547">
        <f>IF(J783="5 Bedrooms",O783,0)</f>
        <v>0</v>
      </c>
      <c r="DP783" s="1547"/>
      <c r="DQ783" s="1547"/>
      <c r="DR783" s="1547"/>
      <c r="DS783" s="1547"/>
      <c r="DT783" s="1007"/>
    </row>
    <row r="784" spans="1:159" ht="12.95" customHeight="1">
      <c r="J784" s="1360"/>
      <c r="K784" s="1361"/>
      <c r="L784" s="1361"/>
      <c r="M784" s="1361"/>
      <c r="N784" s="1362"/>
      <c r="O784" s="1385"/>
      <c r="P784" s="1385"/>
      <c r="Q784" s="1385"/>
      <c r="R784" s="1385"/>
      <c r="S784" s="1385"/>
      <c r="T784" s="1357"/>
      <c r="U784" s="1358"/>
      <c r="V784" s="1358"/>
      <c r="W784" s="1359"/>
      <c r="X784" s="1393"/>
      <c r="Y784" s="1394"/>
      <c r="Z784" s="1394"/>
      <c r="AA784" s="1394"/>
      <c r="AB784" s="1395"/>
      <c r="AC784" s="1441">
        <f>X784*O784</f>
        <v>0</v>
      </c>
      <c r="AD784" s="1442"/>
      <c r="AE784" s="1442"/>
      <c r="AF784" s="1442"/>
      <c r="AG784" s="14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4">
        <f>IF(J784="SRO/Studio",O784,0)</f>
        <v>0</v>
      </c>
      <c r="CQ784" s="1545"/>
      <c r="CR784" s="1545"/>
      <c r="CS784" s="1545"/>
      <c r="CT784" s="1546"/>
      <c r="CU784" s="1547">
        <f>IF(J784="1 Bedroom",O784,0)</f>
        <v>0</v>
      </c>
      <c r="CV784" s="1547"/>
      <c r="CW784" s="1547"/>
      <c r="CX784" s="1547"/>
      <c r="CY784" s="1547"/>
      <c r="CZ784" s="1547">
        <f>IF(J784="2 Bedrooms",O784,0)</f>
        <v>0</v>
      </c>
      <c r="DA784" s="1547"/>
      <c r="DB784" s="1547"/>
      <c r="DC784" s="1547"/>
      <c r="DD784" s="1547"/>
      <c r="DE784" s="1547">
        <f>IF(J784="3 Bedrooms",O784,0)</f>
        <v>0</v>
      </c>
      <c r="DF784" s="1547"/>
      <c r="DG784" s="1547"/>
      <c r="DH784" s="1547"/>
      <c r="DI784" s="1547"/>
      <c r="DJ784" s="1547">
        <f>IF(J784="4 Bedrooms",O784,0)</f>
        <v>0</v>
      </c>
      <c r="DK784" s="1547"/>
      <c r="DL784" s="1547"/>
      <c r="DM784" s="1547"/>
      <c r="DN784" s="1547"/>
      <c r="DO784" s="1547">
        <f>IF(J784="5 Bedrooms",O784,0)</f>
        <v>0</v>
      </c>
      <c r="DP784" s="1547"/>
      <c r="DQ784" s="1547"/>
      <c r="DR784" s="1547"/>
      <c r="DS784" s="1547"/>
    </row>
    <row r="785" spans="1:154" ht="12.95" customHeight="1">
      <c r="J785" s="1537" t="s">
        <v>125</v>
      </c>
      <c r="K785" s="1538"/>
      <c r="L785" s="1538"/>
      <c r="M785" s="1538"/>
      <c r="N785" s="1539"/>
      <c r="O785" s="1551">
        <f>SUM(O781:S784)</f>
        <v>1</v>
      </c>
      <c r="P785" s="1556"/>
      <c r="Q785" s="1556"/>
      <c r="R785" s="1556"/>
      <c r="S785" s="1552"/>
      <c r="X785" s="1537" t="s">
        <v>124</v>
      </c>
      <c r="Y785" s="1538"/>
      <c r="Z785" s="1538"/>
      <c r="AA785" s="1538"/>
      <c r="AB785" s="1539"/>
      <c r="AC785" s="1441">
        <f>SUM(AC781:AG784)</f>
        <v>0</v>
      </c>
      <c r="AD785" s="1442"/>
      <c r="AE785" s="1442"/>
      <c r="AF785" s="1442"/>
      <c r="AG785" s="14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1">
        <f>SUM(CP781:CT784)</f>
        <v>0</v>
      </c>
      <c r="CQ785" s="1556"/>
      <c r="CR785" s="1556"/>
      <c r="CS785" s="1556"/>
      <c r="CT785" s="1552"/>
      <c r="CU785" s="1557">
        <f>SUM(CU781:CY784)</f>
        <v>1</v>
      </c>
      <c r="CV785" s="1558"/>
      <c r="CW785" s="1558"/>
      <c r="CX785" s="1558"/>
      <c r="CY785" s="1559"/>
      <c r="CZ785" s="1557">
        <f>SUM(CZ781:DD784)</f>
        <v>0</v>
      </c>
      <c r="DA785" s="1558"/>
      <c r="DB785" s="1558"/>
      <c r="DC785" s="1558"/>
      <c r="DD785" s="1559"/>
      <c r="DE785" s="1557">
        <f>SUM(DE781:DI784)</f>
        <v>0</v>
      </c>
      <c r="DF785" s="1558"/>
      <c r="DG785" s="1558"/>
      <c r="DH785" s="1558"/>
      <c r="DI785" s="1559"/>
      <c r="DJ785" s="1557">
        <f>SUM(DJ781:DN784)</f>
        <v>0</v>
      </c>
      <c r="DK785" s="1558"/>
      <c r="DL785" s="1558"/>
      <c r="DM785" s="1558"/>
      <c r="DN785" s="1559"/>
      <c r="DO785" s="1557">
        <f>SUM(DO781:DS784)</f>
        <v>0</v>
      </c>
      <c r="DP785" s="1558"/>
      <c r="DQ785" s="1558"/>
      <c r="DR785" s="1558"/>
      <c r="DS785" s="1559"/>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1836</v>
      </c>
    </row>
    <row r="787" spans="1:154" ht="12.95" customHeight="1">
      <c r="B787" s="56"/>
      <c r="C787" s="56"/>
      <c r="D787" s="56"/>
      <c r="E787" s="56"/>
      <c r="F787" s="56"/>
      <c r="G787" s="6"/>
      <c r="H787" s="6"/>
      <c r="I787" s="6"/>
      <c r="J787" s="1455" t="s">
        <v>669</v>
      </c>
      <c r="K787" s="1455"/>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12" t="s">
        <v>389</v>
      </c>
      <c r="K791" s="1413"/>
      <c r="L791" s="1413"/>
      <c r="M791" s="1413"/>
      <c r="N791" s="1414"/>
      <c r="O791" s="1384" t="s">
        <v>285</v>
      </c>
      <c r="P791" s="1384"/>
      <c r="Q791" s="1384"/>
      <c r="R791" s="1384"/>
      <c r="S791" s="1384"/>
      <c r="T791" s="1724" t="s">
        <v>1668</v>
      </c>
      <c r="U791" s="1725"/>
      <c r="V791" s="1725"/>
      <c r="W791" s="1726"/>
      <c r="X791" s="1412" t="s">
        <v>447</v>
      </c>
      <c r="Y791" s="1413"/>
      <c r="Z791" s="1413"/>
      <c r="AA791" s="1413"/>
      <c r="AB791" s="1414"/>
      <c r="AC791" s="1412" t="s">
        <v>286</v>
      </c>
      <c r="AD791" s="1413"/>
      <c r="AE791" s="1413"/>
      <c r="AF791" s="1413"/>
      <c r="AG791" s="141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15"/>
      <c r="K792" s="1416"/>
      <c r="L792" s="1416"/>
      <c r="M792" s="1416"/>
      <c r="N792" s="1417"/>
      <c r="O792" s="1384"/>
      <c r="P792" s="1384"/>
      <c r="Q792" s="1384"/>
      <c r="R792" s="1384"/>
      <c r="S792" s="1384"/>
      <c r="T792" s="1727"/>
      <c r="U792" s="1728"/>
      <c r="V792" s="1728"/>
      <c r="W792" s="1729"/>
      <c r="X792" s="1415"/>
      <c r="Y792" s="1416"/>
      <c r="Z792" s="1416"/>
      <c r="AA792" s="1416"/>
      <c r="AB792" s="1417"/>
      <c r="AC792" s="1415"/>
      <c r="AD792" s="1416"/>
      <c r="AE792" s="1416"/>
      <c r="AF792" s="1416"/>
      <c r="AG792" s="141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15"/>
      <c r="K793" s="1416"/>
      <c r="L793" s="1416"/>
      <c r="M793" s="1416"/>
      <c r="N793" s="1417"/>
      <c r="O793" s="1384"/>
      <c r="P793" s="1384"/>
      <c r="Q793" s="1384"/>
      <c r="R793" s="1384"/>
      <c r="S793" s="1384"/>
      <c r="T793" s="1727"/>
      <c r="U793" s="1728"/>
      <c r="V793" s="1728"/>
      <c r="W793" s="1729"/>
      <c r="X793" s="1415"/>
      <c r="Y793" s="1416"/>
      <c r="Z793" s="1416"/>
      <c r="AA793" s="1416"/>
      <c r="AB793" s="1417"/>
      <c r="AC793" s="1415"/>
      <c r="AD793" s="1416"/>
      <c r="AE793" s="1416"/>
      <c r="AF793" s="1416"/>
      <c r="AG793" s="141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18"/>
      <c r="K794" s="1419"/>
      <c r="L794" s="1419"/>
      <c r="M794" s="1419"/>
      <c r="N794" s="1420"/>
      <c r="O794" s="1384"/>
      <c r="P794" s="1384"/>
      <c r="Q794" s="1384"/>
      <c r="R794" s="1384"/>
      <c r="S794" s="1384"/>
      <c r="T794" s="1744"/>
      <c r="U794" s="1745"/>
      <c r="V794" s="1745"/>
      <c r="W794" s="1746"/>
      <c r="X794" s="1418"/>
      <c r="Y794" s="1419"/>
      <c r="Z794" s="1419"/>
      <c r="AA794" s="1419"/>
      <c r="AB794" s="1420"/>
      <c r="AC794" s="1418"/>
      <c r="AD794" s="1419"/>
      <c r="AE794" s="1419"/>
      <c r="AF794" s="1419"/>
      <c r="AG794" s="142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0"/>
      <c r="K795" s="1361"/>
      <c r="L795" s="1361"/>
      <c r="M795" s="1361"/>
      <c r="N795" s="1362"/>
      <c r="O795" s="1385"/>
      <c r="P795" s="1385"/>
      <c r="Q795" s="1385"/>
      <c r="R795" s="1385"/>
      <c r="S795" s="1385"/>
      <c r="T795" s="1357"/>
      <c r="U795" s="1358"/>
      <c r="V795" s="1358"/>
      <c r="W795" s="1359"/>
      <c r="X795" s="1393"/>
      <c r="Y795" s="1394"/>
      <c r="Z795" s="1394"/>
      <c r="AA795" s="1394"/>
      <c r="AB795" s="1395"/>
      <c r="AC795" s="1441">
        <f t="shared" ref="AC795:AC804" si="42">X795*O795</f>
        <v>0</v>
      </c>
      <c r="AD795" s="1442"/>
      <c r="AE795" s="1442"/>
      <c r="AF795" s="1442"/>
      <c r="AG795" s="14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4">
        <f t="shared" ref="CP795:CP804" si="43">IF(J795="SRO/Studio",O795,0)</f>
        <v>0</v>
      </c>
      <c r="CQ795" s="1545"/>
      <c r="CR795" s="1545"/>
      <c r="CS795" s="1545"/>
      <c r="CT795" s="1546"/>
      <c r="CU795" s="1544">
        <f t="shared" ref="CU795:CU804" si="44">IF(J795="1 Bedroom",O795,0)</f>
        <v>0</v>
      </c>
      <c r="CV795" s="1545"/>
      <c r="CW795" s="1545"/>
      <c r="CX795" s="1545"/>
      <c r="CY795" s="1546"/>
      <c r="CZ795" s="1544">
        <f t="shared" ref="CZ795:CZ804" si="45">IF(J795="2 Bedrooms",O795,0)</f>
        <v>0</v>
      </c>
      <c r="DA795" s="1545"/>
      <c r="DB795" s="1545"/>
      <c r="DC795" s="1545"/>
      <c r="DD795" s="1546"/>
      <c r="DE795" s="1544">
        <f t="shared" ref="DE795:DE804" si="46">IF(J795="3 Bedrooms",O795,0)</f>
        <v>0</v>
      </c>
      <c r="DF795" s="1545"/>
      <c r="DG795" s="1545"/>
      <c r="DH795" s="1545"/>
      <c r="DI795" s="1546"/>
      <c r="DJ795" s="1544">
        <f t="shared" ref="DJ795:DJ804" si="47">IF(J795="4 Bedrooms",O795,0)</f>
        <v>0</v>
      </c>
      <c r="DK795" s="1545"/>
      <c r="DL795" s="1545"/>
      <c r="DM795" s="1545"/>
      <c r="DN795" s="1546"/>
      <c r="DO795" s="1544">
        <f t="shared" ref="DO795:DO804" si="48">IF(J795="5 Bedrooms",O795,0)</f>
        <v>0</v>
      </c>
      <c r="DP795" s="1545"/>
      <c r="DQ795" s="1545"/>
      <c r="DR795" s="1545"/>
      <c r="DS795" s="1546"/>
      <c r="DT795" s="6"/>
      <c r="DU795" s="1544">
        <f t="shared" ref="DU795:DU804" si="49">IF(AND(CP795&gt;=1,AH795&gt;=0.1,AH795&lt;=1),O795,0)</f>
        <v>0</v>
      </c>
      <c r="DV795" s="1545"/>
      <c r="DW795" s="1545"/>
      <c r="DX795" s="1545"/>
      <c r="DY795" s="1546"/>
      <c r="DZ795" s="1544">
        <f t="shared" ref="DZ795:DZ804" si="50">IF(AND(CU795&gt;=1,AH795&gt;=0.1,AH795&lt;=1),O795,0)</f>
        <v>0</v>
      </c>
      <c r="EA795" s="1545"/>
      <c r="EB795" s="1545"/>
      <c r="EC795" s="1545"/>
      <c r="ED795" s="1546"/>
      <c r="EE795" s="1544">
        <f t="shared" ref="EE795:EE804" si="51">IF(AND(CZ795&gt;=1,AH795&gt;=0.1,AH795&lt;=1),O795,0)</f>
        <v>0</v>
      </c>
      <c r="EF795" s="1545"/>
      <c r="EG795" s="1545"/>
      <c r="EH795" s="1545"/>
      <c r="EI795" s="1546"/>
      <c r="EJ795" s="1544">
        <f t="shared" ref="EJ795:EJ804" si="52">IF(AND(DE795&gt;=1,AH795&gt;=0.1,AH795&lt;=1),O795,0)</f>
        <v>0</v>
      </c>
      <c r="EK795" s="1545"/>
      <c r="EL795" s="1545"/>
      <c r="EM795" s="1545"/>
      <c r="EN795" s="1546"/>
      <c r="EO795" s="1544">
        <f t="shared" ref="EO795:EO804" si="53">IF(AND(DJ795&gt;=1,AH795&gt;=0.1,AH795&lt;=1),O795,0)</f>
        <v>0</v>
      </c>
      <c r="EP795" s="1545"/>
      <c r="EQ795" s="1545"/>
      <c r="ER795" s="1545"/>
      <c r="ES795" s="1546"/>
      <c r="ET795" s="1544">
        <f t="shared" ref="ET795:ET804" si="54">IF(AND(DO795&gt;=1,AH795&gt;=0.1,AH795&lt;=1),O795,0)</f>
        <v>0</v>
      </c>
      <c r="EU795" s="1545"/>
      <c r="EV795" s="1545"/>
      <c r="EW795" s="1545"/>
      <c r="EX795" s="1546"/>
    </row>
    <row r="796" spans="1:154" s="14" customFormat="1" ht="12.95" customHeight="1">
      <c r="A796"/>
      <c r="B796"/>
      <c r="C796"/>
      <c r="D796"/>
      <c r="E796"/>
      <c r="F796"/>
      <c r="G796"/>
      <c r="H796"/>
      <c r="I796"/>
      <c r="J796" s="1360"/>
      <c r="K796" s="1361"/>
      <c r="L796" s="1361"/>
      <c r="M796" s="1361"/>
      <c r="N796" s="1362"/>
      <c r="O796" s="1385"/>
      <c r="P796" s="1385"/>
      <c r="Q796" s="1385"/>
      <c r="R796" s="1385"/>
      <c r="S796" s="1385"/>
      <c r="T796" s="1357"/>
      <c r="U796" s="1358"/>
      <c r="V796" s="1358"/>
      <c r="W796" s="1359"/>
      <c r="X796" s="1393"/>
      <c r="Y796" s="1394"/>
      <c r="Z796" s="1394"/>
      <c r="AA796" s="1394"/>
      <c r="AB796" s="1395"/>
      <c r="AC796" s="1441">
        <f t="shared" si="42"/>
        <v>0</v>
      </c>
      <c r="AD796" s="1442"/>
      <c r="AE796" s="1442"/>
      <c r="AF796" s="1442"/>
      <c r="AG796" s="14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4">
        <f t="shared" si="43"/>
        <v>0</v>
      </c>
      <c r="CQ796" s="1545"/>
      <c r="CR796" s="1545"/>
      <c r="CS796" s="1545"/>
      <c r="CT796" s="1546"/>
      <c r="CU796" s="1544">
        <f t="shared" si="44"/>
        <v>0</v>
      </c>
      <c r="CV796" s="1545"/>
      <c r="CW796" s="1545"/>
      <c r="CX796" s="1545"/>
      <c r="CY796" s="1546"/>
      <c r="CZ796" s="1544">
        <f t="shared" si="45"/>
        <v>0</v>
      </c>
      <c r="DA796" s="1545"/>
      <c r="DB796" s="1545"/>
      <c r="DC796" s="1545"/>
      <c r="DD796" s="1546"/>
      <c r="DE796" s="1544">
        <f t="shared" si="46"/>
        <v>0</v>
      </c>
      <c r="DF796" s="1545"/>
      <c r="DG796" s="1545"/>
      <c r="DH796" s="1545"/>
      <c r="DI796" s="1546"/>
      <c r="DJ796" s="1544">
        <f t="shared" si="47"/>
        <v>0</v>
      </c>
      <c r="DK796" s="1545"/>
      <c r="DL796" s="1545"/>
      <c r="DM796" s="1545"/>
      <c r="DN796" s="1546"/>
      <c r="DO796" s="1544">
        <f t="shared" si="48"/>
        <v>0</v>
      </c>
      <c r="DP796" s="1545"/>
      <c r="DQ796" s="1545"/>
      <c r="DR796" s="1545"/>
      <c r="DS796" s="1546"/>
      <c r="DT796" s="6"/>
      <c r="DU796" s="1544">
        <f t="shared" si="49"/>
        <v>0</v>
      </c>
      <c r="DV796" s="1545"/>
      <c r="DW796" s="1545"/>
      <c r="DX796" s="1545"/>
      <c r="DY796" s="1546"/>
      <c r="DZ796" s="1544">
        <f t="shared" si="50"/>
        <v>0</v>
      </c>
      <c r="EA796" s="1545"/>
      <c r="EB796" s="1545"/>
      <c r="EC796" s="1545"/>
      <c r="ED796" s="1546"/>
      <c r="EE796" s="1544">
        <f t="shared" si="51"/>
        <v>0</v>
      </c>
      <c r="EF796" s="1545"/>
      <c r="EG796" s="1545"/>
      <c r="EH796" s="1545"/>
      <c r="EI796" s="1546"/>
      <c r="EJ796" s="1544">
        <f t="shared" si="52"/>
        <v>0</v>
      </c>
      <c r="EK796" s="1545"/>
      <c r="EL796" s="1545"/>
      <c r="EM796" s="1545"/>
      <c r="EN796" s="1546"/>
      <c r="EO796" s="1544">
        <f t="shared" si="53"/>
        <v>0</v>
      </c>
      <c r="EP796" s="1545"/>
      <c r="EQ796" s="1545"/>
      <c r="ER796" s="1545"/>
      <c r="ES796" s="1546"/>
      <c r="ET796" s="1544">
        <f t="shared" si="54"/>
        <v>0</v>
      </c>
      <c r="EU796" s="1545"/>
      <c r="EV796" s="1545"/>
      <c r="EW796" s="1545"/>
      <c r="EX796" s="1546"/>
    </row>
    <row r="797" spans="1:154" s="14" customFormat="1" ht="12.95" customHeight="1">
      <c r="A797"/>
      <c r="B797"/>
      <c r="C797"/>
      <c r="D797"/>
      <c r="E797"/>
      <c r="F797"/>
      <c r="G797"/>
      <c r="H797"/>
      <c r="I797"/>
      <c r="J797" s="1360"/>
      <c r="K797" s="1361"/>
      <c r="L797" s="1361"/>
      <c r="M797" s="1361"/>
      <c r="N797" s="1362"/>
      <c r="O797" s="1385"/>
      <c r="P797" s="1385"/>
      <c r="Q797" s="1385"/>
      <c r="R797" s="1385"/>
      <c r="S797" s="1385"/>
      <c r="T797" s="1357"/>
      <c r="U797" s="1358"/>
      <c r="V797" s="1358"/>
      <c r="W797" s="1359"/>
      <c r="X797" s="1393"/>
      <c r="Y797" s="1394"/>
      <c r="Z797" s="1394"/>
      <c r="AA797" s="1394"/>
      <c r="AB797" s="1395"/>
      <c r="AC797" s="1441">
        <f t="shared" si="42"/>
        <v>0</v>
      </c>
      <c r="AD797" s="1442"/>
      <c r="AE797" s="1442"/>
      <c r="AF797" s="1442"/>
      <c r="AG797" s="14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4">
        <f t="shared" si="43"/>
        <v>0</v>
      </c>
      <c r="CQ797" s="1545"/>
      <c r="CR797" s="1545"/>
      <c r="CS797" s="1545"/>
      <c r="CT797" s="1546"/>
      <c r="CU797" s="1544">
        <f t="shared" si="44"/>
        <v>0</v>
      </c>
      <c r="CV797" s="1545"/>
      <c r="CW797" s="1545"/>
      <c r="CX797" s="1545"/>
      <c r="CY797" s="1546"/>
      <c r="CZ797" s="1544">
        <f t="shared" si="45"/>
        <v>0</v>
      </c>
      <c r="DA797" s="1545"/>
      <c r="DB797" s="1545"/>
      <c r="DC797" s="1545"/>
      <c r="DD797" s="1546"/>
      <c r="DE797" s="1544">
        <f t="shared" si="46"/>
        <v>0</v>
      </c>
      <c r="DF797" s="1545"/>
      <c r="DG797" s="1545"/>
      <c r="DH797" s="1545"/>
      <c r="DI797" s="1546"/>
      <c r="DJ797" s="1544">
        <f t="shared" si="47"/>
        <v>0</v>
      </c>
      <c r="DK797" s="1545"/>
      <c r="DL797" s="1545"/>
      <c r="DM797" s="1545"/>
      <c r="DN797" s="1546"/>
      <c r="DO797" s="1544">
        <f t="shared" si="48"/>
        <v>0</v>
      </c>
      <c r="DP797" s="1545"/>
      <c r="DQ797" s="1545"/>
      <c r="DR797" s="1545"/>
      <c r="DS797" s="1546"/>
      <c r="DT797" s="6"/>
      <c r="DU797" s="1544">
        <f t="shared" si="49"/>
        <v>0</v>
      </c>
      <c r="DV797" s="1545"/>
      <c r="DW797" s="1545"/>
      <c r="DX797" s="1545"/>
      <c r="DY797" s="1546"/>
      <c r="DZ797" s="1544">
        <f t="shared" si="50"/>
        <v>0</v>
      </c>
      <c r="EA797" s="1545"/>
      <c r="EB797" s="1545"/>
      <c r="EC797" s="1545"/>
      <c r="ED797" s="1546"/>
      <c r="EE797" s="1544">
        <f t="shared" si="51"/>
        <v>0</v>
      </c>
      <c r="EF797" s="1545"/>
      <c r="EG797" s="1545"/>
      <c r="EH797" s="1545"/>
      <c r="EI797" s="1546"/>
      <c r="EJ797" s="1544">
        <f t="shared" si="52"/>
        <v>0</v>
      </c>
      <c r="EK797" s="1545"/>
      <c r="EL797" s="1545"/>
      <c r="EM797" s="1545"/>
      <c r="EN797" s="1546"/>
      <c r="EO797" s="1544">
        <f t="shared" si="53"/>
        <v>0</v>
      </c>
      <c r="EP797" s="1545"/>
      <c r="EQ797" s="1545"/>
      <c r="ER797" s="1545"/>
      <c r="ES797" s="1546"/>
      <c r="ET797" s="1544">
        <f t="shared" si="54"/>
        <v>0</v>
      </c>
      <c r="EU797" s="1545"/>
      <c r="EV797" s="1545"/>
      <c r="EW797" s="1545"/>
      <c r="EX797" s="1546"/>
    </row>
    <row r="798" spans="1:154" s="14" customFormat="1" ht="12.95" customHeight="1">
      <c r="A798"/>
      <c r="B798"/>
      <c r="C798"/>
      <c r="D798"/>
      <c r="E798"/>
      <c r="F798"/>
      <c r="G798"/>
      <c r="H798"/>
      <c r="I798"/>
      <c r="J798" s="1360"/>
      <c r="K798" s="1361"/>
      <c r="L798" s="1361"/>
      <c r="M798" s="1361"/>
      <c r="N798" s="1362"/>
      <c r="O798" s="1385"/>
      <c r="P798" s="1385"/>
      <c r="Q798" s="1385"/>
      <c r="R798" s="1385"/>
      <c r="S798" s="1385"/>
      <c r="T798" s="1357"/>
      <c r="U798" s="1358"/>
      <c r="V798" s="1358"/>
      <c r="W798" s="1359"/>
      <c r="X798" s="1393"/>
      <c r="Y798" s="1394"/>
      <c r="Z798" s="1394"/>
      <c r="AA798" s="1394"/>
      <c r="AB798" s="1395"/>
      <c r="AC798" s="1441">
        <f t="shared" si="42"/>
        <v>0</v>
      </c>
      <c r="AD798" s="1442"/>
      <c r="AE798" s="1442"/>
      <c r="AF798" s="1442"/>
      <c r="AG798" s="14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4">
        <f t="shared" si="43"/>
        <v>0</v>
      </c>
      <c r="CQ798" s="1545"/>
      <c r="CR798" s="1545"/>
      <c r="CS798" s="1545"/>
      <c r="CT798" s="1546"/>
      <c r="CU798" s="1544">
        <f t="shared" si="44"/>
        <v>0</v>
      </c>
      <c r="CV798" s="1545"/>
      <c r="CW798" s="1545"/>
      <c r="CX798" s="1545"/>
      <c r="CY798" s="1546"/>
      <c r="CZ798" s="1544">
        <f t="shared" si="45"/>
        <v>0</v>
      </c>
      <c r="DA798" s="1545"/>
      <c r="DB798" s="1545"/>
      <c r="DC798" s="1545"/>
      <c r="DD798" s="1546"/>
      <c r="DE798" s="1544">
        <f t="shared" si="46"/>
        <v>0</v>
      </c>
      <c r="DF798" s="1545"/>
      <c r="DG798" s="1545"/>
      <c r="DH798" s="1545"/>
      <c r="DI798" s="1546"/>
      <c r="DJ798" s="1544">
        <f t="shared" si="47"/>
        <v>0</v>
      </c>
      <c r="DK798" s="1545"/>
      <c r="DL798" s="1545"/>
      <c r="DM798" s="1545"/>
      <c r="DN798" s="1546"/>
      <c r="DO798" s="1544">
        <f t="shared" si="48"/>
        <v>0</v>
      </c>
      <c r="DP798" s="1545"/>
      <c r="DQ798" s="1545"/>
      <c r="DR798" s="1545"/>
      <c r="DS798" s="1546"/>
      <c r="DT798" s="6"/>
      <c r="DU798" s="1544">
        <f t="shared" si="49"/>
        <v>0</v>
      </c>
      <c r="DV798" s="1545"/>
      <c r="DW798" s="1545"/>
      <c r="DX798" s="1545"/>
      <c r="DY798" s="1546"/>
      <c r="DZ798" s="1544">
        <f t="shared" si="50"/>
        <v>0</v>
      </c>
      <c r="EA798" s="1545"/>
      <c r="EB798" s="1545"/>
      <c r="EC798" s="1545"/>
      <c r="ED798" s="1546"/>
      <c r="EE798" s="1544">
        <f t="shared" si="51"/>
        <v>0</v>
      </c>
      <c r="EF798" s="1545"/>
      <c r="EG798" s="1545"/>
      <c r="EH798" s="1545"/>
      <c r="EI798" s="1546"/>
      <c r="EJ798" s="1544">
        <f t="shared" si="52"/>
        <v>0</v>
      </c>
      <c r="EK798" s="1545"/>
      <c r="EL798" s="1545"/>
      <c r="EM798" s="1545"/>
      <c r="EN798" s="1546"/>
      <c r="EO798" s="1544">
        <f t="shared" si="53"/>
        <v>0</v>
      </c>
      <c r="EP798" s="1545"/>
      <c r="EQ798" s="1545"/>
      <c r="ER798" s="1545"/>
      <c r="ES798" s="1546"/>
      <c r="ET798" s="1544">
        <f t="shared" si="54"/>
        <v>0</v>
      </c>
      <c r="EU798" s="1545"/>
      <c r="EV798" s="1545"/>
      <c r="EW798" s="1545"/>
      <c r="EX798" s="1546"/>
    </row>
    <row r="799" spans="1:154" s="14" customFormat="1" ht="12.95" customHeight="1">
      <c r="A799"/>
      <c r="B799"/>
      <c r="C799"/>
      <c r="D799"/>
      <c r="E799"/>
      <c r="F799"/>
      <c r="G799"/>
      <c r="H799"/>
      <c r="I799"/>
      <c r="J799" s="1360"/>
      <c r="K799" s="1361"/>
      <c r="L799" s="1361"/>
      <c r="M799" s="1361"/>
      <c r="N799" s="1362"/>
      <c r="O799" s="1385"/>
      <c r="P799" s="1385"/>
      <c r="Q799" s="1385"/>
      <c r="R799" s="1385"/>
      <c r="S799" s="1385"/>
      <c r="T799" s="1357"/>
      <c r="U799" s="1358"/>
      <c r="V799" s="1358"/>
      <c r="W799" s="1359"/>
      <c r="X799" s="1393"/>
      <c r="Y799" s="1394"/>
      <c r="Z799" s="1394"/>
      <c r="AA799" s="1394"/>
      <c r="AB799" s="1395"/>
      <c r="AC799" s="1441">
        <f t="shared" si="42"/>
        <v>0</v>
      </c>
      <c r="AD799" s="1442"/>
      <c r="AE799" s="1442"/>
      <c r="AF799" s="1442"/>
      <c r="AG799" s="14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4">
        <f t="shared" si="43"/>
        <v>0</v>
      </c>
      <c r="CQ799" s="1545"/>
      <c r="CR799" s="1545"/>
      <c r="CS799" s="1545"/>
      <c r="CT799" s="1546"/>
      <c r="CU799" s="1544">
        <f t="shared" si="44"/>
        <v>0</v>
      </c>
      <c r="CV799" s="1545"/>
      <c r="CW799" s="1545"/>
      <c r="CX799" s="1545"/>
      <c r="CY799" s="1546"/>
      <c r="CZ799" s="1544">
        <f t="shared" si="45"/>
        <v>0</v>
      </c>
      <c r="DA799" s="1545"/>
      <c r="DB799" s="1545"/>
      <c r="DC799" s="1545"/>
      <c r="DD799" s="1546"/>
      <c r="DE799" s="1544">
        <f t="shared" si="46"/>
        <v>0</v>
      </c>
      <c r="DF799" s="1545"/>
      <c r="DG799" s="1545"/>
      <c r="DH799" s="1545"/>
      <c r="DI799" s="1546"/>
      <c r="DJ799" s="1544">
        <f t="shared" si="47"/>
        <v>0</v>
      </c>
      <c r="DK799" s="1545"/>
      <c r="DL799" s="1545"/>
      <c r="DM799" s="1545"/>
      <c r="DN799" s="1546"/>
      <c r="DO799" s="1544">
        <f t="shared" si="48"/>
        <v>0</v>
      </c>
      <c r="DP799" s="1545"/>
      <c r="DQ799" s="1545"/>
      <c r="DR799" s="1545"/>
      <c r="DS799" s="1546"/>
      <c r="DT799" s="6"/>
      <c r="DU799" s="1544">
        <f t="shared" si="49"/>
        <v>0</v>
      </c>
      <c r="DV799" s="1545"/>
      <c r="DW799" s="1545"/>
      <c r="DX799" s="1545"/>
      <c r="DY799" s="1546"/>
      <c r="DZ799" s="1544">
        <f t="shared" si="50"/>
        <v>0</v>
      </c>
      <c r="EA799" s="1545"/>
      <c r="EB799" s="1545"/>
      <c r="EC799" s="1545"/>
      <c r="ED799" s="1546"/>
      <c r="EE799" s="1544">
        <f t="shared" si="51"/>
        <v>0</v>
      </c>
      <c r="EF799" s="1545"/>
      <c r="EG799" s="1545"/>
      <c r="EH799" s="1545"/>
      <c r="EI799" s="1546"/>
      <c r="EJ799" s="1544">
        <f t="shared" si="52"/>
        <v>0</v>
      </c>
      <c r="EK799" s="1545"/>
      <c r="EL799" s="1545"/>
      <c r="EM799" s="1545"/>
      <c r="EN799" s="1546"/>
      <c r="EO799" s="1544">
        <f t="shared" si="53"/>
        <v>0</v>
      </c>
      <c r="EP799" s="1545"/>
      <c r="EQ799" s="1545"/>
      <c r="ER799" s="1545"/>
      <c r="ES799" s="1546"/>
      <c r="ET799" s="1544">
        <f t="shared" si="54"/>
        <v>0</v>
      </c>
      <c r="EU799" s="1545"/>
      <c r="EV799" s="1545"/>
      <c r="EW799" s="1545"/>
      <c r="EX799" s="1546"/>
    </row>
    <row r="800" spans="1:154" s="14" customFormat="1" ht="12.95" customHeight="1">
      <c r="A800"/>
      <c r="B800"/>
      <c r="C800"/>
      <c r="D800"/>
      <c r="E800"/>
      <c r="F800"/>
      <c r="G800"/>
      <c r="H800"/>
      <c r="I800"/>
      <c r="J800" s="1360"/>
      <c r="K800" s="1361"/>
      <c r="L800" s="1361"/>
      <c r="M800" s="1361"/>
      <c r="N800" s="1362"/>
      <c r="O800" s="1385"/>
      <c r="P800" s="1385"/>
      <c r="Q800" s="1385"/>
      <c r="R800" s="1385"/>
      <c r="S800" s="1385"/>
      <c r="T800" s="1357"/>
      <c r="U800" s="1358"/>
      <c r="V800" s="1358"/>
      <c r="W800" s="1359"/>
      <c r="X800" s="1393"/>
      <c r="Y800" s="1394"/>
      <c r="Z800" s="1394"/>
      <c r="AA800" s="1394"/>
      <c r="AB800" s="1395"/>
      <c r="AC800" s="1441">
        <f t="shared" si="42"/>
        <v>0</v>
      </c>
      <c r="AD800" s="1442"/>
      <c r="AE800" s="1442"/>
      <c r="AF800" s="1442"/>
      <c r="AG800" s="14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4">
        <f t="shared" si="43"/>
        <v>0</v>
      </c>
      <c r="CQ800" s="1545"/>
      <c r="CR800" s="1545"/>
      <c r="CS800" s="1545"/>
      <c r="CT800" s="1546"/>
      <c r="CU800" s="1544">
        <f t="shared" si="44"/>
        <v>0</v>
      </c>
      <c r="CV800" s="1545"/>
      <c r="CW800" s="1545"/>
      <c r="CX800" s="1545"/>
      <c r="CY800" s="1546"/>
      <c r="CZ800" s="1544">
        <f t="shared" si="45"/>
        <v>0</v>
      </c>
      <c r="DA800" s="1545"/>
      <c r="DB800" s="1545"/>
      <c r="DC800" s="1545"/>
      <c r="DD800" s="1546"/>
      <c r="DE800" s="1544">
        <f t="shared" si="46"/>
        <v>0</v>
      </c>
      <c r="DF800" s="1545"/>
      <c r="DG800" s="1545"/>
      <c r="DH800" s="1545"/>
      <c r="DI800" s="1546"/>
      <c r="DJ800" s="1544">
        <f t="shared" si="47"/>
        <v>0</v>
      </c>
      <c r="DK800" s="1545"/>
      <c r="DL800" s="1545"/>
      <c r="DM800" s="1545"/>
      <c r="DN800" s="1546"/>
      <c r="DO800" s="1544">
        <f t="shared" si="48"/>
        <v>0</v>
      </c>
      <c r="DP800" s="1545"/>
      <c r="DQ800" s="1545"/>
      <c r="DR800" s="1545"/>
      <c r="DS800" s="1546"/>
      <c r="DT800" s="6"/>
      <c r="DU800" s="1544">
        <f t="shared" si="49"/>
        <v>0</v>
      </c>
      <c r="DV800" s="1545"/>
      <c r="DW800" s="1545"/>
      <c r="DX800" s="1545"/>
      <c r="DY800" s="1546"/>
      <c r="DZ800" s="1544">
        <f t="shared" si="50"/>
        <v>0</v>
      </c>
      <c r="EA800" s="1545"/>
      <c r="EB800" s="1545"/>
      <c r="EC800" s="1545"/>
      <c r="ED800" s="1546"/>
      <c r="EE800" s="1544">
        <f t="shared" si="51"/>
        <v>0</v>
      </c>
      <c r="EF800" s="1545"/>
      <c r="EG800" s="1545"/>
      <c r="EH800" s="1545"/>
      <c r="EI800" s="1546"/>
      <c r="EJ800" s="1544">
        <f t="shared" si="52"/>
        <v>0</v>
      </c>
      <c r="EK800" s="1545"/>
      <c r="EL800" s="1545"/>
      <c r="EM800" s="1545"/>
      <c r="EN800" s="1546"/>
      <c r="EO800" s="1544">
        <f t="shared" si="53"/>
        <v>0</v>
      </c>
      <c r="EP800" s="1545"/>
      <c r="EQ800" s="1545"/>
      <c r="ER800" s="1545"/>
      <c r="ES800" s="1546"/>
      <c r="ET800" s="1544">
        <f t="shared" si="54"/>
        <v>0</v>
      </c>
      <c r="EU800" s="1545"/>
      <c r="EV800" s="1545"/>
      <c r="EW800" s="1545"/>
      <c r="EX800" s="1546"/>
    </row>
    <row r="801" spans="1:154" s="14" customFormat="1" ht="12.95" customHeight="1">
      <c r="A801"/>
      <c r="B801"/>
      <c r="C801"/>
      <c r="D801"/>
      <c r="E801"/>
      <c r="F801"/>
      <c r="G801"/>
      <c r="H801"/>
      <c r="I801"/>
      <c r="J801" s="1360"/>
      <c r="K801" s="1361"/>
      <c r="L801" s="1361"/>
      <c r="M801" s="1361"/>
      <c r="N801" s="1362"/>
      <c r="O801" s="1385"/>
      <c r="P801" s="1385"/>
      <c r="Q801" s="1385"/>
      <c r="R801" s="1385"/>
      <c r="S801" s="1385"/>
      <c r="T801" s="1357"/>
      <c r="U801" s="1358"/>
      <c r="V801" s="1358"/>
      <c r="W801" s="1359"/>
      <c r="X801" s="1393"/>
      <c r="Y801" s="1394"/>
      <c r="Z801" s="1394"/>
      <c r="AA801" s="1394"/>
      <c r="AB801" s="1395"/>
      <c r="AC801" s="1441">
        <f t="shared" si="42"/>
        <v>0</v>
      </c>
      <c r="AD801" s="1442"/>
      <c r="AE801" s="1442"/>
      <c r="AF801" s="1442"/>
      <c r="AG801" s="14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4">
        <f t="shared" si="43"/>
        <v>0</v>
      </c>
      <c r="CQ801" s="1545"/>
      <c r="CR801" s="1545"/>
      <c r="CS801" s="1545"/>
      <c r="CT801" s="1546"/>
      <c r="CU801" s="1544">
        <f t="shared" si="44"/>
        <v>0</v>
      </c>
      <c r="CV801" s="1545"/>
      <c r="CW801" s="1545"/>
      <c r="CX801" s="1545"/>
      <c r="CY801" s="1546"/>
      <c r="CZ801" s="1544">
        <f t="shared" si="45"/>
        <v>0</v>
      </c>
      <c r="DA801" s="1545"/>
      <c r="DB801" s="1545"/>
      <c r="DC801" s="1545"/>
      <c r="DD801" s="1546"/>
      <c r="DE801" s="1544">
        <f t="shared" si="46"/>
        <v>0</v>
      </c>
      <c r="DF801" s="1545"/>
      <c r="DG801" s="1545"/>
      <c r="DH801" s="1545"/>
      <c r="DI801" s="1546"/>
      <c r="DJ801" s="1544">
        <f t="shared" si="47"/>
        <v>0</v>
      </c>
      <c r="DK801" s="1545"/>
      <c r="DL801" s="1545"/>
      <c r="DM801" s="1545"/>
      <c r="DN801" s="1546"/>
      <c r="DO801" s="1544">
        <f t="shared" si="48"/>
        <v>0</v>
      </c>
      <c r="DP801" s="1545"/>
      <c r="DQ801" s="1545"/>
      <c r="DR801" s="1545"/>
      <c r="DS801" s="1546"/>
      <c r="DT801" s="6"/>
      <c r="DU801" s="1544">
        <f t="shared" si="49"/>
        <v>0</v>
      </c>
      <c r="DV801" s="1545"/>
      <c r="DW801" s="1545"/>
      <c r="DX801" s="1545"/>
      <c r="DY801" s="1546"/>
      <c r="DZ801" s="1544">
        <f t="shared" si="50"/>
        <v>0</v>
      </c>
      <c r="EA801" s="1545"/>
      <c r="EB801" s="1545"/>
      <c r="EC801" s="1545"/>
      <c r="ED801" s="1546"/>
      <c r="EE801" s="1544">
        <f t="shared" si="51"/>
        <v>0</v>
      </c>
      <c r="EF801" s="1545"/>
      <c r="EG801" s="1545"/>
      <c r="EH801" s="1545"/>
      <c r="EI801" s="1546"/>
      <c r="EJ801" s="1544">
        <f t="shared" si="52"/>
        <v>0</v>
      </c>
      <c r="EK801" s="1545"/>
      <c r="EL801" s="1545"/>
      <c r="EM801" s="1545"/>
      <c r="EN801" s="1546"/>
      <c r="EO801" s="1544">
        <f t="shared" si="53"/>
        <v>0</v>
      </c>
      <c r="EP801" s="1545"/>
      <c r="EQ801" s="1545"/>
      <c r="ER801" s="1545"/>
      <c r="ES801" s="1546"/>
      <c r="ET801" s="1544">
        <f t="shared" si="54"/>
        <v>0</v>
      </c>
      <c r="EU801" s="1545"/>
      <c r="EV801" s="1545"/>
      <c r="EW801" s="1545"/>
      <c r="EX801" s="1546"/>
    </row>
    <row r="802" spans="1:154" s="14" customFormat="1" ht="12.95" customHeight="1">
      <c r="A802"/>
      <c r="B802"/>
      <c r="C802"/>
      <c r="D802"/>
      <c r="E802"/>
      <c r="F802"/>
      <c r="G802"/>
      <c r="H802"/>
      <c r="I802"/>
      <c r="J802" s="1360"/>
      <c r="K802" s="1361"/>
      <c r="L802" s="1361"/>
      <c r="M802" s="1361"/>
      <c r="N802" s="1362"/>
      <c r="O802" s="1385"/>
      <c r="P802" s="1385"/>
      <c r="Q802" s="1385"/>
      <c r="R802" s="1385"/>
      <c r="S802" s="1385"/>
      <c r="T802" s="1357"/>
      <c r="U802" s="1358"/>
      <c r="V802" s="1358"/>
      <c r="W802" s="1359"/>
      <c r="X802" s="1393"/>
      <c r="Y802" s="1394"/>
      <c r="Z802" s="1394"/>
      <c r="AA802" s="1394"/>
      <c r="AB802" s="1395"/>
      <c r="AC802" s="1441">
        <f t="shared" si="42"/>
        <v>0</v>
      </c>
      <c r="AD802" s="1442"/>
      <c r="AE802" s="1442"/>
      <c r="AF802" s="1442"/>
      <c r="AG802" s="14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4">
        <f t="shared" si="43"/>
        <v>0</v>
      </c>
      <c r="CQ802" s="1545"/>
      <c r="CR802" s="1545"/>
      <c r="CS802" s="1545"/>
      <c r="CT802" s="1546"/>
      <c r="CU802" s="1544">
        <f t="shared" si="44"/>
        <v>0</v>
      </c>
      <c r="CV802" s="1545"/>
      <c r="CW802" s="1545"/>
      <c r="CX802" s="1545"/>
      <c r="CY802" s="1546"/>
      <c r="CZ802" s="1544">
        <f t="shared" si="45"/>
        <v>0</v>
      </c>
      <c r="DA802" s="1545"/>
      <c r="DB802" s="1545"/>
      <c r="DC802" s="1545"/>
      <c r="DD802" s="1546"/>
      <c r="DE802" s="1544">
        <f t="shared" si="46"/>
        <v>0</v>
      </c>
      <c r="DF802" s="1545"/>
      <c r="DG802" s="1545"/>
      <c r="DH802" s="1545"/>
      <c r="DI802" s="1546"/>
      <c r="DJ802" s="1544">
        <f t="shared" si="47"/>
        <v>0</v>
      </c>
      <c r="DK802" s="1545"/>
      <c r="DL802" s="1545"/>
      <c r="DM802" s="1545"/>
      <c r="DN802" s="1546"/>
      <c r="DO802" s="1544">
        <f t="shared" si="48"/>
        <v>0</v>
      </c>
      <c r="DP802" s="1545"/>
      <c r="DQ802" s="1545"/>
      <c r="DR802" s="1545"/>
      <c r="DS802" s="1546"/>
      <c r="DT802" s="6"/>
      <c r="DU802" s="1544">
        <f t="shared" si="49"/>
        <v>0</v>
      </c>
      <c r="DV802" s="1545"/>
      <c r="DW802" s="1545"/>
      <c r="DX802" s="1545"/>
      <c r="DY802" s="1546"/>
      <c r="DZ802" s="1544">
        <f t="shared" si="50"/>
        <v>0</v>
      </c>
      <c r="EA802" s="1545"/>
      <c r="EB802" s="1545"/>
      <c r="EC802" s="1545"/>
      <c r="ED802" s="1546"/>
      <c r="EE802" s="1544">
        <f t="shared" si="51"/>
        <v>0</v>
      </c>
      <c r="EF802" s="1545"/>
      <c r="EG802" s="1545"/>
      <c r="EH802" s="1545"/>
      <c r="EI802" s="1546"/>
      <c r="EJ802" s="1544">
        <f t="shared" si="52"/>
        <v>0</v>
      </c>
      <c r="EK802" s="1545"/>
      <c r="EL802" s="1545"/>
      <c r="EM802" s="1545"/>
      <c r="EN802" s="1546"/>
      <c r="EO802" s="1544">
        <f t="shared" si="53"/>
        <v>0</v>
      </c>
      <c r="EP802" s="1545"/>
      <c r="EQ802" s="1545"/>
      <c r="ER802" s="1545"/>
      <c r="ES802" s="1546"/>
      <c r="ET802" s="1544">
        <f t="shared" si="54"/>
        <v>0</v>
      </c>
      <c r="EU802" s="1545"/>
      <c r="EV802" s="1545"/>
      <c r="EW802" s="1545"/>
      <c r="EX802" s="1546"/>
    </row>
    <row r="803" spans="1:154" s="14" customFormat="1" ht="12.95" customHeight="1">
      <c r="A803"/>
      <c r="B803"/>
      <c r="C803"/>
      <c r="D803"/>
      <c r="E803"/>
      <c r="F803"/>
      <c r="G803"/>
      <c r="H803"/>
      <c r="I803"/>
      <c r="J803" s="1360"/>
      <c r="K803" s="1361"/>
      <c r="L803" s="1361"/>
      <c r="M803" s="1361"/>
      <c r="N803" s="1362"/>
      <c r="O803" s="1385"/>
      <c r="P803" s="1385"/>
      <c r="Q803" s="1385"/>
      <c r="R803" s="1385"/>
      <c r="S803" s="1385"/>
      <c r="T803" s="1357"/>
      <c r="U803" s="1358"/>
      <c r="V803" s="1358"/>
      <c r="W803" s="1359"/>
      <c r="X803" s="1393"/>
      <c r="Y803" s="1394"/>
      <c r="Z803" s="1394"/>
      <c r="AA803" s="1394"/>
      <c r="AB803" s="1395"/>
      <c r="AC803" s="1441">
        <f t="shared" si="42"/>
        <v>0</v>
      </c>
      <c r="AD803" s="1442"/>
      <c r="AE803" s="1442"/>
      <c r="AF803" s="1442"/>
      <c r="AG803" s="14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4">
        <f t="shared" si="43"/>
        <v>0</v>
      </c>
      <c r="CQ803" s="1545"/>
      <c r="CR803" s="1545"/>
      <c r="CS803" s="1545"/>
      <c r="CT803" s="1546"/>
      <c r="CU803" s="1544">
        <f t="shared" si="44"/>
        <v>0</v>
      </c>
      <c r="CV803" s="1545"/>
      <c r="CW803" s="1545"/>
      <c r="CX803" s="1545"/>
      <c r="CY803" s="1546"/>
      <c r="CZ803" s="1544">
        <f t="shared" si="45"/>
        <v>0</v>
      </c>
      <c r="DA803" s="1545"/>
      <c r="DB803" s="1545"/>
      <c r="DC803" s="1545"/>
      <c r="DD803" s="1546"/>
      <c r="DE803" s="1544">
        <f t="shared" si="46"/>
        <v>0</v>
      </c>
      <c r="DF803" s="1545"/>
      <c r="DG803" s="1545"/>
      <c r="DH803" s="1545"/>
      <c r="DI803" s="1546"/>
      <c r="DJ803" s="1544">
        <f t="shared" si="47"/>
        <v>0</v>
      </c>
      <c r="DK803" s="1545"/>
      <c r="DL803" s="1545"/>
      <c r="DM803" s="1545"/>
      <c r="DN803" s="1546"/>
      <c r="DO803" s="1544">
        <f t="shared" si="48"/>
        <v>0</v>
      </c>
      <c r="DP803" s="1545"/>
      <c r="DQ803" s="1545"/>
      <c r="DR803" s="1545"/>
      <c r="DS803" s="1546"/>
      <c r="DT803" s="6"/>
      <c r="DU803" s="1544">
        <f t="shared" si="49"/>
        <v>0</v>
      </c>
      <c r="DV803" s="1545"/>
      <c r="DW803" s="1545"/>
      <c r="DX803" s="1545"/>
      <c r="DY803" s="1546"/>
      <c r="DZ803" s="1544">
        <f t="shared" si="50"/>
        <v>0</v>
      </c>
      <c r="EA803" s="1545"/>
      <c r="EB803" s="1545"/>
      <c r="EC803" s="1545"/>
      <c r="ED803" s="1546"/>
      <c r="EE803" s="1544">
        <f t="shared" si="51"/>
        <v>0</v>
      </c>
      <c r="EF803" s="1545"/>
      <c r="EG803" s="1545"/>
      <c r="EH803" s="1545"/>
      <c r="EI803" s="1546"/>
      <c r="EJ803" s="1544">
        <f t="shared" si="52"/>
        <v>0</v>
      </c>
      <c r="EK803" s="1545"/>
      <c r="EL803" s="1545"/>
      <c r="EM803" s="1545"/>
      <c r="EN803" s="1546"/>
      <c r="EO803" s="1544">
        <f t="shared" si="53"/>
        <v>0</v>
      </c>
      <c r="EP803" s="1545"/>
      <c r="EQ803" s="1545"/>
      <c r="ER803" s="1545"/>
      <c r="ES803" s="1546"/>
      <c r="ET803" s="1544">
        <f t="shared" si="54"/>
        <v>0</v>
      </c>
      <c r="EU803" s="1545"/>
      <c r="EV803" s="1545"/>
      <c r="EW803" s="1545"/>
      <c r="EX803" s="1546"/>
    </row>
    <row r="804" spans="1:154" s="4" customFormat="1" ht="12.95" customHeight="1">
      <c r="A804"/>
      <c r="B804"/>
      <c r="C804"/>
      <c r="D804"/>
      <c r="E804"/>
      <c r="F804"/>
      <c r="G804"/>
      <c r="H804"/>
      <c r="I804"/>
      <c r="J804" s="1360"/>
      <c r="K804" s="1361"/>
      <c r="L804" s="1361"/>
      <c r="M804" s="1361"/>
      <c r="N804" s="1362"/>
      <c r="O804" s="1385"/>
      <c r="P804" s="1385"/>
      <c r="Q804" s="1385"/>
      <c r="R804" s="1385"/>
      <c r="S804" s="1385"/>
      <c r="T804" s="1357"/>
      <c r="U804" s="1358"/>
      <c r="V804" s="1358"/>
      <c r="W804" s="1359"/>
      <c r="X804" s="1393"/>
      <c r="Y804" s="1394"/>
      <c r="Z804" s="1394"/>
      <c r="AA804" s="1394"/>
      <c r="AB804" s="1395"/>
      <c r="AC804" s="1441">
        <f t="shared" si="42"/>
        <v>0</v>
      </c>
      <c r="AD804" s="1442"/>
      <c r="AE804" s="1442"/>
      <c r="AF804" s="1442"/>
      <c r="AG804" s="1443"/>
      <c r="AH804"/>
      <c r="AI804"/>
      <c r="AJ804"/>
      <c r="AK804"/>
      <c r="AL804"/>
      <c r="AM804"/>
      <c r="AN804"/>
      <c r="AO804"/>
      <c r="AP804"/>
      <c r="AQ804"/>
      <c r="AR804"/>
      <c r="AS804"/>
      <c r="AT804"/>
      <c r="AU804"/>
      <c r="AV804"/>
      <c r="AW804"/>
      <c r="AX804"/>
      <c r="AY804"/>
      <c r="AZ804" s="3"/>
      <c r="CP804" s="1544">
        <f t="shared" si="43"/>
        <v>0</v>
      </c>
      <c r="CQ804" s="1545"/>
      <c r="CR804" s="1545"/>
      <c r="CS804" s="1545"/>
      <c r="CT804" s="1546"/>
      <c r="CU804" s="1544">
        <f t="shared" si="44"/>
        <v>0</v>
      </c>
      <c r="CV804" s="1545"/>
      <c r="CW804" s="1545"/>
      <c r="CX804" s="1545"/>
      <c r="CY804" s="1546"/>
      <c r="CZ804" s="1544">
        <f t="shared" si="45"/>
        <v>0</v>
      </c>
      <c r="DA804" s="1545"/>
      <c r="DB804" s="1545"/>
      <c r="DC804" s="1545"/>
      <c r="DD804" s="1546"/>
      <c r="DE804" s="1544">
        <f t="shared" si="46"/>
        <v>0</v>
      </c>
      <c r="DF804" s="1545"/>
      <c r="DG804" s="1545"/>
      <c r="DH804" s="1545"/>
      <c r="DI804" s="1546"/>
      <c r="DJ804" s="1544">
        <f t="shared" si="47"/>
        <v>0</v>
      </c>
      <c r="DK804" s="1545"/>
      <c r="DL804" s="1545"/>
      <c r="DM804" s="1545"/>
      <c r="DN804" s="1546"/>
      <c r="DO804" s="1544">
        <f t="shared" si="48"/>
        <v>0</v>
      </c>
      <c r="DP804" s="1545"/>
      <c r="DQ804" s="1545"/>
      <c r="DR804" s="1545"/>
      <c r="DS804" s="1546"/>
      <c r="DT804" s="6"/>
      <c r="DU804" s="1544">
        <f t="shared" si="49"/>
        <v>0</v>
      </c>
      <c r="DV804" s="1545"/>
      <c r="DW804" s="1545"/>
      <c r="DX804" s="1545"/>
      <c r="DY804" s="1546"/>
      <c r="DZ804" s="1544">
        <f t="shared" si="50"/>
        <v>0</v>
      </c>
      <c r="EA804" s="1545"/>
      <c r="EB804" s="1545"/>
      <c r="EC804" s="1545"/>
      <c r="ED804" s="1546"/>
      <c r="EE804" s="1544">
        <f t="shared" si="51"/>
        <v>0</v>
      </c>
      <c r="EF804" s="1545"/>
      <c r="EG804" s="1545"/>
      <c r="EH804" s="1545"/>
      <c r="EI804" s="1546"/>
      <c r="EJ804" s="1544">
        <f t="shared" si="52"/>
        <v>0</v>
      </c>
      <c r="EK804" s="1545"/>
      <c r="EL804" s="1545"/>
      <c r="EM804" s="1545"/>
      <c r="EN804" s="1546"/>
      <c r="EO804" s="1544">
        <f t="shared" si="53"/>
        <v>0</v>
      </c>
      <c r="EP804" s="1545"/>
      <c r="EQ804" s="1545"/>
      <c r="ER804" s="1545"/>
      <c r="ES804" s="1546"/>
      <c r="ET804" s="1544">
        <f t="shared" si="54"/>
        <v>0</v>
      </c>
      <c r="EU804" s="1545"/>
      <c r="EV804" s="1545"/>
      <c r="EW804" s="1545"/>
      <c r="EX804" s="1546"/>
    </row>
    <row r="805" spans="1:154" s="4" customFormat="1" ht="12.95" customHeight="1">
      <c r="A805"/>
      <c r="B805"/>
      <c r="C805"/>
      <c r="D805"/>
      <c r="E805"/>
      <c r="F805"/>
      <c r="G805"/>
      <c r="H805"/>
      <c r="I805"/>
      <c r="J805" s="1537" t="s">
        <v>125</v>
      </c>
      <c r="K805" s="1538"/>
      <c r="L805" s="1538"/>
      <c r="M805" s="1538"/>
      <c r="N805" s="1539"/>
      <c r="O805" s="1741">
        <f>SUM(O795:S804)</f>
        <v>0</v>
      </c>
      <c r="P805" s="1741"/>
      <c r="Q805" s="1741"/>
      <c r="R805" s="1741"/>
      <c r="S805" s="1741"/>
      <c r="T805"/>
      <c r="U805"/>
      <c r="V805"/>
      <c r="W805"/>
      <c r="X805" s="898" t="s">
        <v>124</v>
      </c>
      <c r="Y805" s="11"/>
      <c r="Z805" s="11"/>
      <c r="AA805" s="11"/>
      <c r="AB805" s="905"/>
      <c r="AC805" s="1441">
        <f>SUM(AC795:AG804)</f>
        <v>0</v>
      </c>
      <c r="AD805" s="1442"/>
      <c r="AE805" s="1442"/>
      <c r="AF805" s="1442"/>
      <c r="AG805" s="1443"/>
      <c r="AH805"/>
      <c r="AI805"/>
      <c r="AJ805"/>
      <c r="AK805"/>
      <c r="AL805"/>
      <c r="AM805"/>
      <c r="AN805"/>
      <c r="AO805"/>
      <c r="AP805"/>
      <c r="AQ805"/>
      <c r="AR805"/>
      <c r="AS805"/>
      <c r="AT805"/>
      <c r="AU805"/>
      <c r="AV805"/>
      <c r="AW805"/>
      <c r="AX805"/>
      <c r="AY805"/>
      <c r="AZ805" s="3"/>
      <c r="BA805"/>
      <c r="CP805" s="1551">
        <f>SUM(CP795:CT804)</f>
        <v>0</v>
      </c>
      <c r="CQ805" s="1556"/>
      <c r="CR805" s="1556"/>
      <c r="CS805" s="1556"/>
      <c r="CT805" s="1552"/>
      <c r="CU805" s="1557">
        <f>SUM(CU795:CY804)</f>
        <v>0</v>
      </c>
      <c r="CV805" s="1558"/>
      <c r="CW805" s="1558"/>
      <c r="CX805" s="1558"/>
      <c r="CY805" s="1559"/>
      <c r="CZ805" s="1557">
        <f>SUM(CZ795:DD804)</f>
        <v>0</v>
      </c>
      <c r="DA805" s="1558"/>
      <c r="DB805" s="1558"/>
      <c r="DC805" s="1558"/>
      <c r="DD805" s="1559"/>
      <c r="DE805" s="1557">
        <f>SUM(DE795:DI804)</f>
        <v>0</v>
      </c>
      <c r="DF805" s="1558"/>
      <c r="DG805" s="1558"/>
      <c r="DH805" s="1558"/>
      <c r="DI805" s="1559"/>
      <c r="DJ805" s="1557">
        <f>SUM(DJ795:DN804)</f>
        <v>0</v>
      </c>
      <c r="DK805" s="1558"/>
      <c r="DL805" s="1558"/>
      <c r="DM805" s="1558"/>
      <c r="DN805" s="1559"/>
      <c r="DO805" s="1557">
        <f>SUM(DO795:DS804)</f>
        <v>0</v>
      </c>
      <c r="DP805" s="1558"/>
      <c r="DQ805" s="1558"/>
      <c r="DR805" s="1558"/>
      <c r="DS805" s="1559"/>
      <c r="DT805" s="1007"/>
      <c r="DU805" s="1551">
        <f>SUM(DU795:DY804)</f>
        <v>0</v>
      </c>
      <c r="DV805" s="1556"/>
      <c r="DW805" s="1556"/>
      <c r="DX805" s="1556"/>
      <c r="DY805" s="1552"/>
      <c r="DZ805" s="1551">
        <f>SUM(DZ795:ED804)</f>
        <v>0</v>
      </c>
      <c r="EA805" s="1556"/>
      <c r="EB805" s="1556"/>
      <c r="EC805" s="1556"/>
      <c r="ED805" s="1552"/>
      <c r="EE805" s="1551">
        <f>SUM(EE795:EI804)</f>
        <v>0</v>
      </c>
      <c r="EF805" s="1556"/>
      <c r="EG805" s="1556"/>
      <c r="EH805" s="1556"/>
      <c r="EI805" s="1552"/>
      <c r="EJ805" s="1551">
        <f>SUM(EJ795:EN804)</f>
        <v>0</v>
      </c>
      <c r="EK805" s="1556"/>
      <c r="EL805" s="1556"/>
      <c r="EM805" s="1556"/>
      <c r="EN805" s="1552"/>
      <c r="EO805" s="1551">
        <f>SUM(EO795:ES804)</f>
        <v>0</v>
      </c>
      <c r="EP805" s="1556"/>
      <c r="EQ805" s="1556"/>
      <c r="ER805" s="1556"/>
      <c r="ES805" s="1552"/>
      <c r="ET805" s="1551">
        <f>SUM(ET795:EX804)</f>
        <v>0</v>
      </c>
      <c r="EU805" s="1556"/>
      <c r="EV805" s="1556"/>
      <c r="EW805" s="1556"/>
      <c r="EX805" s="1552"/>
    </row>
    <row r="806" spans="1:154" s="4" customFormat="1" ht="12.95" customHeight="1">
      <c r="A806"/>
      <c r="B806"/>
      <c r="C806" s="1686" t="str">
        <f>IF(O805&lt;&gt;AG447,"! Total market rate units in the Unit Mix Table above does not match the number of  market rate units on row #"&amp;TEXT(ROW(D447),"#"),"")</f>
        <v/>
      </c>
      <c r="D806" s="1686"/>
      <c r="E806" s="1686"/>
      <c r="F806" s="1686"/>
      <c r="G806" s="1686"/>
      <c r="H806" s="1686"/>
      <c r="I806" s="1686"/>
      <c r="J806" s="1686"/>
      <c r="K806" s="1686"/>
      <c r="L806" s="1686"/>
      <c r="M806" s="1686"/>
      <c r="N806" s="1686"/>
      <c r="O806" s="1686"/>
      <c r="P806" s="1686"/>
      <c r="Q806" s="1686"/>
      <c r="R806" s="1686"/>
      <c r="S806" s="1686"/>
      <c r="T806" s="1686"/>
      <c r="U806" s="1686"/>
      <c r="V806" s="1686"/>
      <c r="W806" s="1686"/>
      <c r="X806" s="1686"/>
      <c r="Y806" s="1686"/>
      <c r="Z806" s="1686"/>
      <c r="AA806" s="1686"/>
      <c r="AB806" s="1686"/>
      <c r="AC806" s="1686"/>
      <c r="AD806" s="1686"/>
      <c r="AE806" s="1686"/>
      <c r="AF806" s="1686"/>
      <c r="AG806" s="1686"/>
      <c r="AH806" s="1686"/>
      <c r="AI806" s="1686"/>
      <c r="AJ806" s="1686"/>
      <c r="AK806" s="1686"/>
      <c r="AL806" s="1686"/>
      <c r="AM806" s="1686"/>
      <c r="AN806" s="168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86"/>
      <c r="D807" s="1686"/>
      <c r="E807" s="1686"/>
      <c r="F807" s="1686"/>
      <c r="G807" s="1686"/>
      <c r="H807" s="1686"/>
      <c r="I807" s="1686"/>
      <c r="J807" s="1686"/>
      <c r="K807" s="1686"/>
      <c r="L807" s="1686"/>
      <c r="M807" s="1686"/>
      <c r="N807" s="1686"/>
      <c r="O807" s="1686"/>
      <c r="P807" s="1686"/>
      <c r="Q807" s="1686"/>
      <c r="R807" s="1686"/>
      <c r="S807" s="1686"/>
      <c r="T807" s="1686"/>
      <c r="U807" s="1686"/>
      <c r="V807" s="1686"/>
      <c r="W807" s="1686"/>
      <c r="X807" s="1686"/>
      <c r="Y807" s="1686"/>
      <c r="Z807" s="1686"/>
      <c r="AA807" s="1686"/>
      <c r="AB807" s="1686"/>
      <c r="AC807" s="1686"/>
      <c r="AD807" s="1686"/>
      <c r="AE807" s="1686"/>
      <c r="AF807" s="1686"/>
      <c r="AG807" s="1686"/>
      <c r="AH807" s="1686"/>
      <c r="AI807" s="1686"/>
      <c r="AJ807" s="1686"/>
      <c r="AK807" s="1686"/>
      <c r="AL807" s="1686"/>
      <c r="AM807" s="1686"/>
      <c r="AN807" s="168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3">
        <f>SUM(DU805:EX805)</f>
        <v>0</v>
      </c>
      <c r="EU807" s="1864"/>
      <c r="EV807" s="1864"/>
      <c r="EW807" s="1864"/>
      <c r="EX807" s="1865"/>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730">
        <f>O761+AC785+AC805</f>
        <v>26145</v>
      </c>
      <c r="Z808" s="1730"/>
      <c r="AA808" s="1730"/>
      <c r="AB808" s="1730"/>
      <c r="AC808" s="173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730">
        <f>(O761+AC785+AC805)*12</f>
        <v>313740</v>
      </c>
      <c r="Z809" s="1730"/>
      <c r="AA809" s="1730"/>
      <c r="AB809" s="1730"/>
      <c r="AC809" s="173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7">
        <f>CP761+CP785+CP805</f>
        <v>2</v>
      </c>
      <c r="CQ810" s="1558"/>
      <c r="CR810" s="1558"/>
      <c r="CS810" s="1558"/>
      <c r="CT810" s="1559"/>
      <c r="CU810" s="1557">
        <f>CU761+CU785+CU805</f>
        <v>20</v>
      </c>
      <c r="CV810" s="1558"/>
      <c r="CW810" s="1558"/>
      <c r="CX810" s="1558"/>
      <c r="CY810" s="1559"/>
      <c r="CZ810" s="1557">
        <f>CZ761+CZ785+CZ805</f>
        <v>2</v>
      </c>
      <c r="DA810" s="1558"/>
      <c r="DB810" s="1558"/>
      <c r="DC810" s="1558"/>
      <c r="DD810" s="1559"/>
      <c r="DE810" s="1557">
        <f>DE761+DE785+DE805</f>
        <v>0</v>
      </c>
      <c r="DF810" s="1558"/>
      <c r="DG810" s="1558"/>
      <c r="DH810" s="1558"/>
      <c r="DI810" s="1559"/>
      <c r="DJ810" s="1557">
        <f>DJ761+DJ785+DJ805</f>
        <v>0</v>
      </c>
      <c r="DK810" s="1558"/>
      <c r="DL810" s="1558"/>
      <c r="DM810" s="1558"/>
      <c r="DN810" s="1559"/>
      <c r="DO810" s="1542">
        <f>DO805+DO785+DO761</f>
        <v>0</v>
      </c>
      <c r="DP810" s="1560"/>
      <c r="DQ810" s="1560"/>
      <c r="DR810" s="1560"/>
      <c r="DS810" s="1543"/>
      <c r="DT810" s="3"/>
      <c r="DU810" s="857">
        <f>DU763+DU808</f>
        <v>25</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66">
        <v>23</v>
      </c>
      <c r="AA814" s="1667"/>
      <c r="AB814" s="1667"/>
      <c r="AC814" s="1667"/>
      <c r="AD814" s="1667"/>
      <c r="AE814" s="166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6">
        <v>20</v>
      </c>
      <c r="AA815" s="1667"/>
      <c r="AB815" s="1667"/>
      <c r="AC815" s="1667"/>
      <c r="AD815" s="1667"/>
      <c r="AE815" s="166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77">
        <v>53601</v>
      </c>
      <c r="AA816" s="1387"/>
      <c r="AB816" s="1387"/>
      <c r="AC816" s="1387"/>
      <c r="AD816" s="1387"/>
      <c r="AE816" s="138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51">
        <f>'Subsidy Contract Calculation'!J40</f>
        <v>272292</v>
      </c>
      <c r="AA817" s="1452"/>
      <c r="AB817" s="1452"/>
      <c r="AC817" s="1452"/>
      <c r="AD817" s="1452"/>
      <c r="AE817" s="1453"/>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530">
        <v>3450</v>
      </c>
      <c r="AA821" s="1531"/>
      <c r="AB821" s="1531"/>
      <c r="AC821" s="1531"/>
      <c r="AD821" s="1531"/>
      <c r="AE821" s="153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530"/>
      <c r="AA822" s="1531"/>
      <c r="AB822" s="1531"/>
      <c r="AC822" s="1531"/>
      <c r="AD822" s="1531"/>
      <c r="AE822" s="153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530"/>
      <c r="AA823" s="1531"/>
      <c r="AB823" s="1531"/>
      <c r="AC823" s="1531"/>
      <c r="AD823" s="1531"/>
      <c r="AE823" s="153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31" t="s">
        <v>334</v>
      </c>
      <c r="Q824" s="1632"/>
      <c r="R824" s="1632"/>
      <c r="S824" s="1632"/>
      <c r="T824" s="1632"/>
      <c r="U824" s="1632"/>
      <c r="V824" s="1632"/>
      <c r="W824" s="1632"/>
      <c r="X824" s="1632"/>
      <c r="Y824" s="1633"/>
      <c r="Z824" s="1530"/>
      <c r="AA824" s="1531"/>
      <c r="AB824" s="1531"/>
      <c r="AC824" s="1531"/>
      <c r="AD824" s="1531"/>
      <c r="AE824" s="153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51">
        <f>SUM(Z821:AE824)</f>
        <v>3450</v>
      </c>
      <c r="AA825" s="1452"/>
      <c r="AB825" s="1452"/>
      <c r="AC825" s="1452"/>
      <c r="AD825" s="1452"/>
      <c r="AE825" s="1453"/>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51">
        <f>Z825+Y809+Z817</f>
        <v>589482</v>
      </c>
      <c r="AA826" s="1452"/>
      <c r="AB826" s="1452"/>
      <c r="AC826" s="1452"/>
      <c r="AD826" s="1452"/>
      <c r="AE826" s="1453"/>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7" t="s">
        <v>126</v>
      </c>
      <c r="N831" s="1637"/>
      <c r="O831" s="1637"/>
      <c r="P831" s="1650"/>
      <c r="Q831" s="1643" t="s">
        <v>290</v>
      </c>
      <c r="R831" s="1643"/>
      <c r="S831" s="1643"/>
      <c r="T831" s="1643"/>
      <c r="U831" s="1643" t="s">
        <v>291</v>
      </c>
      <c r="V831" s="1643"/>
      <c r="W831" s="1643"/>
      <c r="X831" s="1643"/>
      <c r="Y831" s="1643" t="s">
        <v>292</v>
      </c>
      <c r="Z831" s="1643"/>
      <c r="AA831" s="1643"/>
      <c r="AB831" s="1643"/>
      <c r="AC831" s="1643" t="s">
        <v>361</v>
      </c>
      <c r="AD831" s="1643"/>
      <c r="AE831" s="1643"/>
      <c r="AF831" s="1643"/>
      <c r="AG831" s="1743" t="s">
        <v>335</v>
      </c>
      <c r="AH831" s="1743"/>
      <c r="AI831" s="1743"/>
      <c r="AJ831" s="174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41"/>
      <c r="N832" s="1641"/>
      <c r="O832" s="1641"/>
      <c r="P832" s="1651"/>
      <c r="Q832" s="1643"/>
      <c r="R832" s="1643"/>
      <c r="S832" s="1643"/>
      <c r="T832" s="1643"/>
      <c r="U832" s="1643"/>
      <c r="V832" s="1643"/>
      <c r="W832" s="1643"/>
      <c r="X832" s="1643"/>
      <c r="Y832" s="1643"/>
      <c r="Z832" s="1643"/>
      <c r="AA832" s="1643"/>
      <c r="AB832" s="1643"/>
      <c r="AC832" s="1643"/>
      <c r="AD832" s="1643"/>
      <c r="AE832" s="1643"/>
      <c r="AF832" s="1643"/>
      <c r="AG832" s="1743"/>
      <c r="AH832" s="1743"/>
      <c r="AI832" s="1743"/>
      <c r="AJ832" s="174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75" t="s">
        <v>40</v>
      </c>
      <c r="D833" s="1484"/>
      <c r="E833" s="1484"/>
      <c r="F833" s="1484"/>
      <c r="G833" s="1484"/>
      <c r="H833" s="1484"/>
      <c r="I833" s="48"/>
      <c r="J833" s="48"/>
      <c r="K833" s="48"/>
      <c r="L833" s="49"/>
      <c r="M833" s="1444"/>
      <c r="N833" s="1444"/>
      <c r="O833" s="1444"/>
      <c r="P833" s="1444"/>
      <c r="Q833" s="1444"/>
      <c r="R833" s="1444"/>
      <c r="S833" s="1444"/>
      <c r="T833" s="1444"/>
      <c r="U833" s="1444"/>
      <c r="V833" s="1444"/>
      <c r="W833" s="1444"/>
      <c r="X833" s="1444"/>
      <c r="Y833" s="1444"/>
      <c r="Z833" s="1444"/>
      <c r="AA833" s="1444"/>
      <c r="AB833" s="1444"/>
      <c r="AC833" s="1445"/>
      <c r="AD833" s="1446"/>
      <c r="AE833" s="1446"/>
      <c r="AF833" s="1447"/>
      <c r="AG833" s="1445"/>
      <c r="AH833" s="1446"/>
      <c r="AI833" s="1446"/>
      <c r="AJ833" s="144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29" t="s">
        <v>41</v>
      </c>
      <c r="D834" s="1630"/>
      <c r="E834" s="1630"/>
      <c r="F834" s="1630"/>
      <c r="G834" s="1630"/>
      <c r="H834" s="1630"/>
      <c r="I834" s="5"/>
      <c r="J834" s="5"/>
      <c r="K834" s="5"/>
      <c r="L834" s="46"/>
      <c r="M834" s="1444"/>
      <c r="N834" s="1444"/>
      <c r="O834" s="1444"/>
      <c r="P834" s="1444"/>
      <c r="Q834" s="1444"/>
      <c r="R834" s="1444"/>
      <c r="S834" s="1444"/>
      <c r="T834" s="1444"/>
      <c r="U834" s="1444"/>
      <c r="V834" s="1444"/>
      <c r="W834" s="1444"/>
      <c r="X834" s="1444"/>
      <c r="Y834" s="1444"/>
      <c r="Z834" s="1444"/>
      <c r="AA834" s="1444"/>
      <c r="AB834" s="1444"/>
      <c r="AC834" s="1445"/>
      <c r="AD834" s="1446"/>
      <c r="AE834" s="1446"/>
      <c r="AF834" s="1447"/>
      <c r="AG834" s="1445"/>
      <c r="AH834" s="1446"/>
      <c r="AI834" s="1446"/>
      <c r="AJ834" s="144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29" t="s">
        <v>42</v>
      </c>
      <c r="D835" s="1630"/>
      <c r="E835" s="1630"/>
      <c r="F835" s="1630"/>
      <c r="G835" s="1630"/>
      <c r="H835" s="1630"/>
      <c r="I835" s="60"/>
      <c r="J835" s="60"/>
      <c r="K835" s="60"/>
      <c r="L835" s="61"/>
      <c r="M835" s="1444"/>
      <c r="N835" s="1444"/>
      <c r="O835" s="1444"/>
      <c r="P835" s="1444"/>
      <c r="Q835" s="1444"/>
      <c r="R835" s="1444"/>
      <c r="S835" s="1444"/>
      <c r="T835" s="1444"/>
      <c r="U835" s="1444"/>
      <c r="V835" s="1444"/>
      <c r="W835" s="1444"/>
      <c r="X835" s="1444"/>
      <c r="Y835" s="1444"/>
      <c r="Z835" s="1444"/>
      <c r="AA835" s="1444"/>
      <c r="AB835" s="1444"/>
      <c r="AC835" s="1445"/>
      <c r="AD835" s="1446"/>
      <c r="AE835" s="1446"/>
      <c r="AF835" s="1447"/>
      <c r="AG835" s="1445"/>
      <c r="AH835" s="1446"/>
      <c r="AI835" s="1446"/>
      <c r="AJ835" s="144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29" t="s">
        <v>762</v>
      </c>
      <c r="D836" s="1630"/>
      <c r="E836" s="1630"/>
      <c r="F836" s="1630"/>
      <c r="G836" s="1630"/>
      <c r="H836" s="1630"/>
      <c r="I836" s="60"/>
      <c r="J836" s="60"/>
      <c r="K836" s="60"/>
      <c r="L836" s="61"/>
      <c r="M836" s="1444"/>
      <c r="N836" s="1444"/>
      <c r="O836" s="1444"/>
      <c r="P836" s="1444"/>
      <c r="Q836" s="1444"/>
      <c r="R836" s="1444"/>
      <c r="S836" s="1444"/>
      <c r="T836" s="1444"/>
      <c r="U836" s="1444"/>
      <c r="V836" s="1444"/>
      <c r="W836" s="1444"/>
      <c r="X836" s="1444"/>
      <c r="Y836" s="1444"/>
      <c r="Z836" s="1444"/>
      <c r="AA836" s="1444"/>
      <c r="AB836" s="1444"/>
      <c r="AC836" s="1445"/>
      <c r="AD836" s="1446"/>
      <c r="AE836" s="1446"/>
      <c r="AF836" s="1447"/>
      <c r="AG836" s="1445"/>
      <c r="AH836" s="1446"/>
      <c r="AI836" s="1446"/>
      <c r="AJ836" s="144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29" t="s">
        <v>459</v>
      </c>
      <c r="D837" s="1630"/>
      <c r="E837" s="1630"/>
      <c r="F837" s="1630"/>
      <c r="G837" s="1630"/>
      <c r="H837" s="1630"/>
      <c r="I837" s="60"/>
      <c r="J837" s="60"/>
      <c r="K837" s="60"/>
      <c r="L837" s="61"/>
      <c r="M837" s="1444"/>
      <c r="N837" s="1444"/>
      <c r="O837" s="1444"/>
      <c r="P837" s="1444"/>
      <c r="Q837" s="1444"/>
      <c r="R837" s="1444"/>
      <c r="S837" s="1444"/>
      <c r="T837" s="1444"/>
      <c r="U837" s="1444"/>
      <c r="V837" s="1444"/>
      <c r="W837" s="1444"/>
      <c r="X837" s="1444"/>
      <c r="Y837" s="1444"/>
      <c r="Z837" s="1444"/>
      <c r="AA837" s="1444"/>
      <c r="AB837" s="1444"/>
      <c r="AC837" s="1445"/>
      <c r="AD837" s="1446"/>
      <c r="AE837" s="1446"/>
      <c r="AF837" s="1447"/>
      <c r="AG837" s="1445"/>
      <c r="AH837" s="1446"/>
      <c r="AI837" s="1446"/>
      <c r="AJ837" s="144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52" t="s">
        <v>783</v>
      </c>
      <c r="D838" s="1630"/>
      <c r="E838" s="1630"/>
      <c r="F838" s="1630"/>
      <c r="G838" s="1630"/>
      <c r="H838" s="1630"/>
      <c r="I838" s="60"/>
      <c r="J838" s="60"/>
      <c r="K838" s="60"/>
      <c r="L838" s="61"/>
      <c r="M838" s="1444"/>
      <c r="N838" s="1444"/>
      <c r="O838" s="1444"/>
      <c r="P838" s="1444"/>
      <c r="Q838" s="1444"/>
      <c r="R838" s="1444"/>
      <c r="S838" s="1444"/>
      <c r="T838" s="1444"/>
      <c r="U838" s="1444"/>
      <c r="V838" s="1444"/>
      <c r="W838" s="1444"/>
      <c r="X838" s="1444"/>
      <c r="Y838" s="1444"/>
      <c r="Z838" s="1444"/>
      <c r="AA838" s="1444"/>
      <c r="AB838" s="1444"/>
      <c r="AC838" s="1445"/>
      <c r="AD838" s="1446"/>
      <c r="AE838" s="1446"/>
      <c r="AF838" s="1447"/>
      <c r="AG838" s="1445"/>
      <c r="AH838" s="1446"/>
      <c r="AI838" s="1446"/>
      <c r="AJ838" s="144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31" t="s">
        <v>334</v>
      </c>
      <c r="G839" s="1632"/>
      <c r="H839" s="1632"/>
      <c r="I839" s="1632"/>
      <c r="J839" s="1632"/>
      <c r="K839" s="1632"/>
      <c r="L839" s="1632"/>
      <c r="M839" s="1444"/>
      <c r="N839" s="1444"/>
      <c r="O839" s="1444"/>
      <c r="P839" s="1444"/>
      <c r="Q839" s="1444"/>
      <c r="R839" s="1444"/>
      <c r="S839" s="1444"/>
      <c r="T839" s="1444"/>
      <c r="U839" s="1444"/>
      <c r="V839" s="1444"/>
      <c r="W839" s="1444"/>
      <c r="X839" s="1444"/>
      <c r="Y839" s="1444"/>
      <c r="Z839" s="1444"/>
      <c r="AA839" s="1444"/>
      <c r="AB839" s="1444"/>
      <c r="AC839" s="1445"/>
      <c r="AD839" s="1446"/>
      <c r="AE839" s="1446"/>
      <c r="AF839" s="1447"/>
      <c r="AG839" s="1445"/>
      <c r="AH839" s="1446"/>
      <c r="AI839" s="1446"/>
      <c r="AJ839" s="144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42">
        <f>SUM(M833:P839)</f>
        <v>0</v>
      </c>
      <c r="N840" s="1642"/>
      <c r="O840" s="1642"/>
      <c r="P840" s="1642"/>
      <c r="Q840" s="1642">
        <f>SUM(Q833:T839)</f>
        <v>0</v>
      </c>
      <c r="R840" s="1642"/>
      <c r="S840" s="1642"/>
      <c r="T840" s="1642"/>
      <c r="U840" s="1642">
        <f>SUM(U833:X839)</f>
        <v>0</v>
      </c>
      <c r="V840" s="1642"/>
      <c r="W840" s="1642"/>
      <c r="X840" s="1642"/>
      <c r="Y840" s="1642">
        <f>SUM(Y833:AB839)</f>
        <v>0</v>
      </c>
      <c r="Z840" s="1642"/>
      <c r="AA840" s="1642"/>
      <c r="AB840" s="1642"/>
      <c r="AC840" s="1642">
        <f>SUM(AC833:AF839)</f>
        <v>0</v>
      </c>
      <c r="AD840" s="1642"/>
      <c r="AE840" s="1642"/>
      <c r="AF840" s="1642"/>
      <c r="AG840" s="1642">
        <f>SUM(AG833:AJ839)</f>
        <v>0</v>
      </c>
      <c r="AH840" s="1642"/>
      <c r="AI840" s="1642"/>
      <c r="AJ840" s="1642"/>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80" t="s">
        <v>2744</v>
      </c>
      <c r="D845" s="1681"/>
      <c r="E845" s="1681"/>
      <c r="F845" s="1681"/>
      <c r="G845" s="1681"/>
      <c r="H845" s="1681"/>
      <c r="I845" s="1681"/>
      <c r="J845" s="1681"/>
      <c r="K845" s="1681"/>
      <c r="L845" s="1681"/>
      <c r="M845" s="1681"/>
      <c r="N845" s="1681"/>
      <c r="O845" s="1681"/>
      <c r="P845" s="1681"/>
      <c r="Q845" s="1681"/>
      <c r="R845" s="1681"/>
      <c r="S845" s="1681"/>
      <c r="T845" s="1681"/>
      <c r="U845" s="1681"/>
      <c r="V845" s="1681"/>
      <c r="W845" s="1681"/>
      <c r="X845" s="1681"/>
      <c r="Y845" s="1681"/>
      <c r="Z845" s="1681"/>
      <c r="AA845" s="1681"/>
      <c r="AB845" s="1681"/>
      <c r="AC845" s="1681"/>
      <c r="AD845" s="1681"/>
      <c r="AE845" s="1681"/>
      <c r="AF845" s="1681"/>
      <c r="AG845" s="1681"/>
      <c r="AH845" s="1681"/>
      <c r="AI845" s="1681"/>
      <c r="AJ845" s="168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61">
        <v>1755</v>
      </c>
      <c r="X850" s="1561"/>
      <c r="Y850" s="1561"/>
      <c r="Z850" s="1561"/>
      <c r="AA850" s="1561"/>
      <c r="AB850" s="1561"/>
      <c r="AC850" s="1561"/>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61">
        <v>6899</v>
      </c>
      <c r="X851" s="1561"/>
      <c r="Y851" s="1561"/>
      <c r="Z851" s="1561"/>
      <c r="AA851" s="1561"/>
      <c r="AB851" s="1561"/>
      <c r="AC851" s="1561"/>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61">
        <v>5796</v>
      </c>
      <c r="X852" s="1561"/>
      <c r="Y852" s="1561"/>
      <c r="Z852" s="1561"/>
      <c r="AA852" s="1561"/>
      <c r="AB852" s="1561"/>
      <c r="AC852" s="1561"/>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61">
        <v>7493</v>
      </c>
      <c r="X853" s="1561"/>
      <c r="Y853" s="1561"/>
      <c r="Z853" s="1561"/>
      <c r="AA853" s="1561"/>
      <c r="AB853" s="1561"/>
      <c r="AC853" s="1561"/>
      <c r="AZ853" s="30"/>
      <c r="BA853" s="30"/>
      <c r="BB853" s="14"/>
      <c r="BC853" s="14"/>
      <c r="BD853" s="14"/>
      <c r="BE853" s="14"/>
      <c r="BF853" s="14"/>
      <c r="BG853" s="14"/>
      <c r="BH853" s="14"/>
      <c r="BI853" s="14"/>
      <c r="BJ853" s="14"/>
      <c r="BK853" s="14"/>
      <c r="BL853" s="14"/>
    </row>
    <row r="854" spans="1:64" ht="12.95" customHeight="1">
      <c r="J854" s="45" t="s">
        <v>170</v>
      </c>
      <c r="K854" s="5"/>
      <c r="L854" s="5"/>
      <c r="M854" s="1631" t="s">
        <v>2746</v>
      </c>
      <c r="N854" s="1632"/>
      <c r="O854" s="1632"/>
      <c r="P854" s="1632"/>
      <c r="Q854" s="1632"/>
      <c r="R854" s="1632"/>
      <c r="S854" s="1632"/>
      <c r="T854" s="1632"/>
      <c r="U854" s="1632"/>
      <c r="V854" s="1633"/>
      <c r="W854" s="1561">
        <v>3999</v>
      </c>
      <c r="X854" s="1561"/>
      <c r="Y854" s="1561"/>
      <c r="Z854" s="1561"/>
      <c r="AA854" s="1561"/>
      <c r="AB854" s="1561"/>
      <c r="AC854" s="1561"/>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51">
        <f>SUM(W850:W854)</f>
        <v>25942</v>
      </c>
      <c r="X855" s="1452"/>
      <c r="Y855" s="1452"/>
      <c r="Z855" s="1452"/>
      <c r="AA855" s="1452"/>
      <c r="AB855" s="1452"/>
      <c r="AC855" s="1453"/>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69"/>
      <c r="BH856" s="1669"/>
      <c r="BI856" s="1669"/>
      <c r="BJ856" s="1669"/>
      <c r="BK856" s="1669"/>
      <c r="BL856" s="1669"/>
    </row>
    <row r="857" spans="1:64" ht="12.95" customHeight="1">
      <c r="C857" s="2" t="s">
        <v>344</v>
      </c>
      <c r="J857" s="1537" t="s">
        <v>345</v>
      </c>
      <c r="K857" s="1538"/>
      <c r="L857" s="1538"/>
      <c r="M857" s="1538"/>
      <c r="N857" s="1538"/>
      <c r="O857" s="1538"/>
      <c r="P857" s="1538"/>
      <c r="Q857" s="1538"/>
      <c r="R857" s="1538"/>
      <c r="S857" s="1538"/>
      <c r="T857" s="1538"/>
      <c r="U857" s="1538"/>
      <c r="V857" s="1539"/>
      <c r="W857" s="1530">
        <v>24792</v>
      </c>
      <c r="X857" s="1531"/>
      <c r="Y857" s="1531"/>
      <c r="Z857" s="1531"/>
      <c r="AA857" s="1531"/>
      <c r="AB857" s="1531"/>
      <c r="AC857" s="1532"/>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53"/>
      <c r="X859" s="1653"/>
      <c r="Y859" s="1653"/>
      <c r="Z859" s="1653"/>
      <c r="AA859" s="1653"/>
      <c r="AB859" s="1653"/>
      <c r="AC859" s="1653"/>
      <c r="AZ859" s="1742"/>
      <c r="BA859" s="1742"/>
      <c r="BB859" s="14"/>
      <c r="BC859" s="14"/>
    </row>
    <row r="860" spans="1:64" ht="12.95" customHeight="1">
      <c r="J860" s="45" t="s">
        <v>351</v>
      </c>
      <c r="K860" s="5"/>
      <c r="L860" s="5"/>
      <c r="M860" s="5"/>
      <c r="N860" s="5"/>
      <c r="O860" s="5"/>
      <c r="P860" s="5"/>
      <c r="Q860" s="5"/>
      <c r="R860" s="5"/>
      <c r="S860" s="5"/>
      <c r="T860" s="5"/>
      <c r="U860" s="5"/>
      <c r="V860" s="46"/>
      <c r="W860" s="1653"/>
      <c r="X860" s="1653"/>
      <c r="Y860" s="1653"/>
      <c r="Z860" s="1653"/>
      <c r="AA860" s="1653"/>
      <c r="AB860" s="1653"/>
      <c r="AC860" s="1653"/>
      <c r="AZ860" s="30"/>
      <c r="BA860" s="30"/>
      <c r="BB860" s="14"/>
      <c r="BC860" s="14"/>
    </row>
    <row r="861" spans="1:64" ht="12.95" customHeight="1">
      <c r="J861" s="45" t="s">
        <v>459</v>
      </c>
      <c r="K861" s="5"/>
      <c r="L861" s="5"/>
      <c r="M861" s="5"/>
      <c r="N861" s="5"/>
      <c r="O861" s="5"/>
      <c r="P861" s="5"/>
      <c r="Q861" s="5"/>
      <c r="R861" s="5"/>
      <c r="S861" s="5"/>
      <c r="T861" s="5"/>
      <c r="U861" s="5"/>
      <c r="V861" s="46"/>
      <c r="W861" s="1653">
        <f>0+11204</f>
        <v>11204</v>
      </c>
      <c r="X861" s="1653"/>
      <c r="Y861" s="1653"/>
      <c r="Z861" s="1653"/>
      <c r="AA861" s="1653"/>
      <c r="AB861" s="1653"/>
      <c r="AC861" s="1653"/>
      <c r="AZ861" s="30"/>
      <c r="BA861" s="30"/>
      <c r="BB861" s="14"/>
      <c r="BC861" s="14"/>
    </row>
    <row r="862" spans="1:64" ht="12.95" customHeight="1">
      <c r="J862" s="62" t="s">
        <v>620</v>
      </c>
      <c r="K862" s="5"/>
      <c r="L862" s="5"/>
      <c r="M862" s="5"/>
      <c r="N862" s="5"/>
      <c r="O862" s="5"/>
      <c r="P862" s="5"/>
      <c r="Q862" s="5"/>
      <c r="R862" s="5"/>
      <c r="S862" s="5"/>
      <c r="T862" s="5"/>
      <c r="U862" s="5"/>
      <c r="V862" s="46"/>
      <c r="W862" s="1653">
        <v>11994</v>
      </c>
      <c r="X862" s="1653"/>
      <c r="Y862" s="1653"/>
      <c r="Z862" s="1653"/>
      <c r="AA862" s="1653"/>
      <c r="AB862" s="1653"/>
      <c r="AC862" s="1653"/>
      <c r="AZ862" s="34"/>
      <c r="BA862" s="34"/>
      <c r="BB862" s="34"/>
      <c r="BC862" s="34"/>
    </row>
    <row r="863" spans="1:64" ht="12.95" customHeight="1">
      <c r="J863" s="63"/>
      <c r="K863" s="48"/>
      <c r="L863" s="48"/>
      <c r="M863" s="48"/>
      <c r="N863" s="48"/>
      <c r="O863" s="48"/>
      <c r="P863" s="48"/>
      <c r="Q863" s="48"/>
      <c r="R863" s="48"/>
      <c r="S863" s="48"/>
      <c r="T863" s="48"/>
      <c r="U863" s="48"/>
      <c r="V863" s="54" t="s">
        <v>272</v>
      </c>
      <c r="W863" s="1679">
        <f>SUM(W859:W862)</f>
        <v>23198</v>
      </c>
      <c r="X863" s="1679"/>
      <c r="Y863" s="1679"/>
      <c r="Z863" s="1679"/>
      <c r="AA863" s="1679"/>
      <c r="AB863" s="1679"/>
      <c r="AC863" s="1679"/>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399">
        <f>20720+5666+822</f>
        <v>27208</v>
      </c>
      <c r="X865" s="1400"/>
      <c r="Y865" s="1400"/>
      <c r="Z865" s="1400"/>
      <c r="AA865" s="1400"/>
      <c r="AB865" s="1400"/>
      <c r="AC865" s="1401"/>
      <c r="AD865" s="528"/>
      <c r="AZ865" s="34"/>
      <c r="BA865" s="34"/>
      <c r="BB865" s="34"/>
      <c r="BC865" s="34"/>
    </row>
    <row r="866" spans="3:55" ht="12.95" customHeight="1">
      <c r="C866" s="2" t="s">
        <v>347</v>
      </c>
      <c r="J866" s="121" t="s">
        <v>1644</v>
      </c>
      <c r="K866" s="5"/>
      <c r="L866" s="5"/>
      <c r="M866" s="5"/>
      <c r="N866" s="5"/>
      <c r="O866" s="5"/>
      <c r="P866" s="5"/>
      <c r="Q866" s="5"/>
      <c r="R866" s="5"/>
      <c r="S866" s="5"/>
      <c r="T866" s="1683">
        <v>1</v>
      </c>
      <c r="U866" s="1684"/>
      <c r="V866" s="168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399">
        <f>17308+6288</f>
        <v>23596</v>
      </c>
      <c r="X867" s="1400"/>
      <c r="Y867" s="1400"/>
      <c r="Z867" s="1400"/>
      <c r="AA867" s="1400"/>
      <c r="AB867" s="1400"/>
      <c r="AC867" s="1401"/>
      <c r="AD867" s="533"/>
      <c r="AZ867" s="34"/>
      <c r="BA867" s="34"/>
      <c r="BB867" s="34"/>
      <c r="BC867" s="34"/>
    </row>
    <row r="868" spans="3:55" ht="12.95" customHeight="1">
      <c r="C868" s="2"/>
      <c r="J868" s="121" t="s">
        <v>1645</v>
      </c>
      <c r="K868" s="5"/>
      <c r="L868" s="5"/>
      <c r="M868" s="5"/>
      <c r="N868" s="5"/>
      <c r="O868" s="5"/>
      <c r="P868" s="5"/>
      <c r="Q868" s="5"/>
      <c r="R868" s="5"/>
      <c r="S868" s="5"/>
      <c r="T868" s="1683">
        <v>1</v>
      </c>
      <c r="U868" s="1684"/>
      <c r="V868" s="1685"/>
      <c r="W868" s="870"/>
      <c r="X868" s="871"/>
      <c r="Y868" s="871"/>
      <c r="Z868" s="871"/>
      <c r="AA868" s="871"/>
      <c r="AB868" s="871"/>
      <c r="AC868" s="872"/>
      <c r="AD868" s="533"/>
      <c r="AZ868" s="34"/>
      <c r="BA868" s="34"/>
      <c r="BB868" s="34"/>
      <c r="BC868" s="34"/>
    </row>
    <row r="869" spans="3:55" ht="12.95" customHeight="1">
      <c r="J869" s="45" t="s">
        <v>170</v>
      </c>
      <c r="K869" s="5"/>
      <c r="L869" s="5"/>
      <c r="M869" s="1631" t="s">
        <v>2750</v>
      </c>
      <c r="N869" s="1632"/>
      <c r="O869" s="1632"/>
      <c r="P869" s="1632"/>
      <c r="Q869" s="1632"/>
      <c r="R869" s="1632"/>
      <c r="S869" s="1632"/>
      <c r="T869" s="1632"/>
      <c r="U869" s="1632"/>
      <c r="V869" s="1633"/>
      <c r="W869" s="1399">
        <v>9565</v>
      </c>
      <c r="X869" s="1400"/>
      <c r="Y869" s="1400"/>
      <c r="Z869" s="1400"/>
      <c r="AA869" s="1400"/>
      <c r="AB869" s="1400"/>
      <c r="AC869" s="1401"/>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7">
        <f>SUM(W865:W869)</f>
        <v>60369</v>
      </c>
      <c r="X870" s="1738"/>
      <c r="Y870" s="1738"/>
      <c r="Z870" s="1738"/>
      <c r="AA870" s="1738"/>
      <c r="AB870" s="1738"/>
      <c r="AC870" s="1739"/>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399">
        <v>18713</v>
      </c>
      <c r="X872" s="1400"/>
      <c r="Y872" s="1400"/>
      <c r="Z872" s="1400"/>
      <c r="AA872" s="1400"/>
      <c r="AB872" s="1400"/>
      <c r="AC872" s="1401"/>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61">
        <v>1622</v>
      </c>
      <c r="X874" s="1561"/>
      <c r="Y874" s="1561"/>
      <c r="Z874" s="1561"/>
      <c r="AA874" s="1561"/>
      <c r="AB874" s="1561"/>
      <c r="AC874" s="1561"/>
      <c r="AU874" s="14"/>
      <c r="AZ874" s="34"/>
      <c r="BA874" s="34"/>
      <c r="BB874" s="34"/>
      <c r="BC874" s="34"/>
    </row>
    <row r="875" spans="3:55" ht="12.95" customHeight="1">
      <c r="J875" s="45" t="s">
        <v>522</v>
      </c>
      <c r="K875" s="5"/>
      <c r="L875" s="5"/>
      <c r="M875" s="5"/>
      <c r="N875" s="5"/>
      <c r="O875" s="5"/>
      <c r="P875" s="5"/>
      <c r="Q875" s="5"/>
      <c r="R875" s="5"/>
      <c r="S875" s="5"/>
      <c r="T875" s="5"/>
      <c r="U875" s="5"/>
      <c r="V875" s="46"/>
      <c r="W875" s="1561">
        <f>4909+5000</f>
        <v>9909</v>
      </c>
      <c r="X875" s="1561"/>
      <c r="Y875" s="1561"/>
      <c r="Z875" s="1561"/>
      <c r="AA875" s="1561"/>
      <c r="AB875" s="1561"/>
      <c r="AC875" s="1561"/>
      <c r="AU875" s="4"/>
      <c r="AZ875" s="34"/>
      <c r="BA875" s="34"/>
      <c r="BB875" s="34"/>
      <c r="BC875" s="34"/>
    </row>
    <row r="876" spans="3:55" ht="12.95" customHeight="1">
      <c r="J876" s="45" t="s">
        <v>521</v>
      </c>
      <c r="K876" s="5"/>
      <c r="L876" s="5"/>
      <c r="M876" s="5"/>
      <c r="N876" s="5"/>
      <c r="O876" s="5"/>
      <c r="P876" s="5"/>
      <c r="Q876" s="5"/>
      <c r="R876" s="5"/>
      <c r="S876" s="5"/>
      <c r="T876" s="5"/>
      <c r="U876" s="5"/>
      <c r="V876" s="46"/>
      <c r="W876" s="1561">
        <v>4648</v>
      </c>
      <c r="X876" s="1561"/>
      <c r="Y876" s="1561"/>
      <c r="Z876" s="1561"/>
      <c r="AA876" s="1561"/>
      <c r="AB876" s="1561"/>
      <c r="AC876" s="1561"/>
      <c r="AU876" s="4"/>
      <c r="AZ876" s="34"/>
      <c r="BA876" s="34"/>
      <c r="BB876" s="34"/>
      <c r="BC876" s="34"/>
    </row>
    <row r="877" spans="3:55" ht="12.95" customHeight="1">
      <c r="J877" s="45" t="s">
        <v>520</v>
      </c>
      <c r="K877" s="5"/>
      <c r="L877" s="5"/>
      <c r="M877" s="5"/>
      <c r="N877" s="5"/>
      <c r="O877" s="5"/>
      <c r="P877" s="5"/>
      <c r="Q877" s="5"/>
      <c r="R877" s="5"/>
      <c r="S877" s="5"/>
      <c r="T877" s="5"/>
      <c r="U877" s="5"/>
      <c r="V877" s="46"/>
      <c r="W877" s="1561">
        <v>2162</v>
      </c>
      <c r="X877" s="1561"/>
      <c r="Y877" s="1561"/>
      <c r="Z877" s="1561"/>
      <c r="AA877" s="1561"/>
      <c r="AB877" s="1561"/>
      <c r="AC877" s="1561"/>
      <c r="AU877" s="4"/>
      <c r="AZ877" s="34"/>
      <c r="BA877" s="34"/>
      <c r="BB877" s="34"/>
      <c r="BC877" s="34"/>
    </row>
    <row r="878" spans="3:55" ht="12.95" customHeight="1">
      <c r="J878" s="45" t="s">
        <v>519</v>
      </c>
      <c r="K878" s="5"/>
      <c r="L878" s="5"/>
      <c r="M878" s="5"/>
      <c r="N878" s="5"/>
      <c r="O878" s="5"/>
      <c r="P878" s="5"/>
      <c r="Q878" s="5"/>
      <c r="R878" s="5"/>
      <c r="S878" s="5"/>
      <c r="T878" s="5"/>
      <c r="U878" s="5"/>
      <c r="V878" s="46"/>
      <c r="W878" s="1561">
        <v>7916</v>
      </c>
      <c r="X878" s="1561"/>
      <c r="Y878" s="1561"/>
      <c r="Z878" s="1561"/>
      <c r="AA878" s="1561"/>
      <c r="AB878" s="1561"/>
      <c r="AC878" s="1561"/>
      <c r="AU878" s="4"/>
      <c r="AZ878" s="34"/>
      <c r="BA878" s="34"/>
      <c r="BB878" s="34"/>
      <c r="BC878" s="34"/>
    </row>
    <row r="879" spans="3:55" ht="12.95" customHeight="1">
      <c r="J879" s="45" t="s">
        <v>518</v>
      </c>
      <c r="K879" s="5"/>
      <c r="L879" s="5"/>
      <c r="M879" s="5"/>
      <c r="N879" s="5"/>
      <c r="O879" s="5"/>
      <c r="P879" s="5"/>
      <c r="Q879" s="5"/>
      <c r="R879" s="5"/>
      <c r="S879" s="5"/>
      <c r="T879" s="5"/>
      <c r="U879" s="5"/>
      <c r="V879" s="46"/>
      <c r="W879" s="1561"/>
      <c r="X879" s="1561"/>
      <c r="Y879" s="1561"/>
      <c r="Z879" s="1561"/>
      <c r="AA879" s="1561"/>
      <c r="AB879" s="1561"/>
      <c r="AC879" s="1561"/>
      <c r="AU879" s="4"/>
      <c r="AZ879" s="34"/>
      <c r="BA879" s="34"/>
      <c r="BB879" s="34"/>
      <c r="BC879" s="34"/>
    </row>
    <row r="880" spans="3:55" ht="12.95" customHeight="1">
      <c r="J880" s="45" t="s">
        <v>170</v>
      </c>
      <c r="K880" s="5"/>
      <c r="L880" s="5"/>
      <c r="M880" s="1631" t="s">
        <v>334</v>
      </c>
      <c r="N880" s="1632"/>
      <c r="O880" s="1632"/>
      <c r="P880" s="1632"/>
      <c r="Q880" s="1632"/>
      <c r="R880" s="1632"/>
      <c r="S880" s="1632"/>
      <c r="T880" s="1632"/>
      <c r="U880" s="1632"/>
      <c r="V880" s="1633"/>
      <c r="W880" s="1561"/>
      <c r="X880" s="1561"/>
      <c r="Y880" s="1561"/>
      <c r="Z880" s="1561"/>
      <c r="AA880" s="1561"/>
      <c r="AB880" s="1561"/>
      <c r="AC880" s="1561"/>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730">
        <f>SUM(W874:W880)</f>
        <v>26257</v>
      </c>
      <c r="X881" s="1730"/>
      <c r="Y881" s="1730"/>
      <c r="Z881" s="1730"/>
      <c r="AA881" s="1730"/>
      <c r="AB881" s="1730"/>
      <c r="AC881" s="173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31" t="s">
        <v>334</v>
      </c>
      <c r="N883" s="1632"/>
      <c r="O883" s="1632"/>
      <c r="P883" s="1632"/>
      <c r="Q883" s="1632"/>
      <c r="R883" s="1632"/>
      <c r="S883" s="1632"/>
      <c r="T883" s="1632"/>
      <c r="U883" s="1632"/>
      <c r="V883" s="1633"/>
      <c r="W883" s="1530"/>
      <c r="X883" s="1531"/>
      <c r="Y883" s="1531"/>
      <c r="Z883" s="1531"/>
      <c r="AA883" s="1531"/>
      <c r="AB883" s="1531"/>
      <c r="AC883" s="1532"/>
      <c r="AD883" s="533"/>
      <c r="AV883" s="14"/>
      <c r="AW883" s="14"/>
      <c r="AX883" s="14"/>
      <c r="AY883" s="14"/>
      <c r="AZ883" s="34"/>
      <c r="BA883" s="34"/>
      <c r="BB883" s="34"/>
      <c r="BC883" s="34"/>
    </row>
    <row r="884" spans="3:55" ht="12.95" customHeight="1">
      <c r="C884" s="2" t="s">
        <v>1244</v>
      </c>
      <c r="J884" s="45" t="s">
        <v>170</v>
      </c>
      <c r="K884" s="5"/>
      <c r="L884" s="5"/>
      <c r="M884" s="1631" t="s">
        <v>334</v>
      </c>
      <c r="N884" s="1632"/>
      <c r="O884" s="1632"/>
      <c r="P884" s="1632"/>
      <c r="Q884" s="1632"/>
      <c r="R884" s="1632"/>
      <c r="S884" s="1632"/>
      <c r="T884" s="1632"/>
      <c r="U884" s="1632"/>
      <c r="V884" s="1633"/>
      <c r="W884" s="1530"/>
      <c r="X884" s="1531"/>
      <c r="Y884" s="1531"/>
      <c r="Z884" s="1531"/>
      <c r="AA884" s="1531"/>
      <c r="AB884" s="1531"/>
      <c r="AC884" s="1532"/>
      <c r="AD884" s="533"/>
      <c r="AV884" s="14"/>
      <c r="AW884" s="14"/>
      <c r="AX884" s="14"/>
      <c r="AY884" s="14"/>
      <c r="AZ884" s="34"/>
      <c r="BA884" s="34"/>
      <c r="BB884" s="34"/>
      <c r="BC884" s="34"/>
    </row>
    <row r="885" spans="3:55" ht="12.95" customHeight="1">
      <c r="J885" s="45" t="s">
        <v>170</v>
      </c>
      <c r="K885" s="5"/>
      <c r="L885" s="5"/>
      <c r="M885" s="1631" t="s">
        <v>334</v>
      </c>
      <c r="N885" s="1632"/>
      <c r="O885" s="1632"/>
      <c r="P885" s="1632"/>
      <c r="Q885" s="1632"/>
      <c r="R885" s="1632"/>
      <c r="S885" s="1632"/>
      <c r="T885" s="1632"/>
      <c r="U885" s="1632"/>
      <c r="V885" s="1633"/>
      <c r="W885" s="1530"/>
      <c r="X885" s="1531"/>
      <c r="Y885" s="1531"/>
      <c r="Z885" s="1531"/>
      <c r="AA885" s="1531"/>
      <c r="AB885" s="1531"/>
      <c r="AC885" s="1532"/>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31" t="s">
        <v>334</v>
      </c>
      <c r="N886" s="1632"/>
      <c r="O886" s="1632"/>
      <c r="P886" s="1632"/>
      <c r="Q886" s="1632"/>
      <c r="R886" s="1632"/>
      <c r="S886" s="1632"/>
      <c r="T886" s="1632"/>
      <c r="U886" s="1632"/>
      <c r="V886" s="1633"/>
      <c r="W886" s="1530"/>
      <c r="X886" s="1531"/>
      <c r="Y886" s="1531"/>
      <c r="Z886" s="1531"/>
      <c r="AA886" s="1531"/>
      <c r="AB886" s="1531"/>
      <c r="AC886" s="1532"/>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31" t="s">
        <v>334</v>
      </c>
      <c r="N887" s="1632"/>
      <c r="O887" s="1632"/>
      <c r="P887" s="1632"/>
      <c r="Q887" s="1632"/>
      <c r="R887" s="1632"/>
      <c r="S887" s="1632"/>
      <c r="T887" s="1632"/>
      <c r="U887" s="1632"/>
      <c r="V887" s="1633"/>
      <c r="W887" s="1530"/>
      <c r="X887" s="1531"/>
      <c r="Y887" s="1531"/>
      <c r="Z887" s="1531"/>
      <c r="AA887" s="1531"/>
      <c r="AB887" s="1531"/>
      <c r="AC887" s="1532"/>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51">
        <f>SUM(W883:W887)</f>
        <v>0</v>
      </c>
      <c r="X888" s="1452"/>
      <c r="Y888" s="1452"/>
      <c r="Z888" s="1452"/>
      <c r="AA888" s="1452"/>
      <c r="AB888" s="1452"/>
      <c r="AC888" s="1453"/>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52">
        <f>W855+W863+W870+W872+W881+W888+W857</f>
        <v>179271</v>
      </c>
      <c r="AD892" s="1452"/>
      <c r="AE892" s="1452"/>
      <c r="AF892" s="1452"/>
      <c r="AG892" s="1452"/>
      <c r="AH892" s="1453"/>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31">
        <f>O805+O785+G761</f>
        <v>24</v>
      </c>
      <c r="AD893" s="1731"/>
      <c r="AE893" s="1731"/>
      <c r="AF893" s="1731"/>
      <c r="AG893" s="1731"/>
      <c r="AH893" s="1732"/>
      <c r="AL893" s="4"/>
      <c r="AM893" s="4"/>
      <c r="AN893" s="4"/>
      <c r="AO893" s="4"/>
      <c r="AP893" s="4"/>
      <c r="AQ893" s="4"/>
      <c r="AR893" s="4"/>
      <c r="AS893" s="4"/>
      <c r="AT893" s="4"/>
      <c r="AZ893" s="34"/>
      <c r="BA893" s="34"/>
      <c r="BB893" s="34"/>
      <c r="BC893" s="34"/>
    </row>
    <row r="894" spans="3:55" ht="12.95" customHeight="1">
      <c r="C894" s="41"/>
      <c r="D894" s="42"/>
      <c r="E894" s="1634" t="s">
        <v>32</v>
      </c>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730">
        <f>IF(ISERROR((ROUNDDOWN(AC892/AC893,0))),0,(ROUNDDOWN(AC892/AC893,0)))</f>
        <v>7469</v>
      </c>
      <c r="AD894" s="1730"/>
      <c r="AE894" s="1730"/>
      <c r="AF894" s="1730"/>
      <c r="AG894" s="1730"/>
      <c r="AH894" s="173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3">
        <f>'Sources and Uses Budget'!C75</f>
        <v>129965</v>
      </c>
      <c r="AD895" s="1734"/>
      <c r="AE895" s="1734"/>
      <c r="AF895" s="1734"/>
      <c r="AG895" s="1734"/>
      <c r="AH895" s="173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532"/>
      <c r="AD896" s="1561"/>
      <c r="AE896" s="1561"/>
      <c r="AF896" s="1561"/>
      <c r="AG896" s="1561"/>
      <c r="AH896" s="1561"/>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531">
        <v>37472</v>
      </c>
      <c r="AD897" s="1531"/>
      <c r="AE897" s="1531"/>
      <c r="AF897" s="1531"/>
      <c r="AG897" s="1531"/>
      <c r="AH897" s="1532"/>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531">
        <v>12000</v>
      </c>
      <c r="AD898" s="1531"/>
      <c r="AE898" s="1531"/>
      <c r="AF898" s="1531"/>
      <c r="AG898" s="1531"/>
      <c r="AH898" s="1532"/>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445">
        <v>3251</v>
      </c>
      <c r="AD899" s="1446"/>
      <c r="AE899" s="1446"/>
      <c r="AF899" s="1446"/>
      <c r="AG899" s="1446"/>
      <c r="AH899" s="144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531">
        <v>2700</v>
      </c>
      <c r="AD900" s="1531"/>
      <c r="AE900" s="1531"/>
      <c r="AF900" s="1531"/>
      <c r="AG900" s="1531"/>
      <c r="AH900" s="1532"/>
      <c r="AZ900" s="34"/>
      <c r="BA900" s="34"/>
      <c r="BB900" s="34"/>
      <c r="BC900" s="34"/>
    </row>
    <row r="901" spans="1:58" ht="12.95" hidden="1" customHeight="1">
      <c r="C901" s="1537" t="s">
        <v>2188</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531"/>
      <c r="AD901" s="1531"/>
      <c r="AE901" s="1531"/>
      <c r="AF901" s="1531"/>
      <c r="AG901" s="1531"/>
      <c r="AH901" s="1532"/>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531"/>
      <c r="AD902" s="1531"/>
      <c r="AE902" s="1531"/>
      <c r="AF902" s="1531"/>
      <c r="AG902" s="1531"/>
      <c r="AH902" s="1532"/>
      <c r="AZ902" s="34"/>
      <c r="BA902" s="34"/>
      <c r="BB902" s="34"/>
      <c r="BC902" s="34"/>
    </row>
    <row r="903" spans="1:58" ht="12.95" customHeight="1">
      <c r="C903" s="1671" t="s">
        <v>2745</v>
      </c>
      <c r="D903" s="1672"/>
      <c r="E903" s="1672"/>
      <c r="F903" s="1672"/>
      <c r="G903" s="1672"/>
      <c r="H903" s="1672"/>
      <c r="I903" s="1672"/>
      <c r="J903" s="1672"/>
      <c r="K903" s="1672"/>
      <c r="L903" s="1672"/>
      <c r="M903" s="1672"/>
      <c r="N903" s="1672"/>
      <c r="O903" s="1672"/>
      <c r="P903" s="1672"/>
      <c r="Q903" s="1672"/>
      <c r="R903" s="1672"/>
      <c r="S903" s="1672"/>
      <c r="T903" s="1672"/>
      <c r="U903" s="1672"/>
      <c r="V903" s="1672"/>
      <c r="W903" s="1672"/>
      <c r="X903" s="1672"/>
      <c r="Y903" s="1672"/>
      <c r="Z903" s="1672"/>
      <c r="AA903" s="1672"/>
      <c r="AB903" s="1673"/>
      <c r="AC903" s="1561">
        <v>17500</v>
      </c>
      <c r="AD903" s="1561"/>
      <c r="AE903" s="1561"/>
      <c r="AF903" s="1561"/>
      <c r="AG903" s="1561"/>
      <c r="AH903" s="1561"/>
      <c r="AZ903" s="34"/>
      <c r="BA903" s="34"/>
      <c r="BB903" s="34"/>
      <c r="BC903" s="34"/>
    </row>
    <row r="904" spans="1:58" ht="12.95" customHeight="1">
      <c r="C904" s="1671" t="s">
        <v>956</v>
      </c>
      <c r="D904" s="1672"/>
      <c r="E904" s="1672"/>
      <c r="F904" s="1672"/>
      <c r="G904" s="1672"/>
      <c r="H904" s="1672"/>
      <c r="I904" s="1672"/>
      <c r="J904" s="1672"/>
      <c r="K904" s="1672"/>
      <c r="L904" s="1672"/>
      <c r="M904" s="1672"/>
      <c r="N904" s="1672"/>
      <c r="O904" s="1672"/>
      <c r="P904" s="1672"/>
      <c r="Q904" s="1672"/>
      <c r="R904" s="1672"/>
      <c r="S904" s="1672"/>
      <c r="T904" s="1672"/>
      <c r="U904" s="1672"/>
      <c r="V904" s="1672"/>
      <c r="W904" s="1672"/>
      <c r="X904" s="1672"/>
      <c r="Y904" s="1672"/>
      <c r="Z904" s="1672"/>
      <c r="AA904" s="1672"/>
      <c r="AB904" s="1673"/>
      <c r="AC904" s="1561"/>
      <c r="AD904" s="1561"/>
      <c r="AE904" s="1561"/>
      <c r="AF904" s="1561"/>
      <c r="AG904" s="1561"/>
      <c r="AH904" s="1561"/>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530"/>
      <c r="AA908" s="1531"/>
      <c r="AB908" s="1531"/>
      <c r="AC908" s="1531"/>
      <c r="AD908" s="1531"/>
      <c r="AE908" s="1532"/>
      <c r="AF908" s="533"/>
      <c r="AZ908" s="34"/>
      <c r="BB908" s="30"/>
      <c r="BC908" s="812"/>
      <c r="BD908" s="1670"/>
      <c r="BE908" s="1670"/>
      <c r="BF908" s="14"/>
    </row>
    <row r="909" spans="1:58" ht="12.95" customHeight="1">
      <c r="H909" s="121" t="s">
        <v>239</v>
      </c>
      <c r="I909" s="5"/>
      <c r="J909" s="5"/>
      <c r="K909" s="5"/>
      <c r="L909" s="5"/>
      <c r="M909" s="5"/>
      <c r="N909" s="5"/>
      <c r="O909" s="5"/>
      <c r="P909" s="5"/>
      <c r="Q909" s="5"/>
      <c r="R909" s="5"/>
      <c r="S909" s="5"/>
      <c r="T909" s="5"/>
      <c r="U909" s="5"/>
      <c r="V909" s="5"/>
      <c r="W909" s="5"/>
      <c r="X909" s="5"/>
      <c r="Y909" s="5"/>
      <c r="Z909" s="1530"/>
      <c r="AA909" s="1531"/>
      <c r="AB909" s="1531"/>
      <c r="AC909" s="1531"/>
      <c r="AD909" s="1531"/>
      <c r="AE909" s="1532"/>
      <c r="AZ909" s="34"/>
      <c r="BB909" s="30"/>
      <c r="BC909" s="812"/>
      <c r="BD909" s="1670"/>
      <c r="BE909" s="1670"/>
      <c r="BF909" s="14"/>
    </row>
    <row r="910" spans="1:58" ht="12.95" customHeight="1">
      <c r="H910" s="121" t="s">
        <v>240</v>
      </c>
      <c r="I910" s="5"/>
      <c r="J910" s="5"/>
      <c r="K910" s="5"/>
      <c r="L910" s="5"/>
      <c r="M910" s="5"/>
      <c r="N910" s="5"/>
      <c r="O910" s="5"/>
      <c r="P910" s="5"/>
      <c r="Q910" s="5"/>
      <c r="R910" s="5"/>
      <c r="S910" s="5"/>
      <c r="T910" s="5"/>
      <c r="U910" s="5"/>
      <c r="V910" s="5"/>
      <c r="W910" s="5"/>
      <c r="X910" s="5"/>
      <c r="Y910" s="5"/>
      <c r="Z910" s="1530"/>
      <c r="AA910" s="1531"/>
      <c r="AB910" s="1531"/>
      <c r="AC910" s="1531"/>
      <c r="AD910" s="1531"/>
      <c r="AE910" s="1532"/>
      <c r="AZ910" s="34"/>
      <c r="BB910" s="30"/>
      <c r="BC910" s="812"/>
      <c r="BD910" s="1669"/>
      <c r="BE910" s="166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51">
        <f>Z908-(Z909+Z910)</f>
        <v>0</v>
      </c>
      <c r="AA911" s="1452"/>
      <c r="AB911" s="1452"/>
      <c r="AC911" s="1452"/>
      <c r="AD911" s="1452"/>
      <c r="AE911" s="1453"/>
      <c r="AZ911" s="34"/>
      <c r="BB911" s="30"/>
      <c r="BC911" s="812"/>
      <c r="BD911" s="1669"/>
      <c r="BE911" s="166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9"/>
      <c r="BE912" s="166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0"/>
      <c r="BE913" s="166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0"/>
      <c r="BE914" s="1740"/>
      <c r="BF914" s="174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9"/>
      <c r="BE916" s="166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0"/>
      <c r="BE917" s="1669"/>
      <c r="BF917" s="14"/>
    </row>
    <row r="918" spans="1:58" ht="12.95" customHeight="1">
      <c r="AZ918" s="34"/>
      <c r="BB918" s="30"/>
      <c r="BC918" s="812"/>
    </row>
    <row r="919" spans="1:58" ht="12.95" customHeight="1">
      <c r="A919" s="1411" t="s">
        <v>96</v>
      </c>
      <c r="B919" s="1411"/>
      <c r="C919" s="1411"/>
      <c r="D919" s="1411"/>
      <c r="E919" s="1411"/>
      <c r="F919" s="1411"/>
      <c r="G919" s="1411"/>
      <c r="H919" s="1411"/>
      <c r="I919" s="1411"/>
      <c r="J919" s="1411"/>
      <c r="K919" s="1411"/>
      <c r="L919" s="1411"/>
      <c r="M919" s="1411"/>
      <c r="N919" s="1411"/>
      <c r="O919" s="1411"/>
      <c r="P919" s="1411"/>
      <c r="Q919" s="1411"/>
      <c r="R919" s="1411"/>
      <c r="S919" s="1411"/>
      <c r="T919" s="1411"/>
      <c r="U919" s="1411"/>
      <c r="V919" s="1411"/>
      <c r="W919" s="1411"/>
      <c r="X919" s="1411"/>
      <c r="Y919" s="1411"/>
      <c r="Z919" s="1411"/>
      <c r="AA919" s="1411"/>
      <c r="AB919" s="1411"/>
      <c r="AC919" s="1411"/>
      <c r="AD919" s="1411"/>
      <c r="AE919" s="1411"/>
      <c r="AF919" s="1411"/>
      <c r="AG919" s="1411"/>
      <c r="AH919" s="1411"/>
      <c r="AI919" s="1411"/>
      <c r="AJ919" s="1411"/>
      <c r="AK919" s="1411"/>
      <c r="AL919" s="1411"/>
      <c r="AM919" s="1411"/>
      <c r="AN919" s="1411"/>
      <c r="AO919" s="1411"/>
      <c r="AP919" s="1411"/>
      <c r="AQ919" s="1411"/>
      <c r="AR919" s="1411"/>
      <c r="AS919" s="1411"/>
      <c r="AT919" s="1411"/>
      <c r="AZ919" s="34"/>
      <c r="BA919" s="34"/>
      <c r="BB919" s="30"/>
      <c r="BC919" s="30"/>
      <c r="BD919" s="1670"/>
      <c r="BE919" s="1669"/>
      <c r="BF919" s="907"/>
    </row>
    <row r="920" spans="1:58" ht="12.95" customHeight="1">
      <c r="A920" s="1411"/>
      <c r="B920" s="1411"/>
      <c r="C920" s="1411"/>
      <c r="D920" s="1411"/>
      <c r="E920" s="1411"/>
      <c r="F920" s="1411"/>
      <c r="G920" s="1411"/>
      <c r="H920" s="1411"/>
      <c r="I920" s="1411"/>
      <c r="J920" s="1411"/>
      <c r="K920" s="1411"/>
      <c r="L920" s="1411"/>
      <c r="M920" s="1411"/>
      <c r="N920" s="1411"/>
      <c r="O920" s="1411"/>
      <c r="P920" s="1411"/>
      <c r="Q920" s="1411"/>
      <c r="R920" s="1411"/>
      <c r="S920" s="1411"/>
      <c r="T920" s="1411"/>
      <c r="U920" s="1411"/>
      <c r="V920" s="1411"/>
      <c r="W920" s="1411"/>
      <c r="X920" s="1411"/>
      <c r="Y920" s="1411"/>
      <c r="Z920" s="1411"/>
      <c r="AA920" s="1411"/>
      <c r="AB920" s="1411"/>
      <c r="AC920" s="1411"/>
      <c r="AD920" s="1411"/>
      <c r="AE920" s="1411"/>
      <c r="AF920" s="1411"/>
      <c r="AG920" s="1411"/>
      <c r="AH920" s="1411"/>
      <c r="AI920" s="1411"/>
      <c r="AJ920" s="1411"/>
      <c r="AK920" s="1411"/>
      <c r="AL920" s="1411"/>
      <c r="AM920" s="1411"/>
      <c r="AN920" s="1411"/>
      <c r="AO920" s="1411"/>
      <c r="AP920" s="1411"/>
      <c r="AQ920" s="1411"/>
      <c r="AR920" s="1411"/>
      <c r="AS920" s="1411"/>
      <c r="AT920" s="141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74" t="s">
        <v>792</v>
      </c>
      <c r="G924" s="1675"/>
      <c r="H924" s="1675"/>
      <c r="I924" s="1675"/>
      <c r="J924" s="1675"/>
      <c r="K924" s="1675"/>
      <c r="L924" s="1675"/>
      <c r="M924" s="1675"/>
      <c r="N924" s="1675"/>
      <c r="O924" s="1675"/>
      <c r="P924" s="1675"/>
      <c r="Q924" s="1675"/>
      <c r="R924" s="1675"/>
      <c r="S924" s="1675"/>
      <c r="T924" s="1676"/>
      <c r="U924" s="1636" t="s">
        <v>31</v>
      </c>
      <c r="V924" s="1637"/>
      <c r="W924" s="1637"/>
      <c r="X924" s="1637"/>
      <c r="Y924" s="1637"/>
      <c r="Z924" s="1637"/>
      <c r="AA924" s="43"/>
      <c r="AB924" s="105"/>
      <c r="AC924" s="105"/>
      <c r="AD924" s="105"/>
      <c r="AE924" s="105"/>
      <c r="AF924" s="106"/>
      <c r="AZ924" s="34"/>
      <c r="BA924" s="34"/>
      <c r="BB924" s="34"/>
      <c r="BC924" s="34"/>
    </row>
    <row r="925" spans="1:58" ht="12.95" customHeight="1">
      <c r="B925" s="2"/>
      <c r="F925" s="1638" t="s">
        <v>818</v>
      </c>
      <c r="G925" s="1639"/>
      <c r="H925" s="1639"/>
      <c r="I925" s="1639"/>
      <c r="J925" s="1639"/>
      <c r="K925" s="1639"/>
      <c r="L925" s="1639"/>
      <c r="M925" s="1639"/>
      <c r="N925" s="1639"/>
      <c r="O925" s="1639"/>
      <c r="P925" s="1639"/>
      <c r="Q925" s="1639"/>
      <c r="R925" s="1639"/>
      <c r="S925" s="1639"/>
      <c r="T925" s="1662"/>
      <c r="U925" s="1638"/>
      <c r="V925" s="1639"/>
      <c r="W925" s="1639"/>
      <c r="X925" s="1639"/>
      <c r="Y925" s="1639"/>
      <c r="Z925" s="1639"/>
      <c r="AA925" s="44"/>
      <c r="AB925" s="4"/>
      <c r="AC925" s="4"/>
      <c r="AD925" s="4"/>
      <c r="AE925" s="4"/>
      <c r="AF925" s="107"/>
      <c r="AZ925" s="34"/>
      <c r="BA925" s="34"/>
      <c r="BB925" s="34"/>
      <c r="BC925" s="34"/>
    </row>
    <row r="926" spans="1:58" ht="12.95" customHeight="1">
      <c r="B926" s="2"/>
      <c r="F926" s="1640"/>
      <c r="G926" s="1641"/>
      <c r="H926" s="1641"/>
      <c r="I926" s="1641"/>
      <c r="J926" s="1641"/>
      <c r="K926" s="1641"/>
      <c r="L926" s="1641"/>
      <c r="M926" s="1641"/>
      <c r="N926" s="1641"/>
      <c r="O926" s="1641"/>
      <c r="P926" s="1641"/>
      <c r="Q926" s="1641"/>
      <c r="R926" s="1641"/>
      <c r="S926" s="1641"/>
      <c r="T926" s="1651"/>
      <c r="U926" s="1640"/>
      <c r="V926" s="1641"/>
      <c r="W926" s="1641"/>
      <c r="X926" s="1641"/>
      <c r="Y926" s="1641"/>
      <c r="Z926" s="1641"/>
      <c r="AA926" s="108"/>
      <c r="AB926" s="1735" t="s">
        <v>391</v>
      </c>
      <c r="AC926" s="1735"/>
      <c r="AD926" s="1735"/>
      <c r="AE926" s="1735"/>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96" t="s">
        <v>545</v>
      </c>
      <c r="V927" s="1397"/>
      <c r="W927" s="1397"/>
      <c r="X927" s="1397"/>
      <c r="Y927" s="1397"/>
      <c r="Z927" s="1398"/>
      <c r="AA927" s="1478">
        <f>AM562</f>
        <v>14000000</v>
      </c>
      <c r="AB927" s="1479"/>
      <c r="AC927" s="1479"/>
      <c r="AD927" s="1479"/>
      <c r="AE927" s="1479"/>
      <c r="AF927" s="1480"/>
      <c r="AG927" s="1191" t="str">
        <f>IF(NOT(AA927=AW927),"!","")</f>
        <v/>
      </c>
      <c r="AH927" s="3"/>
      <c r="AW927" s="1342">
        <f>SUMIF($M$562:$M$573,"Loan, Tax-Exempt",$AM$562:$AM$573)</f>
        <v>14000000</v>
      </c>
      <c r="AX927" s="1342"/>
      <c r="AY927" s="1342"/>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96" t="s">
        <v>545</v>
      </c>
      <c r="V928" s="1397"/>
      <c r="W928" s="1397"/>
      <c r="X928" s="1397"/>
      <c r="Y928" s="1397"/>
      <c r="Z928" s="1398"/>
      <c r="AA928" s="1478">
        <f>AM563</f>
        <v>24588499</v>
      </c>
      <c r="AB928" s="1479"/>
      <c r="AC928" s="1479"/>
      <c r="AD928" s="1479"/>
      <c r="AE928" s="1479"/>
      <c r="AF928" s="1480"/>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96" t="s">
        <v>591</v>
      </c>
      <c r="V929" s="1397"/>
      <c r="W929" s="1397"/>
      <c r="X929" s="1397"/>
      <c r="Y929" s="1397"/>
      <c r="Z929" s="1398"/>
      <c r="AA929" s="1478"/>
      <c r="AB929" s="1479"/>
      <c r="AC929" s="1479"/>
      <c r="AD929" s="1479"/>
      <c r="AE929" s="1479"/>
      <c r="AF929" s="1480"/>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96" t="s">
        <v>591</v>
      </c>
      <c r="V930" s="1397"/>
      <c r="W930" s="1397"/>
      <c r="X930" s="1397"/>
      <c r="Y930" s="1397"/>
      <c r="Z930" s="1398"/>
      <c r="AA930" s="1478"/>
      <c r="AB930" s="1479"/>
      <c r="AC930" s="1479"/>
      <c r="AD930" s="1479"/>
      <c r="AE930" s="1479"/>
      <c r="AF930" s="1480"/>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96" t="s">
        <v>591</v>
      </c>
      <c r="V931" s="1397"/>
      <c r="W931" s="1397"/>
      <c r="X931" s="1397"/>
      <c r="Y931" s="1397"/>
      <c r="Z931" s="1398"/>
      <c r="AA931" s="1478"/>
      <c r="AB931" s="1479"/>
      <c r="AC931" s="1479"/>
      <c r="AD931" s="1479"/>
      <c r="AE931" s="1479"/>
      <c r="AF931" s="1480"/>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96" t="s">
        <v>591</v>
      </c>
      <c r="V932" s="1397"/>
      <c r="W932" s="1397"/>
      <c r="X932" s="1397"/>
      <c r="Y932" s="1397"/>
      <c r="Z932" s="1398"/>
      <c r="AA932" s="1478"/>
      <c r="AB932" s="1479"/>
      <c r="AC932" s="1479"/>
      <c r="AD932" s="1479"/>
      <c r="AE932" s="1479"/>
      <c r="AF932" s="1480"/>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96" t="s">
        <v>591</v>
      </c>
      <c r="V933" s="1397"/>
      <c r="W933" s="1397"/>
      <c r="X933" s="1397"/>
      <c r="Y933" s="1397"/>
      <c r="Z933" s="1398"/>
      <c r="AA933" s="1478"/>
      <c r="AB933" s="1479"/>
      <c r="AC933" s="1479"/>
      <c r="AD933" s="1479"/>
      <c r="AE933" s="1479"/>
      <c r="AF933" s="1480"/>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96" t="s">
        <v>591</v>
      </c>
      <c r="V934" s="1397"/>
      <c r="W934" s="1397"/>
      <c r="X934" s="1397"/>
      <c r="Y934" s="1397"/>
      <c r="Z934" s="1398"/>
      <c r="AA934" s="1478"/>
      <c r="AB934" s="1479"/>
      <c r="AC934" s="1479"/>
      <c r="AD934" s="1479"/>
      <c r="AE934" s="1479"/>
      <c r="AF934" s="1480"/>
      <c r="AZ934" s="34"/>
      <c r="BA934" s="34"/>
      <c r="BB934" s="34"/>
      <c r="BC934" s="34"/>
    </row>
    <row r="935" spans="6:55" ht="12.95" customHeight="1">
      <c r="F935" s="1644" t="s">
        <v>2148</v>
      </c>
      <c r="G935" s="1645"/>
      <c r="H935" s="1645"/>
      <c r="I935" s="1645"/>
      <c r="J935" s="1645"/>
      <c r="K935" s="1645"/>
      <c r="L935" s="1645"/>
      <c r="M935" s="1645"/>
      <c r="N935" s="1645"/>
      <c r="O935" s="1645"/>
      <c r="P935" s="1645"/>
      <c r="Q935" s="1645"/>
      <c r="R935" s="1645"/>
      <c r="S935" s="1645"/>
      <c r="T935" s="1646"/>
      <c r="U935" s="1396" t="s">
        <v>591</v>
      </c>
      <c r="V935" s="1397"/>
      <c r="W935" s="1397"/>
      <c r="X935" s="1397"/>
      <c r="Y935" s="1397"/>
      <c r="Z935" s="1398"/>
      <c r="AA935" s="1478"/>
      <c r="AB935" s="1479"/>
      <c r="AC935" s="1479"/>
      <c r="AD935" s="1479"/>
      <c r="AE935" s="1479"/>
      <c r="AF935" s="1480"/>
      <c r="AZ935" s="34"/>
      <c r="BA935" s="34"/>
      <c r="BB935" s="34"/>
      <c r="BC935" s="34"/>
    </row>
    <row r="936" spans="6:55" ht="12.95" customHeight="1">
      <c r="F936" s="1644" t="s">
        <v>679</v>
      </c>
      <c r="G936" s="1645"/>
      <c r="H936" s="1645"/>
      <c r="I936" s="1645"/>
      <c r="J936" s="1645"/>
      <c r="K936" s="1645"/>
      <c r="L936" s="1645"/>
      <c r="M936" s="1645"/>
      <c r="N936" s="1645"/>
      <c r="O936" s="1645"/>
      <c r="P936" s="1645"/>
      <c r="Q936" s="1645"/>
      <c r="R936" s="1645"/>
      <c r="S936" s="1645"/>
      <c r="T936" s="1646"/>
      <c r="U936" s="1396" t="s">
        <v>591</v>
      </c>
      <c r="V936" s="1397"/>
      <c r="W936" s="1397"/>
      <c r="X936" s="1397"/>
      <c r="Y936" s="1397"/>
      <c r="Z936" s="1398"/>
      <c r="AA936" s="1478"/>
      <c r="AB936" s="1479"/>
      <c r="AC936" s="1479"/>
      <c r="AD936" s="1479"/>
      <c r="AE936" s="1479"/>
      <c r="AF936" s="1480"/>
      <c r="AU936" s="2"/>
      <c r="AZ936" s="34"/>
      <c r="BA936" s="34"/>
      <c r="BB936" s="34"/>
      <c r="BC936" s="34"/>
    </row>
    <row r="937" spans="6:55" ht="12.95" customHeight="1">
      <c r="F937" s="1644" t="s">
        <v>2149</v>
      </c>
      <c r="G937" s="1645"/>
      <c r="H937" s="1645"/>
      <c r="I937" s="1645"/>
      <c r="J937" s="1645"/>
      <c r="K937" s="1645"/>
      <c r="L937" s="1645"/>
      <c r="M937" s="1645"/>
      <c r="N937" s="1645"/>
      <c r="O937" s="1645"/>
      <c r="P937" s="1645"/>
      <c r="Q937" s="1645"/>
      <c r="R937" s="1645"/>
      <c r="S937" s="1645"/>
      <c r="T937" s="1646"/>
      <c r="U937" s="1396" t="s">
        <v>591</v>
      </c>
      <c r="V937" s="1397"/>
      <c r="W937" s="1397"/>
      <c r="X937" s="1397"/>
      <c r="Y937" s="1397"/>
      <c r="Z937" s="1398"/>
      <c r="AA937" s="1478"/>
      <c r="AB937" s="1479"/>
      <c r="AC937" s="1479"/>
      <c r="AD937" s="1479"/>
      <c r="AE937" s="1479"/>
      <c r="AF937" s="1480"/>
      <c r="AU937" s="2"/>
      <c r="AZ937" s="34"/>
      <c r="BA937" s="34"/>
      <c r="BB937" s="34"/>
      <c r="BC937" s="34"/>
    </row>
    <row r="938" spans="6:55" ht="12.95" customHeight="1">
      <c r="F938" s="1644" t="s">
        <v>2150</v>
      </c>
      <c r="G938" s="1645"/>
      <c r="H938" s="1645"/>
      <c r="I938" s="1645"/>
      <c r="J938" s="1645"/>
      <c r="K938" s="1645"/>
      <c r="L938" s="1645"/>
      <c r="M938" s="1645"/>
      <c r="N938" s="1645"/>
      <c r="O938" s="1645"/>
      <c r="P938" s="1645"/>
      <c r="Q938" s="1645"/>
      <c r="R938" s="1645"/>
      <c r="S938" s="1645"/>
      <c r="T938" s="1646"/>
      <c r="U938" s="1396" t="s">
        <v>591</v>
      </c>
      <c r="V938" s="1397"/>
      <c r="W938" s="1397"/>
      <c r="X938" s="1397"/>
      <c r="Y938" s="1397"/>
      <c r="Z938" s="1398"/>
      <c r="AA938" s="1478"/>
      <c r="AB938" s="1479"/>
      <c r="AC938" s="1479"/>
      <c r="AD938" s="1479"/>
      <c r="AE938" s="1479"/>
      <c r="AF938" s="1480"/>
      <c r="AU938" s="2"/>
      <c r="AZ938" s="34"/>
      <c r="BA938" s="34"/>
      <c r="BB938" s="34"/>
      <c r="BC938" s="34"/>
    </row>
    <row r="939" spans="6:55" ht="12.95" customHeight="1">
      <c r="F939" s="1644" t="s">
        <v>2151</v>
      </c>
      <c r="G939" s="1645"/>
      <c r="H939" s="1645"/>
      <c r="I939" s="1645"/>
      <c r="J939" s="1645"/>
      <c r="K939" s="1645"/>
      <c r="L939" s="1645"/>
      <c r="M939" s="1645"/>
      <c r="N939" s="1645"/>
      <c r="O939" s="1645"/>
      <c r="P939" s="1645"/>
      <c r="Q939" s="1645"/>
      <c r="R939" s="1645"/>
      <c r="S939" s="1645"/>
      <c r="T939" s="1646"/>
      <c r="U939" s="1396" t="s">
        <v>591</v>
      </c>
      <c r="V939" s="1397"/>
      <c r="W939" s="1397"/>
      <c r="X939" s="1397"/>
      <c r="Y939" s="1397"/>
      <c r="Z939" s="1398"/>
      <c r="AA939" s="1478"/>
      <c r="AB939" s="1479"/>
      <c r="AC939" s="1479"/>
      <c r="AD939" s="1479"/>
      <c r="AE939" s="1479"/>
      <c r="AF939" s="1480"/>
      <c r="AU939" s="2"/>
      <c r="AZ939" s="34"/>
      <c r="BA939" s="34"/>
      <c r="BB939" s="34"/>
      <c r="BC939" s="34"/>
    </row>
    <row r="940" spans="6:55" ht="12.95" customHeight="1">
      <c r="F940" s="1644" t="s">
        <v>2152</v>
      </c>
      <c r="G940" s="1645"/>
      <c r="H940" s="1645"/>
      <c r="I940" s="1645"/>
      <c r="J940" s="1645"/>
      <c r="K940" s="1645"/>
      <c r="L940" s="1645"/>
      <c r="M940" s="1645"/>
      <c r="N940" s="1645"/>
      <c r="O940" s="1645"/>
      <c r="P940" s="1645"/>
      <c r="Q940" s="1645"/>
      <c r="R940" s="1645"/>
      <c r="S940" s="1645"/>
      <c r="T940" s="1646"/>
      <c r="U940" s="1396" t="s">
        <v>591</v>
      </c>
      <c r="V940" s="1397"/>
      <c r="W940" s="1397"/>
      <c r="X940" s="1397"/>
      <c r="Y940" s="1397"/>
      <c r="Z940" s="1398"/>
      <c r="AA940" s="1478"/>
      <c r="AB940" s="1479"/>
      <c r="AC940" s="1479"/>
      <c r="AD940" s="1479"/>
      <c r="AE940" s="1479"/>
      <c r="AF940" s="1480"/>
      <c r="AU940" s="2"/>
      <c r="AZ940" s="34"/>
      <c r="BA940" s="34"/>
      <c r="BB940" s="34"/>
      <c r="BC940" s="34"/>
    </row>
    <row r="941" spans="6:55" ht="12.95" customHeight="1">
      <c r="F941" s="1644" t="s">
        <v>2153</v>
      </c>
      <c r="G941" s="1645"/>
      <c r="H941" s="1645"/>
      <c r="I941" s="1645"/>
      <c r="J941" s="1645"/>
      <c r="K941" s="1645"/>
      <c r="L941" s="1645"/>
      <c r="M941" s="1645"/>
      <c r="N941" s="1645"/>
      <c r="O941" s="1645"/>
      <c r="P941" s="1645"/>
      <c r="Q941" s="1645"/>
      <c r="R941" s="1645"/>
      <c r="S941" s="1645"/>
      <c r="T941" s="1646"/>
      <c r="U941" s="1396" t="s">
        <v>591</v>
      </c>
      <c r="V941" s="1397"/>
      <c r="W941" s="1397"/>
      <c r="X941" s="1397"/>
      <c r="Y941" s="1397"/>
      <c r="Z941" s="1398"/>
      <c r="AA941" s="1478"/>
      <c r="AB941" s="1479"/>
      <c r="AC941" s="1479"/>
      <c r="AD941" s="1479"/>
      <c r="AE941" s="1479"/>
      <c r="AF941" s="1480"/>
      <c r="AZ941" s="30"/>
      <c r="BA941" s="30"/>
    </row>
    <row r="942" spans="6:55" ht="12.95" customHeight="1">
      <c r="F942" s="178" t="s">
        <v>676</v>
      </c>
      <c r="G942" s="5"/>
      <c r="H942" s="5"/>
      <c r="I942" s="5"/>
      <c r="J942" s="5"/>
      <c r="K942" s="5"/>
      <c r="L942" s="5"/>
      <c r="M942" s="5"/>
      <c r="N942" s="5"/>
      <c r="O942" s="5"/>
      <c r="P942" s="5"/>
      <c r="Q942" s="5"/>
      <c r="R942" s="5"/>
      <c r="S942" s="5"/>
      <c r="T942" s="46"/>
      <c r="U942" s="1396" t="s">
        <v>591</v>
      </c>
      <c r="V942" s="1397"/>
      <c r="W942" s="1397"/>
      <c r="X942" s="1397"/>
      <c r="Y942" s="1397"/>
      <c r="Z942" s="1398"/>
      <c r="AA942" s="1478"/>
      <c r="AB942" s="1479"/>
      <c r="AC942" s="1479"/>
      <c r="AD942" s="1479"/>
      <c r="AE942" s="1479"/>
      <c r="AF942" s="1480"/>
    </row>
    <row r="943" spans="6:55" ht="12.95" customHeight="1">
      <c r="F943" s="121" t="s">
        <v>1277</v>
      </c>
      <c r="G943" s="5"/>
      <c r="H943" s="5"/>
      <c r="I943" s="5"/>
      <c r="J943" s="5"/>
      <c r="K943" s="5"/>
      <c r="L943" s="5"/>
      <c r="M943" s="5"/>
      <c r="N943" s="5"/>
      <c r="O943" s="5"/>
      <c r="P943" s="5"/>
      <c r="Q943" s="5"/>
      <c r="R943" s="5"/>
      <c r="S943" s="5"/>
      <c r="T943" s="46"/>
      <c r="U943" s="1396" t="s">
        <v>591</v>
      </c>
      <c r="V943" s="1397"/>
      <c r="W943" s="1397"/>
      <c r="X943" s="1397"/>
      <c r="Y943" s="1397"/>
      <c r="Z943" s="1398"/>
      <c r="AA943" s="1478"/>
      <c r="AB943" s="1479"/>
      <c r="AC943" s="1479"/>
      <c r="AD943" s="1479"/>
      <c r="AE943" s="1479"/>
      <c r="AF943" s="1480"/>
      <c r="AZ943" s="30"/>
      <c r="BA943" s="14"/>
    </row>
    <row r="944" spans="6:55" ht="12.95" customHeight="1">
      <c r="F944" s="66" t="s">
        <v>802</v>
      </c>
      <c r="G944" s="5"/>
      <c r="H944" s="5"/>
      <c r="I944" s="5"/>
      <c r="J944" s="5"/>
      <c r="K944" s="5"/>
      <c r="L944" s="5"/>
      <c r="M944" s="5"/>
      <c r="N944" s="5"/>
      <c r="O944" s="5"/>
      <c r="P944" s="5"/>
      <c r="Q944" s="5"/>
      <c r="R944" s="5"/>
      <c r="S944" s="5"/>
      <c r="T944" s="46"/>
      <c r="U944" s="1396" t="s">
        <v>591</v>
      </c>
      <c r="V944" s="1397"/>
      <c r="W944" s="1397"/>
      <c r="X944" s="1397"/>
      <c r="Y944" s="1397"/>
      <c r="Z944" s="1398"/>
      <c r="AA944" s="1478"/>
      <c r="AB944" s="1479"/>
      <c r="AC944" s="1479"/>
      <c r="AD944" s="1479"/>
      <c r="AE944" s="1479"/>
      <c r="AF944" s="1480"/>
      <c r="AZ944" s="30"/>
      <c r="BA944" s="14"/>
    </row>
    <row r="945" spans="6:55" ht="12.95" customHeight="1">
      <c r="F945" s="1647" t="s">
        <v>2157</v>
      </c>
      <c r="G945" s="1648"/>
      <c r="H945" s="1648"/>
      <c r="I945" s="1648"/>
      <c r="J945" s="1648"/>
      <c r="K945" s="1648"/>
      <c r="L945" s="1648"/>
      <c r="M945" s="1648"/>
      <c r="N945" s="1648"/>
      <c r="O945" s="1648"/>
      <c r="P945" s="1648"/>
      <c r="Q945" s="1648"/>
      <c r="R945" s="1648"/>
      <c r="S945" s="1648"/>
      <c r="T945" s="1649"/>
      <c r="U945" s="1396" t="s">
        <v>591</v>
      </c>
      <c r="V945" s="1397"/>
      <c r="W945" s="1397"/>
      <c r="X945" s="1397"/>
      <c r="Y945" s="1397"/>
      <c r="Z945" s="1398"/>
      <c r="AA945" s="1478"/>
      <c r="AB945" s="1479"/>
      <c r="AC945" s="1479"/>
      <c r="AD945" s="1479"/>
      <c r="AE945" s="1479"/>
      <c r="AF945" s="1480"/>
      <c r="AZ945" s="30"/>
      <c r="BA945" s="14"/>
    </row>
    <row r="946" spans="6:55" ht="12.95" customHeight="1">
      <c r="F946" s="1647" t="s">
        <v>2158</v>
      </c>
      <c r="G946" s="1648"/>
      <c r="H946" s="1648"/>
      <c r="I946" s="1648"/>
      <c r="J946" s="1648"/>
      <c r="K946" s="1648"/>
      <c r="L946" s="1648"/>
      <c r="M946" s="1648"/>
      <c r="N946" s="1648"/>
      <c r="O946" s="1648"/>
      <c r="P946" s="1648"/>
      <c r="Q946" s="1648"/>
      <c r="R946" s="1648"/>
      <c r="S946" s="1648"/>
      <c r="T946" s="1649"/>
      <c r="U946" s="1396" t="s">
        <v>591</v>
      </c>
      <c r="V946" s="1397"/>
      <c r="W946" s="1397"/>
      <c r="X946" s="1397"/>
      <c r="Y946" s="1397"/>
      <c r="Z946" s="1398"/>
      <c r="AA946" s="1478"/>
      <c r="AB946" s="1479"/>
      <c r="AC946" s="1479"/>
      <c r="AD946" s="1479"/>
      <c r="AE946" s="1479"/>
      <c r="AF946" s="1480"/>
      <c r="AZ946" s="30"/>
      <c r="BA946" s="30"/>
    </row>
    <row r="947" spans="6:55" ht="12.95" customHeight="1">
      <c r="F947" s="1644" t="s">
        <v>2154</v>
      </c>
      <c r="G947" s="1645"/>
      <c r="H947" s="1645"/>
      <c r="I947" s="1645"/>
      <c r="J947" s="1645"/>
      <c r="K947" s="1645"/>
      <c r="L947" s="1645"/>
      <c r="M947" s="1645"/>
      <c r="N947" s="1645"/>
      <c r="O947" s="1645"/>
      <c r="P947" s="1645"/>
      <c r="Q947" s="1645"/>
      <c r="R947" s="1645"/>
      <c r="S947" s="1645"/>
      <c r="T947" s="1646"/>
      <c r="U947" s="1396" t="s">
        <v>591</v>
      </c>
      <c r="V947" s="1397"/>
      <c r="W947" s="1397"/>
      <c r="X947" s="1397"/>
      <c r="Y947" s="1397"/>
      <c r="Z947" s="1398"/>
      <c r="AA947" s="1478"/>
      <c r="AB947" s="1479"/>
      <c r="AC947" s="1479"/>
      <c r="AD947" s="1479"/>
      <c r="AE947" s="1479"/>
      <c r="AF947" s="1480"/>
      <c r="AZ947" s="30"/>
      <c r="BA947" s="30"/>
    </row>
    <row r="948" spans="6:55" ht="12.95" customHeight="1">
      <c r="F948" s="1644" t="s">
        <v>2155</v>
      </c>
      <c r="G948" s="1645"/>
      <c r="H948" s="1645"/>
      <c r="I948" s="1645"/>
      <c r="J948" s="1645"/>
      <c r="K948" s="1645"/>
      <c r="L948" s="1645"/>
      <c r="M948" s="1645"/>
      <c r="N948" s="1645"/>
      <c r="O948" s="1645"/>
      <c r="P948" s="1645"/>
      <c r="Q948" s="1645"/>
      <c r="R948" s="1645"/>
      <c r="S948" s="1645"/>
      <c r="T948" s="1646"/>
      <c r="U948" s="1396" t="s">
        <v>591</v>
      </c>
      <c r="V948" s="1397"/>
      <c r="W948" s="1397"/>
      <c r="X948" s="1397"/>
      <c r="Y948" s="1397"/>
      <c r="Z948" s="1398"/>
      <c r="AA948" s="1478"/>
      <c r="AB948" s="1479"/>
      <c r="AC948" s="1479"/>
      <c r="AD948" s="1479"/>
      <c r="AE948" s="1479"/>
      <c r="AF948" s="1480"/>
      <c r="AZ948" s="30"/>
      <c r="BA948" s="30"/>
    </row>
    <row r="949" spans="6:55" ht="12.95" customHeight="1">
      <c r="F949" s="1644" t="s">
        <v>2156</v>
      </c>
      <c r="G949" s="1645"/>
      <c r="H949" s="1645"/>
      <c r="I949" s="1645"/>
      <c r="J949" s="1645"/>
      <c r="K949" s="1645"/>
      <c r="L949" s="1645"/>
      <c r="M949" s="1645"/>
      <c r="N949" s="1645"/>
      <c r="O949" s="1645"/>
      <c r="P949" s="1645"/>
      <c r="Q949" s="1645"/>
      <c r="R949" s="1645"/>
      <c r="S949" s="1645"/>
      <c r="T949" s="1646"/>
      <c r="U949" s="1396" t="s">
        <v>591</v>
      </c>
      <c r="V949" s="1397"/>
      <c r="W949" s="1397"/>
      <c r="X949" s="1397"/>
      <c r="Y949" s="1397"/>
      <c r="Z949" s="1398"/>
      <c r="AA949" s="1478"/>
      <c r="AB949" s="1479"/>
      <c r="AC949" s="1479"/>
      <c r="AD949" s="1479"/>
      <c r="AE949" s="1479"/>
      <c r="AF949" s="1480"/>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96" t="s">
        <v>591</v>
      </c>
      <c r="V950" s="1397"/>
      <c r="W950" s="1397"/>
      <c r="X950" s="1397"/>
      <c r="Y950" s="1397"/>
      <c r="Z950" s="1398"/>
      <c r="AA950" s="1478"/>
      <c r="AB950" s="1479"/>
      <c r="AC950" s="1479"/>
      <c r="AD950" s="1479"/>
      <c r="AE950" s="1479"/>
      <c r="AF950" s="1480"/>
      <c r="AZ950" s="34"/>
      <c r="BA950" s="34"/>
      <c r="BB950" s="14"/>
      <c r="BC950" s="14"/>
    </row>
    <row r="951" spans="6:55" ht="12.95" customHeight="1">
      <c r="F951" s="1647" t="s">
        <v>2159</v>
      </c>
      <c r="G951" s="1648"/>
      <c r="H951" s="1648"/>
      <c r="I951" s="1648"/>
      <c r="J951" s="1648"/>
      <c r="K951" s="1648"/>
      <c r="L951" s="1648"/>
      <c r="M951" s="1648"/>
      <c r="N951" s="1648"/>
      <c r="O951" s="1648"/>
      <c r="P951" s="1648"/>
      <c r="Q951" s="1648"/>
      <c r="R951" s="1648"/>
      <c r="S951" s="1648"/>
      <c r="T951" s="1649"/>
      <c r="U951" s="1396" t="s">
        <v>591</v>
      </c>
      <c r="V951" s="1397"/>
      <c r="W951" s="1397"/>
      <c r="X951" s="1397"/>
      <c r="Y951" s="1397"/>
      <c r="Z951" s="1398"/>
      <c r="AA951" s="1478"/>
      <c r="AB951" s="1479"/>
      <c r="AC951" s="1479"/>
      <c r="AD951" s="1479"/>
      <c r="AE951" s="1479"/>
      <c r="AF951" s="1480"/>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96" t="s">
        <v>591</v>
      </c>
      <c r="V952" s="1397"/>
      <c r="W952" s="1397"/>
      <c r="X952" s="1397"/>
      <c r="Y952" s="1397"/>
      <c r="Z952" s="1398"/>
      <c r="AA952" s="1478"/>
      <c r="AB952" s="1479"/>
      <c r="AC952" s="1479"/>
      <c r="AD952" s="1479"/>
      <c r="AE952" s="1479"/>
      <c r="AF952" s="1480"/>
      <c r="AZ952" s="34"/>
      <c r="BA952" s="34"/>
      <c r="BB952" s="34"/>
      <c r="BC952" s="34"/>
    </row>
    <row r="953" spans="6:55" ht="12.95" customHeight="1">
      <c r="F953" s="1647" t="s">
        <v>2160</v>
      </c>
      <c r="G953" s="1648"/>
      <c r="H953" s="1648"/>
      <c r="I953" s="1648"/>
      <c r="J953" s="1648"/>
      <c r="K953" s="1648"/>
      <c r="L953" s="1648"/>
      <c r="M953" s="1648"/>
      <c r="N953" s="1648"/>
      <c r="O953" s="1648"/>
      <c r="P953" s="1648"/>
      <c r="Q953" s="1648"/>
      <c r="R953" s="1648"/>
      <c r="S953" s="1648"/>
      <c r="T953" s="1649"/>
      <c r="U953" s="1396" t="s">
        <v>591</v>
      </c>
      <c r="V953" s="1397"/>
      <c r="W953" s="1397"/>
      <c r="X953" s="1397"/>
      <c r="Y953" s="1397"/>
      <c r="Z953" s="1398"/>
      <c r="AA953" s="1478"/>
      <c r="AB953" s="1479"/>
      <c r="AC953" s="1479"/>
      <c r="AD953" s="1479"/>
      <c r="AE953" s="1479"/>
      <c r="AF953" s="1480"/>
      <c r="AZ953" s="34"/>
      <c r="BA953" s="34"/>
      <c r="BB953" s="34"/>
      <c r="BC953" s="34"/>
    </row>
    <row r="954" spans="6:55" ht="12.95" customHeight="1">
      <c r="F954" s="45" t="s">
        <v>806</v>
      </c>
      <c r="G954" s="5"/>
      <c r="H954" s="5"/>
      <c r="I954" s="5"/>
      <c r="J954" s="5"/>
      <c r="K954" s="5"/>
      <c r="L954" s="5"/>
      <c r="M954" s="5"/>
      <c r="N954" s="5"/>
      <c r="O954" s="5"/>
      <c r="P954" s="1396" t="s">
        <v>669</v>
      </c>
      <c r="Q954" s="1397"/>
      <c r="R954" s="1397"/>
      <c r="S954" s="1397"/>
      <c r="T954" s="1398"/>
      <c r="U954" s="1396" t="s">
        <v>591</v>
      </c>
      <c r="V954" s="1397"/>
      <c r="W954" s="1397"/>
      <c r="X954" s="1397"/>
      <c r="Y954" s="1397"/>
      <c r="Z954" s="1398"/>
      <c r="AA954" s="1478"/>
      <c r="AB954" s="1479"/>
      <c r="AC954" s="1479"/>
      <c r="AD954" s="1479"/>
      <c r="AE954" s="1479"/>
      <c r="AF954" s="1480"/>
      <c r="AZ954" s="34"/>
      <c r="BA954" s="34"/>
      <c r="BB954" s="34"/>
      <c r="BC954" s="34"/>
    </row>
    <row r="955" spans="6:55" ht="12.95" customHeight="1">
      <c r="F955" s="1644" t="s">
        <v>2147</v>
      </c>
      <c r="G955" s="1645"/>
      <c r="H955" s="1646"/>
      <c r="I955" s="1631" t="s">
        <v>334</v>
      </c>
      <c r="J955" s="1632"/>
      <c r="K955" s="1632"/>
      <c r="L955" s="1632"/>
      <c r="M955" s="1632"/>
      <c r="N955" s="1632"/>
      <c r="O955" s="1632"/>
      <c r="P955" s="1632"/>
      <c r="Q955" s="1632"/>
      <c r="R955" s="1632"/>
      <c r="S955" s="1632"/>
      <c r="T955" s="1633"/>
      <c r="U955" s="1396" t="s">
        <v>591</v>
      </c>
      <c r="V955" s="1397"/>
      <c r="W955" s="1397"/>
      <c r="X955" s="1397"/>
      <c r="Y955" s="1397"/>
      <c r="Z955" s="1398"/>
      <c r="AA955" s="1478"/>
      <c r="AB955" s="1479"/>
      <c r="AC955" s="1479"/>
      <c r="AD955" s="1479"/>
      <c r="AE955" s="1479"/>
      <c r="AF955" s="1480"/>
      <c r="AZ955" s="34"/>
      <c r="BA955" s="34"/>
      <c r="BB955" s="34"/>
      <c r="BC955" s="34"/>
    </row>
    <row r="956" spans="6:55" ht="12.95" customHeight="1">
      <c r="F956" s="45" t="s">
        <v>86</v>
      </c>
      <c r="G956" s="48"/>
      <c r="H956" s="48"/>
      <c r="I956" s="1631" t="s">
        <v>334</v>
      </c>
      <c r="J956" s="1632"/>
      <c r="K956" s="1632"/>
      <c r="L956" s="1632"/>
      <c r="M956" s="1632"/>
      <c r="N956" s="1632"/>
      <c r="O956" s="1632"/>
      <c r="P956" s="1632"/>
      <c r="Q956" s="1632"/>
      <c r="R956" s="1632"/>
      <c r="S956" s="1632"/>
      <c r="T956" s="1633"/>
      <c r="U956" s="1396" t="s">
        <v>591</v>
      </c>
      <c r="V956" s="1397"/>
      <c r="W956" s="1397"/>
      <c r="X956" s="1397"/>
      <c r="Y956" s="1397"/>
      <c r="Z956" s="1398"/>
      <c r="AA956" s="1478"/>
      <c r="AB956" s="1479"/>
      <c r="AC956" s="1479"/>
      <c r="AD956" s="1479"/>
      <c r="AE956" s="1479"/>
      <c r="AF956" s="1480"/>
      <c r="AZ956" s="34"/>
      <c r="BA956" s="34"/>
      <c r="BB956" s="34"/>
      <c r="BC956" s="34"/>
    </row>
    <row r="957" spans="6:55" ht="12.95" customHeight="1">
      <c r="F957" s="45" t="s">
        <v>10</v>
      </c>
      <c r="G957" s="48"/>
      <c r="H957" s="48"/>
      <c r="I957" s="1389" t="s">
        <v>334</v>
      </c>
      <c r="J957" s="1390"/>
      <c r="K957" s="1390"/>
      <c r="L957" s="1390"/>
      <c r="M957" s="1390"/>
      <c r="N957" s="1390"/>
      <c r="O957" s="1390"/>
      <c r="P957" s="1390"/>
      <c r="Q957" s="1390"/>
      <c r="R957" s="1390"/>
      <c r="S957" s="1390"/>
      <c r="T957" s="1391"/>
      <c r="U957" s="1396" t="s">
        <v>591</v>
      </c>
      <c r="V957" s="1397"/>
      <c r="W957" s="1397"/>
      <c r="X957" s="1397"/>
      <c r="Y957" s="1397"/>
      <c r="Z957" s="1398"/>
      <c r="AA957" s="1478"/>
      <c r="AB957" s="1479"/>
      <c r="AC957" s="1479"/>
      <c r="AD957" s="1479"/>
      <c r="AE957" s="1479"/>
      <c r="AF957" s="1480"/>
      <c r="AV957" s="2"/>
      <c r="AW957" s="2"/>
      <c r="AX957" s="2"/>
      <c r="AY957" s="2"/>
      <c r="AZ957" s="34"/>
      <c r="BA957" s="34"/>
      <c r="BB957" s="34"/>
      <c r="BC957" s="34"/>
    </row>
    <row r="958" spans="6:55" ht="12.95" customHeight="1">
      <c r="F958" s="47" t="s">
        <v>170</v>
      </c>
      <c r="G958" s="48"/>
      <c r="H958" s="48"/>
      <c r="I958" s="1389" t="s">
        <v>334</v>
      </c>
      <c r="J958" s="1390"/>
      <c r="K958" s="1390"/>
      <c r="L958" s="1390"/>
      <c r="M958" s="1390"/>
      <c r="N958" s="1390"/>
      <c r="O958" s="1390"/>
      <c r="P958" s="1390"/>
      <c r="Q958" s="1390"/>
      <c r="R958" s="1390"/>
      <c r="S958" s="1390"/>
      <c r="T958" s="1391"/>
      <c r="U958" s="1396" t="s">
        <v>591</v>
      </c>
      <c r="V958" s="1397"/>
      <c r="W958" s="1397"/>
      <c r="X958" s="1397"/>
      <c r="Y958" s="1397"/>
      <c r="Z958" s="1398"/>
      <c r="AA958" s="1478"/>
      <c r="AB958" s="1479"/>
      <c r="AC958" s="1479"/>
      <c r="AD958" s="1479"/>
      <c r="AE958" s="1479"/>
      <c r="AF958" s="1480"/>
      <c r="AU958" s="2"/>
      <c r="AZ958" s="34"/>
      <c r="BA958" s="34"/>
      <c r="BB958" s="34"/>
      <c r="BC958" s="34"/>
    </row>
    <row r="959" spans="6:55" ht="12.95" customHeight="1">
      <c r="F959" s="47" t="s">
        <v>170</v>
      </c>
      <c r="G959" s="48"/>
      <c r="H959" s="48"/>
      <c r="I959" s="1389" t="s">
        <v>334</v>
      </c>
      <c r="J959" s="1390"/>
      <c r="K959" s="1390"/>
      <c r="L959" s="1390"/>
      <c r="M959" s="1390"/>
      <c r="N959" s="1390"/>
      <c r="O959" s="1390"/>
      <c r="P959" s="1390"/>
      <c r="Q959" s="1390"/>
      <c r="R959" s="1390"/>
      <c r="S959" s="1390"/>
      <c r="T959" s="1391"/>
      <c r="U959" s="1396" t="s">
        <v>591</v>
      </c>
      <c r="V959" s="1397"/>
      <c r="W959" s="1397"/>
      <c r="X959" s="1397"/>
      <c r="Y959" s="1397"/>
      <c r="Z959" s="1398"/>
      <c r="AA959" s="1478"/>
      <c r="AB959" s="1479"/>
      <c r="AC959" s="1479"/>
      <c r="AD959" s="1479"/>
      <c r="AE959" s="1479"/>
      <c r="AF959" s="1480"/>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386">
        <v>45812</v>
      </c>
      <c r="N964" s="1387"/>
      <c r="O964" s="1387"/>
      <c r="P964" s="1387"/>
      <c r="Q964" s="1387"/>
      <c r="R964" s="1387"/>
      <c r="S964" s="1388"/>
      <c r="U964" s="66" t="s">
        <v>11</v>
      </c>
      <c r="V964" s="5"/>
      <c r="W964" s="5"/>
      <c r="X964" s="5"/>
      <c r="Y964" s="5"/>
      <c r="Z964" s="5"/>
      <c r="AA964" s="5"/>
      <c r="AB964" s="5"/>
      <c r="AC964" s="5"/>
      <c r="AD964" s="46"/>
      <c r="AE964" s="1386"/>
      <c r="AF964" s="1387"/>
      <c r="AG964" s="1387"/>
      <c r="AH964" s="1387"/>
      <c r="AI964" s="1387"/>
      <c r="AJ964" s="1387"/>
      <c r="AK964" s="1388"/>
      <c r="AZ964" s="34"/>
      <c r="BA964" s="34"/>
      <c r="BB964" s="34"/>
      <c r="BC964" s="34"/>
    </row>
    <row r="965" spans="1:64" ht="12.95" customHeight="1">
      <c r="C965" s="66" t="s">
        <v>12</v>
      </c>
      <c r="D965" s="5"/>
      <c r="E965" s="5"/>
      <c r="F965" s="5"/>
      <c r="G965" s="5"/>
      <c r="H965" s="5"/>
      <c r="I965" s="5"/>
      <c r="J965" s="5"/>
      <c r="K965" s="5"/>
      <c r="L965" s="46"/>
      <c r="M965" s="1663" t="s">
        <v>2719</v>
      </c>
      <c r="N965" s="1664"/>
      <c r="O965" s="1664"/>
      <c r="P965" s="1664"/>
      <c r="Q965" s="1664"/>
      <c r="R965" s="1664"/>
      <c r="S965" s="1665"/>
      <c r="U965" s="66" t="s">
        <v>12</v>
      </c>
      <c r="V965" s="5"/>
      <c r="W965" s="5"/>
      <c r="X965" s="5"/>
      <c r="Y965" s="5"/>
      <c r="Z965" s="5"/>
      <c r="AA965" s="5"/>
      <c r="AB965" s="5"/>
      <c r="AC965" s="5"/>
      <c r="AD965" s="46"/>
      <c r="AE965" s="1663"/>
      <c r="AF965" s="1664"/>
      <c r="AG965" s="1664"/>
      <c r="AH965" s="1664"/>
      <c r="AI965" s="1664"/>
      <c r="AJ965" s="1664"/>
      <c r="AK965" s="1665"/>
      <c r="AZ965" s="34"/>
      <c r="BA965" s="34"/>
      <c r="BB965" s="34"/>
      <c r="BC965" s="34"/>
    </row>
    <row r="966" spans="1:64" ht="12.95" customHeight="1">
      <c r="C966" s="66" t="s">
        <v>880</v>
      </c>
      <c r="D966" s="5"/>
      <c r="E966" s="5"/>
      <c r="J966" s="1626" t="s">
        <v>2720</v>
      </c>
      <c r="K966" s="1627"/>
      <c r="L966" s="1627"/>
      <c r="M966" s="1627"/>
      <c r="N966" s="1627"/>
      <c r="O966" s="1627"/>
      <c r="P966" s="1627"/>
      <c r="Q966" s="1627"/>
      <c r="R966" s="1627"/>
      <c r="S966" s="1628"/>
      <c r="U966" s="66" t="s">
        <v>880</v>
      </c>
      <c r="V966" s="5"/>
      <c r="W966" s="5"/>
      <c r="AB966" s="1626" t="s">
        <v>307</v>
      </c>
      <c r="AC966" s="1627"/>
      <c r="AD966" s="1627"/>
      <c r="AE966" s="1627"/>
      <c r="AF966" s="1627"/>
      <c r="AG966" s="1627"/>
      <c r="AH966" s="1627"/>
      <c r="AI966" s="1627"/>
      <c r="AJ966" s="1627"/>
      <c r="AK966" s="1628"/>
      <c r="AZ966" s="34"/>
      <c r="BA966" s="34"/>
      <c r="BB966" s="34"/>
      <c r="BC966" s="34"/>
    </row>
    <row r="967" spans="1:64" ht="12.95" customHeight="1">
      <c r="C967" s="66" t="s">
        <v>13</v>
      </c>
      <c r="D967" s="5"/>
      <c r="E967" s="5"/>
      <c r="F967" s="5"/>
      <c r="G967" s="5"/>
      <c r="H967" s="5"/>
      <c r="I967" s="5"/>
      <c r="J967" s="5"/>
      <c r="K967" s="5"/>
      <c r="L967" s="46"/>
      <c r="M967" s="1623">
        <v>1</v>
      </c>
      <c r="N967" s="1624"/>
      <c r="O967" s="1624"/>
      <c r="P967" s="1624"/>
      <c r="Q967" s="1624"/>
      <c r="R967" s="1624"/>
      <c r="S967" s="1625"/>
      <c r="U967" s="66" t="s">
        <v>13</v>
      </c>
      <c r="V967" s="5"/>
      <c r="W967" s="5"/>
      <c r="X967" s="5"/>
      <c r="Y967" s="5"/>
      <c r="Z967" s="5"/>
      <c r="AA967" s="5"/>
      <c r="AB967" s="5"/>
      <c r="AC967" s="5"/>
      <c r="AD967" s="46"/>
      <c r="AE967" s="1661"/>
      <c r="AF967" s="1624"/>
      <c r="AG967" s="1624"/>
      <c r="AH967" s="1624"/>
      <c r="AI967" s="1624"/>
      <c r="AJ967" s="1624"/>
      <c r="AK967" s="1625"/>
      <c r="AZ967" s="34"/>
      <c r="BA967" s="34"/>
      <c r="BB967" s="34"/>
      <c r="BC967" s="34"/>
    </row>
    <row r="968" spans="1:64" ht="12.95" customHeight="1">
      <c r="C968" s="66" t="s">
        <v>14</v>
      </c>
      <c r="D968" s="5"/>
      <c r="E968" s="5"/>
      <c r="F968" s="5"/>
      <c r="G968" s="5"/>
      <c r="H968" s="5"/>
      <c r="I968" s="5"/>
      <c r="J968" s="5"/>
      <c r="K968" s="5"/>
      <c r="L968" s="46"/>
      <c r="M968" s="1666">
        <v>23</v>
      </c>
      <c r="N968" s="1667"/>
      <c r="O968" s="1667"/>
      <c r="P968" s="1667"/>
      <c r="Q968" s="1667"/>
      <c r="R968" s="1667"/>
      <c r="S968" s="1668"/>
      <c r="U968" s="66" t="s">
        <v>14</v>
      </c>
      <c r="V968" s="5"/>
      <c r="W968" s="5"/>
      <c r="X968" s="5"/>
      <c r="Y968" s="5"/>
      <c r="Z968" s="5"/>
      <c r="AA968" s="5"/>
      <c r="AB968" s="5"/>
      <c r="AC968" s="5"/>
      <c r="AD968" s="46"/>
      <c r="AE968" s="1666"/>
      <c r="AF968" s="1667"/>
      <c r="AG968" s="1667"/>
      <c r="AH968" s="1667"/>
      <c r="AI968" s="1667"/>
      <c r="AJ968" s="1667"/>
      <c r="AK968" s="1668"/>
      <c r="AV968" s="2"/>
      <c r="AW968" s="2"/>
      <c r="AX968" s="2"/>
      <c r="AY968" s="2"/>
      <c r="AZ968" s="34"/>
      <c r="BA968" s="34"/>
      <c r="BB968" s="34"/>
      <c r="BC968" s="34"/>
    </row>
    <row r="969" spans="1:64" ht="12.95" customHeight="1">
      <c r="C969" s="66" t="s">
        <v>15</v>
      </c>
      <c r="D969" s="5"/>
      <c r="E969" s="5"/>
      <c r="F969" s="5"/>
      <c r="G969" s="5"/>
      <c r="H969" s="5"/>
      <c r="I969" s="5"/>
      <c r="J969" s="5"/>
      <c r="K969" s="5"/>
      <c r="L969" s="46"/>
      <c r="M969" s="1478">
        <f>'Subsidy Contract Calculation'!J40</f>
        <v>272292</v>
      </c>
      <c r="N969" s="1479"/>
      <c r="O969" s="1479"/>
      <c r="P969" s="1479"/>
      <c r="Q969" s="1479"/>
      <c r="R969" s="1479"/>
      <c r="S969" s="1480"/>
      <c r="U969" s="66" t="s">
        <v>15</v>
      </c>
      <c r="V969" s="5"/>
      <c r="W969" s="5"/>
      <c r="X969" s="5"/>
      <c r="Y969" s="5"/>
      <c r="Z969" s="5"/>
      <c r="AA969" s="5"/>
      <c r="AB969" s="5"/>
      <c r="AC969" s="5"/>
      <c r="AD969" s="46"/>
      <c r="AE969" s="1478"/>
      <c r="AF969" s="1479"/>
      <c r="AG969" s="1479"/>
      <c r="AH969" s="1479"/>
      <c r="AI969" s="1479"/>
      <c r="AJ969" s="1479"/>
      <c r="AK969" s="1480"/>
      <c r="AV969" s="2"/>
      <c r="AW969" s="2"/>
      <c r="AX969" s="2"/>
      <c r="AY969" s="2"/>
      <c r="AZ969" s="34"/>
      <c r="BA969" s="34"/>
      <c r="BB969" s="34"/>
      <c r="BC969" s="34"/>
    </row>
    <row r="970" spans="1:64" ht="12.95" customHeight="1">
      <c r="C970" s="66" t="s">
        <v>16</v>
      </c>
      <c r="D970" s="5"/>
      <c r="E970" s="5"/>
      <c r="F970" s="5"/>
      <c r="G970" s="5"/>
      <c r="H970" s="5"/>
      <c r="I970" s="5"/>
      <c r="J970" s="5"/>
      <c r="K970" s="5"/>
      <c r="L970" s="46"/>
      <c r="M970" s="1478">
        <f>M969*M971</f>
        <v>5445840</v>
      </c>
      <c r="N970" s="1479"/>
      <c r="O970" s="1479"/>
      <c r="P970" s="1479"/>
      <c r="Q970" s="1479"/>
      <c r="R970" s="1479"/>
      <c r="S970" s="1480"/>
      <c r="U970" s="66" t="s">
        <v>16</v>
      </c>
      <c r="V970" s="5"/>
      <c r="W970" s="5"/>
      <c r="X970" s="5"/>
      <c r="Y970" s="5"/>
      <c r="Z970" s="5"/>
      <c r="AA970" s="5"/>
      <c r="AB970" s="5"/>
      <c r="AC970" s="5"/>
      <c r="AD970" s="46"/>
      <c r="AE970" s="1478"/>
      <c r="AF970" s="1479"/>
      <c r="AG970" s="1479"/>
      <c r="AH970" s="1479"/>
      <c r="AI970" s="1479"/>
      <c r="AJ970" s="1479"/>
      <c r="AK970" s="1480"/>
      <c r="AV970" s="2"/>
      <c r="AW970" s="2"/>
      <c r="AX970" s="2"/>
      <c r="AY970" s="2"/>
      <c r="AZ970" s="34"/>
      <c r="BB970" s="34"/>
      <c r="BC970" s="34"/>
    </row>
    <row r="971" spans="1:64" ht="12.95" customHeight="1">
      <c r="C971" s="121" t="s">
        <v>1650</v>
      </c>
      <c r="D971" s="5"/>
      <c r="E971" s="5"/>
      <c r="F971" s="5"/>
      <c r="G971" s="5"/>
      <c r="H971" s="5"/>
      <c r="I971" s="5"/>
      <c r="J971" s="5"/>
      <c r="K971" s="5"/>
      <c r="L971" s="46"/>
      <c r="M971" s="1475">
        <v>20</v>
      </c>
      <c r="N971" s="1476"/>
      <c r="O971" s="1476"/>
      <c r="P971" s="1476"/>
      <c r="Q971" s="1476"/>
      <c r="R971" s="1476"/>
      <c r="S971" s="1477"/>
      <c r="U971" s="121" t="s">
        <v>1650</v>
      </c>
      <c r="V971" s="5"/>
      <c r="W971" s="5"/>
      <c r="X971" s="5"/>
      <c r="Y971" s="5"/>
      <c r="Z971" s="5"/>
      <c r="AA971" s="5"/>
      <c r="AB971" s="5"/>
      <c r="AC971" s="5"/>
      <c r="AD971" s="46"/>
      <c r="AE971" s="1475"/>
      <c r="AF971" s="1476"/>
      <c r="AG971" s="1476"/>
      <c r="AH971" s="1476"/>
      <c r="AI971" s="1476"/>
      <c r="AJ971" s="1476"/>
      <c r="AK971" s="1477"/>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2"/>
      <c r="N976" s="1373"/>
      <c r="O976" s="1373"/>
      <c r="P976" s="1373"/>
      <c r="Q976" s="1373"/>
      <c r="R976" s="1373"/>
      <c r="S976" s="1374"/>
      <c r="T976" s="66" t="s">
        <v>790</v>
      </c>
      <c r="U976" s="5"/>
      <c r="V976" s="5"/>
      <c r="W976" s="5"/>
      <c r="X976" s="5"/>
      <c r="Y976" s="5"/>
      <c r="Z976" s="46"/>
      <c r="AA976" s="1372"/>
      <c r="AB976" s="1373"/>
      <c r="AC976" s="1373"/>
      <c r="AD976" s="1373"/>
      <c r="AE976" s="1373"/>
      <c r="AF976" s="1373"/>
      <c r="AG976" s="1374"/>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2"/>
      <c r="N977" s="1373"/>
      <c r="O977" s="1373"/>
      <c r="P977" s="1373"/>
      <c r="Q977" s="1373"/>
      <c r="R977" s="1373"/>
      <c r="S977" s="1374"/>
      <c r="T977" s="66" t="s">
        <v>789</v>
      </c>
      <c r="U977" s="5"/>
      <c r="V977" s="5"/>
      <c r="W977" s="5"/>
      <c r="X977" s="5"/>
      <c r="Y977" s="5"/>
      <c r="Z977" s="46"/>
      <c r="AA977" s="1372"/>
      <c r="AB977" s="1373"/>
      <c r="AC977" s="1373"/>
      <c r="AD977" s="1373"/>
      <c r="AE977" s="1373"/>
      <c r="AF977" s="1373"/>
      <c r="AG977" s="1374"/>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54" t="s">
        <v>591</v>
      </c>
      <c r="N978" s="1655"/>
      <c r="O978" s="1655"/>
      <c r="P978" s="1655"/>
      <c r="Q978" s="1655"/>
      <c r="R978" s="1655"/>
      <c r="S978" s="1656"/>
      <c r="T978" s="45" t="s">
        <v>337</v>
      </c>
      <c r="U978" s="5"/>
      <c r="V978" s="5"/>
      <c r="W978" s="5"/>
      <c r="X978" s="5"/>
      <c r="Y978" s="5"/>
      <c r="Z978" s="46"/>
      <c r="AA978" s="1372"/>
      <c r="AB978" s="1373"/>
      <c r="AC978" s="1373"/>
      <c r="AD978" s="1373"/>
      <c r="AE978" s="1373"/>
      <c r="AF978" s="1373"/>
      <c r="AG978" s="1374"/>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2"/>
      <c r="N979" s="1373"/>
      <c r="O979" s="1373"/>
      <c r="P979" s="1373"/>
      <c r="Q979" s="1373"/>
      <c r="R979" s="1373"/>
      <c r="S979" s="1374"/>
      <c r="T979" s="45" t="s">
        <v>338</v>
      </c>
      <c r="U979" s="5"/>
      <c r="V979" s="5"/>
      <c r="W979" s="5"/>
      <c r="X979" s="5"/>
      <c r="Y979" s="5"/>
      <c r="Z979" s="46"/>
      <c r="AA979" s="1372"/>
      <c r="AB979" s="1373"/>
      <c r="AC979" s="1373"/>
      <c r="AD979" s="1373"/>
      <c r="AE979" s="1373"/>
      <c r="AF979" s="1373"/>
      <c r="AG979" s="1374"/>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2"/>
      <c r="N980" s="1373"/>
      <c r="O980" s="1373"/>
      <c r="P980" s="1373"/>
      <c r="Q980" s="1373"/>
      <c r="R980" s="1373"/>
      <c r="S980" s="1374"/>
      <c r="T980" s="45" t="s">
        <v>376</v>
      </c>
      <c r="U980" s="5"/>
      <c r="V980" s="5"/>
      <c r="W980" s="5"/>
      <c r="X980" s="5"/>
      <c r="Y980" s="5"/>
      <c r="Z980" s="46"/>
      <c r="AA980" s="1372"/>
      <c r="AB980" s="1373"/>
      <c r="AC980" s="1373"/>
      <c r="AD980" s="1373"/>
      <c r="AE980" s="1373"/>
      <c r="AF980" s="1373"/>
      <c r="AG980" s="1374"/>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26" t="s">
        <v>307</v>
      </c>
      <c r="N981" s="1627"/>
      <c r="O981" s="1627"/>
      <c r="P981" s="1627"/>
      <c r="Q981" s="1627"/>
      <c r="R981" s="1627"/>
      <c r="S981" s="1628"/>
      <c r="T981" s="1571"/>
      <c r="U981" s="1572"/>
      <c r="V981" s="1572"/>
      <c r="W981" s="1572"/>
      <c r="X981" s="1572"/>
      <c r="Y981" s="1572"/>
      <c r="Z981" s="1573"/>
      <c r="AA981" s="1372"/>
      <c r="AB981" s="1373"/>
      <c r="AC981" s="1373"/>
      <c r="AD981" s="1373"/>
      <c r="AE981" s="1373"/>
      <c r="AF981" s="1373"/>
      <c r="AG981" s="1374"/>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2"/>
      <c r="N982" s="1373"/>
      <c r="O982" s="1373"/>
      <c r="P982" s="1373"/>
      <c r="Q982" s="1373"/>
      <c r="R982" s="1373"/>
      <c r="S982" s="1374"/>
      <c r="T982" s="1571"/>
      <c r="U982" s="1572"/>
      <c r="V982" s="1572"/>
      <c r="W982" s="1572"/>
      <c r="X982" s="1572"/>
      <c r="Y982" s="1572"/>
      <c r="Z982" s="1573"/>
      <c r="AA982" s="1372"/>
      <c r="AB982" s="1373"/>
      <c r="AC982" s="1373"/>
      <c r="AD982" s="1373"/>
      <c r="AE982" s="1373"/>
      <c r="AF982" s="1373"/>
      <c r="AG982" s="1374"/>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618" t="s">
        <v>669</v>
      </c>
      <c r="P983" s="1619"/>
      <c r="Q983" s="92"/>
      <c r="R983" s="92"/>
      <c r="S983" s="93"/>
      <c r="T983" s="41" t="s">
        <v>170</v>
      </c>
      <c r="U983" s="42"/>
      <c r="V983" s="42"/>
      <c r="W983" s="1562" t="s">
        <v>334</v>
      </c>
      <c r="X983" s="1563"/>
      <c r="Y983" s="1563"/>
      <c r="Z983" s="1563"/>
      <c r="AA983" s="1563"/>
      <c r="AB983" s="1563"/>
      <c r="AC983" s="1563"/>
      <c r="AD983" s="1563"/>
      <c r="AE983" s="1563"/>
      <c r="AF983" s="1563"/>
      <c r="AG983" s="1564"/>
      <c r="AU983" s="68"/>
      <c r="AV983" s="95"/>
      <c r="AW983" s="95"/>
      <c r="AX983" s="95"/>
      <c r="AY983" s="95"/>
      <c r="AZ983" s="34"/>
      <c r="BB983" s="34"/>
      <c r="BC983" s="34"/>
      <c r="BD983" s="34"/>
      <c r="BE983" s="34"/>
      <c r="BF983" s="34"/>
      <c r="BG983" s="34"/>
      <c r="BH983" s="34"/>
      <c r="BI983" s="34"/>
      <c r="BJ983" s="34"/>
      <c r="BK983" s="34"/>
      <c r="BL983" s="34"/>
    </row>
    <row r="984" spans="1:64" ht="12.95" customHeight="1">
      <c r="F984" s="1575" t="s">
        <v>33</v>
      </c>
      <c r="G984" s="1484"/>
      <c r="H984" s="1484"/>
      <c r="I984" s="1484"/>
      <c r="J984" s="1484"/>
      <c r="K984" s="1484"/>
      <c r="L984" s="1484"/>
      <c r="M984" s="1372"/>
      <c r="N984" s="1373"/>
      <c r="O984" s="1373"/>
      <c r="P984" s="1373"/>
      <c r="Q984" s="1373"/>
      <c r="R984" s="1373"/>
      <c r="S984" s="1374"/>
      <c r="T984" s="47"/>
      <c r="U984" s="48"/>
      <c r="V984" s="48"/>
      <c r="W984" s="48"/>
      <c r="X984" s="48"/>
      <c r="Y984" s="48"/>
      <c r="Z984" s="124" t="s">
        <v>134</v>
      </c>
      <c r="AA984" s="1592"/>
      <c r="AB984" s="1593"/>
      <c r="AC984" s="1593"/>
      <c r="AD984" s="1593"/>
      <c r="AE984" s="1593"/>
      <c r="AF984" s="1593"/>
      <c r="AG984" s="1594"/>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69"/>
      <c r="BH985" s="1669"/>
      <c r="BI985" s="1669"/>
      <c r="BJ985" s="1669"/>
      <c r="BK985" s="1669"/>
      <c r="BL985" s="166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11" t="s">
        <v>548</v>
      </c>
      <c r="B988" s="1411"/>
      <c r="C988" s="1411"/>
      <c r="D988" s="1411"/>
      <c r="E988" s="1411"/>
      <c r="F988" s="1411"/>
      <c r="G988" s="1411"/>
      <c r="H988" s="1411"/>
      <c r="I988" s="1411"/>
      <c r="J988" s="1411"/>
      <c r="K988" s="1411"/>
      <c r="L988" s="1411"/>
      <c r="M988" s="1411"/>
      <c r="N988" s="1411"/>
      <c r="O988" s="1411"/>
      <c r="P988" s="1411"/>
      <c r="Q988" s="1411"/>
      <c r="R988" s="1411"/>
      <c r="S988" s="1411"/>
      <c r="T988" s="1411"/>
      <c r="U988" s="1411"/>
      <c r="V988" s="1411"/>
      <c r="W988" s="1411"/>
      <c r="X988" s="1411"/>
      <c r="Y988" s="1411"/>
      <c r="Z988" s="1411"/>
      <c r="AA988" s="1411"/>
      <c r="AB988" s="1411"/>
      <c r="AC988" s="1411"/>
      <c r="AD988" s="1411"/>
      <c r="AE988" s="1411"/>
      <c r="AF988" s="1411"/>
      <c r="AG988" s="1411"/>
      <c r="AH988" s="1411"/>
      <c r="AI988" s="1411"/>
      <c r="AJ988" s="1411"/>
      <c r="AK988" s="1411"/>
      <c r="AL988" s="1411"/>
      <c r="AM988" s="1411"/>
      <c r="AN988" s="1411"/>
      <c r="AO988" s="1411"/>
      <c r="AP988" s="1411"/>
      <c r="AQ988" s="1411"/>
      <c r="AR988" s="1411"/>
      <c r="AS988" s="1411"/>
      <c r="AT988" s="1411"/>
      <c r="AU988" s="68"/>
      <c r="AV988" s="68"/>
      <c r="AW988" s="68"/>
      <c r="AX988" s="68"/>
      <c r="AY988" s="68"/>
      <c r="AZ988" s="14"/>
      <c r="BA988" s="14"/>
      <c r="BB988" s="908"/>
      <c r="BC988" s="908"/>
    </row>
    <row r="989" spans="1:64" ht="12.95" customHeight="1">
      <c r="A989" s="1411"/>
      <c r="B989" s="1411"/>
      <c r="C989" s="1411"/>
      <c r="D989" s="1411"/>
      <c r="E989" s="1411"/>
      <c r="F989" s="1411"/>
      <c r="G989" s="1411"/>
      <c r="H989" s="1411"/>
      <c r="I989" s="1411"/>
      <c r="J989" s="1411"/>
      <c r="K989" s="1411"/>
      <c r="L989" s="1411"/>
      <c r="M989" s="1411"/>
      <c r="N989" s="1411"/>
      <c r="O989" s="1411"/>
      <c r="P989" s="1411"/>
      <c r="Q989" s="1411"/>
      <c r="R989" s="1411"/>
      <c r="S989" s="1411"/>
      <c r="T989" s="1411"/>
      <c r="U989" s="1411"/>
      <c r="V989" s="1411"/>
      <c r="W989" s="1411"/>
      <c r="X989" s="1411"/>
      <c r="Y989" s="1411"/>
      <c r="Z989" s="1411"/>
      <c r="AA989" s="1411"/>
      <c r="AB989" s="1411"/>
      <c r="AC989" s="1411"/>
      <c r="AD989" s="1411"/>
      <c r="AE989" s="1411"/>
      <c r="AF989" s="1411"/>
      <c r="AG989" s="1411"/>
      <c r="AH989" s="1411"/>
      <c r="AI989" s="1411"/>
      <c r="AJ989" s="1411"/>
      <c r="AK989" s="1411"/>
      <c r="AL989" s="1411"/>
      <c r="AM989" s="1411"/>
      <c r="AN989" s="1411"/>
      <c r="AO989" s="1411"/>
      <c r="AP989" s="1411"/>
      <c r="AQ989" s="1411"/>
      <c r="AR989" s="1411"/>
      <c r="AS989" s="1411"/>
      <c r="AT989" s="1411"/>
      <c r="AU989" s="68"/>
      <c r="AV989" s="68"/>
      <c r="AW989" s="68"/>
      <c r="AX989" s="68"/>
      <c r="AY989" s="68"/>
      <c r="AZ989" s="30"/>
      <c r="BA989" s="14"/>
      <c r="BB989" s="14"/>
      <c r="BC989" s="14"/>
    </row>
    <row r="990" spans="1:64" ht="12.95" customHeight="1">
      <c r="A990" s="1411"/>
      <c r="B990" s="1411"/>
      <c r="C990" s="1411"/>
      <c r="D990" s="1411"/>
      <c r="E990" s="1411"/>
      <c r="F990" s="1411"/>
      <c r="G990" s="1411"/>
      <c r="H990" s="1411"/>
      <c r="I990" s="1411"/>
      <c r="J990" s="1411"/>
      <c r="K990" s="1411"/>
      <c r="L990" s="1411"/>
      <c r="M990" s="1411"/>
      <c r="N990" s="1411"/>
      <c r="O990" s="1411"/>
      <c r="P990" s="1411"/>
      <c r="Q990" s="1411"/>
      <c r="R990" s="1411"/>
      <c r="S990" s="1411"/>
      <c r="T990" s="1411"/>
      <c r="U990" s="1411"/>
      <c r="V990" s="1411"/>
      <c r="W990" s="1411"/>
      <c r="X990" s="1411"/>
      <c r="Y990" s="1411"/>
      <c r="Z990" s="1411"/>
      <c r="AA990" s="1411"/>
      <c r="AB990" s="1411"/>
      <c r="AC990" s="1411"/>
      <c r="AD990" s="1411"/>
      <c r="AE990" s="1411"/>
      <c r="AF990" s="1411"/>
      <c r="AG990" s="1411"/>
      <c r="AH990" s="1411"/>
      <c r="AI990" s="1411"/>
      <c r="AJ990" s="1411"/>
      <c r="AK990" s="1411"/>
      <c r="AL990" s="1411"/>
      <c r="AM990" s="1411"/>
      <c r="AN990" s="1411"/>
      <c r="AO990" s="1411"/>
      <c r="AP990" s="1411"/>
      <c r="AQ990" s="1411"/>
      <c r="AR990" s="1411"/>
      <c r="AS990" s="1411"/>
      <c r="AT990" s="141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08" t="s">
        <v>638</v>
      </c>
      <c r="E994" s="1409"/>
      <c r="F994" s="1409"/>
      <c r="G994" s="1409"/>
      <c r="H994" s="1409"/>
      <c r="I994" s="1409"/>
      <c r="J994" s="1409"/>
      <c r="K994" s="1409"/>
      <c r="L994" s="1409"/>
      <c r="M994" s="1409"/>
      <c r="N994" s="1409"/>
      <c r="O994" s="1409"/>
      <c r="P994" s="1409"/>
      <c r="Q994" s="1410"/>
      <c r="R994" s="1408" t="s">
        <v>639</v>
      </c>
      <c r="S994" s="1409"/>
      <c r="T994" s="1409"/>
      <c r="U994" s="1409"/>
      <c r="V994" s="1409"/>
      <c r="W994" s="1409"/>
      <c r="X994" s="1409"/>
      <c r="Y994" s="1409"/>
      <c r="Z994" s="1409"/>
      <c r="AA994" s="1410"/>
      <c r="AB994" s="1408" t="s">
        <v>640</v>
      </c>
      <c r="AC994" s="1409"/>
      <c r="AD994" s="1409"/>
      <c r="AE994" s="1409"/>
      <c r="AF994" s="1409"/>
      <c r="AG994" s="1409"/>
      <c r="AH994" s="1409"/>
      <c r="AI994" s="1410"/>
      <c r="AJ994" s="1408" t="s">
        <v>641</v>
      </c>
      <c r="AK994" s="1409"/>
      <c r="AL994" s="1409"/>
      <c r="AM994" s="1409"/>
      <c r="AN994" s="1409"/>
      <c r="AO994" s="1409"/>
      <c r="AP994" s="1409"/>
      <c r="AQ994" s="1410"/>
      <c r="AR994" s="68"/>
      <c r="AS994" s="68"/>
      <c r="AT994" s="68"/>
      <c r="AU994" s="68"/>
      <c r="AV994" s="68"/>
      <c r="AW994" s="68"/>
      <c r="AX994" s="68"/>
      <c r="AY994" s="68"/>
      <c r="AZ994" s="30"/>
      <c r="BB994" s="14"/>
      <c r="BC994" s="14"/>
    </row>
    <row r="995" spans="1:55" ht="12.95" customHeight="1">
      <c r="A995" s="14"/>
      <c r="B995" s="73"/>
      <c r="C995" s="925"/>
      <c r="D995" s="1468" t="s">
        <v>633</v>
      </c>
      <c r="E995" s="1469"/>
      <c r="F995" s="1469"/>
      <c r="G995" s="1469"/>
      <c r="H995" s="1469"/>
      <c r="I995" s="1469"/>
      <c r="J995" s="1469"/>
      <c r="K995" s="1469"/>
      <c r="L995" s="1469"/>
      <c r="M995" s="1469"/>
      <c r="N995" s="1469"/>
      <c r="O995" s="1469"/>
      <c r="P995" s="1469"/>
      <c r="Q995" s="1470"/>
      <c r="R995" s="1471">
        <f>IF(ISNA(IF($CU$122="4%",(INDEX($CS$160:$CW$217,MATCH($DG$122,$CR$160:$CR$217,0),MATCH(D995,$CS$159:$CW$159,0))),(INDEX($CZ$160:$DD$217,MATCH($DG$122,$CY$160:$CY$217,0),MATCH(D995,$CZ$159:$DD$159,0))))),0,IF($CU$122="4%",(INDEX($CS$160:$CW$217,MATCH($DG$122,$CR$160:$CR$217,0),MATCH(D995,$CS$159:$CW$159,0))),(INDEX($CZ$160:$DD$217,MATCH($DG$122,$CY$160:$CY$217,0),MATCH(D995,$CZ$159:$DD$159,0)))))</f>
        <v>437727</v>
      </c>
      <c r="S995" s="1471"/>
      <c r="T995" s="1471"/>
      <c r="U995" s="1471"/>
      <c r="V995" s="1471"/>
      <c r="W995" s="1471"/>
      <c r="X995" s="1471"/>
      <c r="Y995" s="1471"/>
      <c r="Z995" s="1471"/>
      <c r="AA995" s="1471"/>
      <c r="AB995" s="1465">
        <f>CP810</f>
        <v>2</v>
      </c>
      <c r="AC995" s="1466"/>
      <c r="AD995" s="1466"/>
      <c r="AE995" s="1466"/>
      <c r="AF995" s="1466"/>
      <c r="AG995" s="1466"/>
      <c r="AH995" s="1466"/>
      <c r="AI995" s="1467"/>
      <c r="AJ995" s="1472">
        <f>IF(ISERROR((R995*AB995)),0,(R995*AB995))</f>
        <v>875454</v>
      </c>
      <c r="AK995" s="1473"/>
      <c r="AL995" s="1473"/>
      <c r="AM995" s="1473"/>
      <c r="AN995" s="1473"/>
      <c r="AO995" s="1473"/>
      <c r="AP995" s="1473"/>
      <c r="AQ995" s="1474"/>
      <c r="AR995" s="68"/>
      <c r="AS995" s="68"/>
      <c r="AT995" s="68"/>
      <c r="AU995" s="68"/>
      <c r="AV995" s="68"/>
      <c r="AW995" s="68"/>
      <c r="AX995" s="68"/>
      <c r="AY995" s="68"/>
      <c r="AZ995" s="30"/>
      <c r="BB995" s="14"/>
      <c r="BC995" s="14"/>
    </row>
    <row r="996" spans="1:55" ht="12.95" customHeight="1">
      <c r="A996" s="14"/>
      <c r="B996" s="73"/>
      <c r="C996" s="83"/>
      <c r="D996" s="1468" t="s">
        <v>325</v>
      </c>
      <c r="E996" s="1469"/>
      <c r="F996" s="1469"/>
      <c r="G996" s="1469"/>
      <c r="H996" s="1469"/>
      <c r="I996" s="1469"/>
      <c r="J996" s="1469"/>
      <c r="K996" s="1469"/>
      <c r="L996" s="1469"/>
      <c r="M996" s="1469"/>
      <c r="N996" s="1469"/>
      <c r="O996" s="1469"/>
      <c r="P996" s="1469"/>
      <c r="Q996" s="1470"/>
      <c r="R996" s="1471">
        <f>IF(ISNA(IF($CU$122="4%",(INDEX($CS$160:$CW$217,MATCH($DG$122,$CR$160:$CR$217,0),MATCH(D996,$CS$159:$CW$159,0))),(INDEX($CZ$160:$DD$217,MATCH($DG$122,$CY$160:$CY$217,0),MATCH(D996,$CZ$159:$DD$159,0))))),0,IF($CU$122="4%",(INDEX($CS$160:$CW$217,MATCH($DG$122,$CR$160:$CR$217,0),MATCH(D996,$CS$159:$CW$159,0))),(INDEX($CZ$160:$DD$217,MATCH($DG$122,$CY$160:$CY$217,0),MATCH(D996,$CZ$159:$DD$159,0)))))</f>
        <v>504695</v>
      </c>
      <c r="S996" s="1471"/>
      <c r="T996" s="1471"/>
      <c r="U996" s="1471"/>
      <c r="V996" s="1471"/>
      <c r="W996" s="1471"/>
      <c r="X996" s="1471"/>
      <c r="Y996" s="1471"/>
      <c r="Z996" s="1471"/>
      <c r="AA996" s="1471"/>
      <c r="AB996" s="1465">
        <f>CU810</f>
        <v>20</v>
      </c>
      <c r="AC996" s="1466"/>
      <c r="AD996" s="1466"/>
      <c r="AE996" s="1466"/>
      <c r="AF996" s="1466"/>
      <c r="AG996" s="1466"/>
      <c r="AH996" s="1466"/>
      <c r="AI996" s="1467"/>
      <c r="AJ996" s="1472">
        <f>IF(ISERROR((R996*AB996)),0,(R996*AB996))</f>
        <v>10093900</v>
      </c>
      <c r="AK996" s="1473"/>
      <c r="AL996" s="1473"/>
      <c r="AM996" s="1473"/>
      <c r="AN996" s="1473"/>
      <c r="AO996" s="1473"/>
      <c r="AP996" s="1473"/>
      <c r="AQ996" s="1474"/>
      <c r="AR996" s="68"/>
      <c r="AS996" s="68"/>
      <c r="AT996" s="68"/>
      <c r="AU996" s="68"/>
      <c r="AV996" s="68"/>
      <c r="AW996" s="68"/>
      <c r="AX996" s="68"/>
      <c r="AY996" s="68"/>
      <c r="AZ996" s="30"/>
      <c r="BB996" s="14"/>
      <c r="BC996" s="14"/>
    </row>
    <row r="997" spans="1:55" ht="12.95" customHeight="1">
      <c r="A997" s="14"/>
      <c r="B997" s="73"/>
      <c r="C997" s="83"/>
      <c r="D997" s="1468" t="s">
        <v>163</v>
      </c>
      <c r="E997" s="1469"/>
      <c r="F997" s="1469"/>
      <c r="G997" s="1469"/>
      <c r="H997" s="1469"/>
      <c r="I997" s="1469"/>
      <c r="J997" s="1469"/>
      <c r="K997" s="1469"/>
      <c r="L997" s="1469"/>
      <c r="M997" s="1469"/>
      <c r="N997" s="1469"/>
      <c r="O997" s="1469"/>
      <c r="P997" s="1469"/>
      <c r="Q997" s="1470"/>
      <c r="R997" s="1471">
        <f>IF(ISNA(IF($CU$122="4%",(INDEX($CS$160:$CW$217,MATCH($DG$122,$CR$160:$CR$217,0),MATCH(D997,$CS$159:$CW$159,0))),(INDEX($CZ$160:$DD$217,MATCH($DG$122,$CY$160:$CY$217,0),MATCH(D997,$CZ$159:$DD$159,0))))),0,IF($CU$122="4%",(INDEX($CS$160:$CW$217,MATCH($DG$122,$CR$160:$CR$217,0),MATCH(D997,$CS$159:$CW$159,0))),(INDEX($CZ$160:$DD$217,MATCH($DG$122,$CY$160:$CY$217,0),MATCH(D997,$CZ$159:$DD$159,0)))))</f>
        <v>608800</v>
      </c>
      <c r="S997" s="1471"/>
      <c r="T997" s="1471"/>
      <c r="U997" s="1471"/>
      <c r="V997" s="1471"/>
      <c r="W997" s="1471"/>
      <c r="X997" s="1471"/>
      <c r="Y997" s="1471"/>
      <c r="Z997" s="1471"/>
      <c r="AA997" s="1471"/>
      <c r="AB997" s="1465">
        <f>CZ810</f>
        <v>2</v>
      </c>
      <c r="AC997" s="1466"/>
      <c r="AD997" s="1466"/>
      <c r="AE997" s="1466"/>
      <c r="AF997" s="1466"/>
      <c r="AG997" s="1466"/>
      <c r="AH997" s="1466"/>
      <c r="AI997" s="1467"/>
      <c r="AJ997" s="1472">
        <f>IF(ISERROR((R997*AB997)),0,(R997*AB997))</f>
        <v>1217600</v>
      </c>
      <c r="AK997" s="1473"/>
      <c r="AL997" s="1473"/>
      <c r="AM997" s="1473"/>
      <c r="AN997" s="1473"/>
      <c r="AO997" s="1473"/>
      <c r="AP997" s="1473"/>
      <c r="AQ997" s="1474"/>
      <c r="AR997" s="68"/>
      <c r="AS997" s="68"/>
      <c r="AT997" s="68"/>
      <c r="AU997" s="68"/>
      <c r="AV997" s="68"/>
      <c r="AW997" s="68"/>
      <c r="AX997" s="68"/>
      <c r="AY997" s="68"/>
      <c r="AZ997" s="30"/>
      <c r="BB997" s="14"/>
      <c r="BC997" s="14"/>
    </row>
    <row r="998" spans="1:55" ht="12.95" customHeight="1">
      <c r="A998" s="14"/>
      <c r="B998" s="73"/>
      <c r="C998" s="83"/>
      <c r="D998" s="1468" t="s">
        <v>164</v>
      </c>
      <c r="E998" s="1469"/>
      <c r="F998" s="1469"/>
      <c r="G998" s="1469"/>
      <c r="H998" s="1469"/>
      <c r="I998" s="1469"/>
      <c r="J998" s="1469"/>
      <c r="K998" s="1469"/>
      <c r="L998" s="1469"/>
      <c r="M998" s="1469"/>
      <c r="N998" s="1469"/>
      <c r="O998" s="1469"/>
      <c r="P998" s="1469"/>
      <c r="Q998" s="1470"/>
      <c r="R998" s="1471">
        <f>IF(ISNA(IF($CU$122="4%",(INDEX($CS$160:$CW$217,MATCH($DG$122,$CR$160:$CR$217,0),MATCH(D998,$CS$159:$CW$159,0))),(INDEX($CZ$160:$DD$217,MATCH($DG$122,$CY$160:$CY$217,0),MATCH(D998,$CZ$159:$DD$159,0))))),0,IF($CU$122="4%",(INDEX($CS$160:$CW$217,MATCH($DG$122,$CR$160:$CR$217,0),MATCH(D998,$CS$159:$CW$159,0))),(INDEX($CZ$160:$DD$217,MATCH($DG$122,$CY$160:$CY$217,0),MATCH(D998,$CZ$159:$DD$159,0)))))</f>
        <v>779264</v>
      </c>
      <c r="S998" s="1471"/>
      <c r="T998" s="1471"/>
      <c r="U998" s="1471"/>
      <c r="V998" s="1471"/>
      <c r="W998" s="1471"/>
      <c r="X998" s="1471"/>
      <c r="Y998" s="1471"/>
      <c r="Z998" s="1471"/>
      <c r="AA998" s="1471"/>
      <c r="AB998" s="1465">
        <f>DE810</f>
        <v>0</v>
      </c>
      <c r="AC998" s="1466"/>
      <c r="AD998" s="1466"/>
      <c r="AE998" s="1466"/>
      <c r="AF998" s="1466"/>
      <c r="AG998" s="1466"/>
      <c r="AH998" s="1466"/>
      <c r="AI998" s="1467"/>
      <c r="AJ998" s="1472">
        <f>IF(ISERROR((R998*AB998)),0,(R998*AB998))</f>
        <v>0</v>
      </c>
      <c r="AK998" s="1473"/>
      <c r="AL998" s="1473"/>
      <c r="AM998" s="1473"/>
      <c r="AN998" s="1473"/>
      <c r="AO998" s="1473"/>
      <c r="AP998" s="1473"/>
      <c r="AQ998" s="1474"/>
      <c r="AR998" s="68"/>
      <c r="AS998" s="68"/>
      <c r="AT998" s="68"/>
      <c r="AU998" s="68"/>
      <c r="AV998" s="68"/>
      <c r="AW998" s="68"/>
      <c r="AX998" s="68"/>
      <c r="AY998" s="68"/>
      <c r="AZ998" s="30"/>
      <c r="BA998" s="34"/>
      <c r="BB998" s="14"/>
      <c r="BC998" s="14"/>
    </row>
    <row r="999" spans="1:55" ht="12.95" customHeight="1">
      <c r="A999" s="14"/>
      <c r="B999" s="47"/>
      <c r="C999" s="78"/>
      <c r="D999" s="1468" t="s">
        <v>460</v>
      </c>
      <c r="E999" s="1469"/>
      <c r="F999" s="1469"/>
      <c r="G999" s="1469"/>
      <c r="H999" s="1469"/>
      <c r="I999" s="1469"/>
      <c r="J999" s="1469"/>
      <c r="K999" s="1469"/>
      <c r="L999" s="1469"/>
      <c r="M999" s="1469"/>
      <c r="N999" s="1469"/>
      <c r="O999" s="1469"/>
      <c r="P999" s="1469"/>
      <c r="Q999" s="1470"/>
      <c r="R999" s="1471">
        <f>IF(ISNA(IF($CU$122="4%",(INDEX($CS$160:$CW$217,MATCH($DG$122,$CR$160:$CR$217,0),MATCH(D999,$CS$159:$CW$159,0))),(INDEX($CZ$160:$DD$217,MATCH($DG$122,$CY$160:$CY$217,0),MATCH(D999,$CZ$159:$DD$159,0))))),0,IF($CU$122="4%",(INDEX($CS$160:$CW$217,MATCH($DG$122,$CR$160:$CR$217,0),MATCH(D999,$CS$159:$CW$159,0))),(INDEX($CZ$160:$DD$217,MATCH($DG$122,$CY$160:$CY$217,0),MATCH(D999,$CZ$159:$DD$159,0)))))</f>
        <v>868149</v>
      </c>
      <c r="S999" s="1471"/>
      <c r="T999" s="1471"/>
      <c r="U999" s="1471"/>
      <c r="V999" s="1471"/>
      <c r="W999" s="1471"/>
      <c r="X999" s="1471"/>
      <c r="Y999" s="1471"/>
      <c r="Z999" s="1471"/>
      <c r="AA999" s="1471"/>
      <c r="AB999" s="1465">
        <f>DO810+DJ810</f>
        <v>0</v>
      </c>
      <c r="AC999" s="1466"/>
      <c r="AD999" s="1466"/>
      <c r="AE999" s="1466"/>
      <c r="AF999" s="1466"/>
      <c r="AG999" s="1466"/>
      <c r="AH999" s="1466"/>
      <c r="AI999" s="1467"/>
      <c r="AJ999" s="1472">
        <f>IF(ISERROR((R999*AB999)),0,(R999*AB999))</f>
        <v>0</v>
      </c>
      <c r="AK999" s="1473"/>
      <c r="AL999" s="1473"/>
      <c r="AM999" s="1473"/>
      <c r="AN999" s="1473"/>
      <c r="AO999" s="1473"/>
      <c r="AP999" s="1473"/>
      <c r="AQ999" s="1474"/>
      <c r="AR999" s="68"/>
      <c r="AS999" s="68"/>
      <c r="AT999" s="68"/>
      <c r="AU999" s="68"/>
      <c r="AV999" s="68"/>
      <c r="AW999" s="68"/>
      <c r="AX999" s="68"/>
      <c r="AY999" s="68"/>
      <c r="AZ999" s="30"/>
      <c r="BB999" s="14"/>
      <c r="BC999" s="14"/>
    </row>
    <row r="1000" spans="1:55" ht="12.95" customHeight="1">
      <c r="A1000" s="14"/>
      <c r="B1000" s="1606" t="s">
        <v>791</v>
      </c>
      <c r="C1000" s="1607"/>
      <c r="D1000" s="1607"/>
      <c r="E1000" s="1607"/>
      <c r="F1000" s="1607"/>
      <c r="G1000" s="1607"/>
      <c r="H1000" s="1607"/>
      <c r="I1000" s="1607"/>
      <c r="J1000" s="1607"/>
      <c r="K1000" s="1607"/>
      <c r="L1000" s="1607"/>
      <c r="M1000" s="1607"/>
      <c r="N1000" s="1607"/>
      <c r="O1000" s="1607"/>
      <c r="P1000" s="1607"/>
      <c r="Q1000" s="1607"/>
      <c r="R1000" s="1607"/>
      <c r="S1000" s="1607"/>
      <c r="T1000" s="1607"/>
      <c r="U1000" s="1607"/>
      <c r="V1000" s="1607"/>
      <c r="W1000" s="1607"/>
      <c r="X1000" s="1607"/>
      <c r="Y1000" s="1607"/>
      <c r="Z1000" s="1607"/>
      <c r="AA1000" s="1608"/>
      <c r="AB1000" s="1465">
        <f>SUM(AB995:AI999)</f>
        <v>24</v>
      </c>
      <c r="AC1000" s="1466"/>
      <c r="AD1000" s="1466"/>
      <c r="AE1000" s="1466"/>
      <c r="AF1000" s="1466"/>
      <c r="AG1000" s="1466"/>
      <c r="AH1000" s="1466"/>
      <c r="AI1000" s="1467"/>
      <c r="AJ1000" s="1472"/>
      <c r="AK1000" s="1473"/>
      <c r="AL1000" s="1473"/>
      <c r="AM1000" s="1473"/>
      <c r="AN1000" s="1473"/>
      <c r="AO1000" s="1473"/>
      <c r="AP1000" s="1473"/>
      <c r="AQ1000" s="1474"/>
      <c r="AR1000" s="68"/>
      <c r="AS1000" s="68"/>
      <c r="AT1000" s="68"/>
      <c r="AU1000" s="68"/>
      <c r="AV1000" s="68"/>
      <c r="AW1000" s="68"/>
      <c r="AX1000" s="68"/>
      <c r="AY1000" s="68"/>
      <c r="AZ1000" s="34"/>
      <c r="BA1000" s="34"/>
      <c r="BB1000" s="14"/>
      <c r="BC1000" s="14"/>
    </row>
    <row r="1001" spans="1:55" ht="12.95" customHeight="1">
      <c r="A1001" s="14"/>
      <c r="B1001" s="1603" t="s">
        <v>512</v>
      </c>
      <c r="C1001" s="1604"/>
      <c r="D1001" s="1604"/>
      <c r="E1001" s="1604"/>
      <c r="F1001" s="1604"/>
      <c r="G1001" s="1604"/>
      <c r="H1001" s="1604"/>
      <c r="I1001" s="1604"/>
      <c r="J1001" s="1604"/>
      <c r="K1001" s="1604"/>
      <c r="L1001" s="1604"/>
      <c r="M1001" s="1604"/>
      <c r="N1001" s="1604"/>
      <c r="O1001" s="1604"/>
      <c r="P1001" s="1604"/>
      <c r="Q1001" s="1604"/>
      <c r="R1001" s="1604"/>
      <c r="S1001" s="1604"/>
      <c r="T1001" s="1604"/>
      <c r="U1001" s="1604"/>
      <c r="V1001" s="1604"/>
      <c r="W1001" s="1604"/>
      <c r="X1001" s="1604"/>
      <c r="Y1001" s="1604"/>
      <c r="Z1001" s="1604"/>
      <c r="AA1001" s="1604"/>
      <c r="AB1001" s="1604"/>
      <c r="AC1001" s="1604"/>
      <c r="AD1001" s="1604"/>
      <c r="AE1001" s="1604"/>
      <c r="AF1001" s="1604"/>
      <c r="AG1001" s="1604"/>
      <c r="AH1001" s="1604"/>
      <c r="AI1001" s="1605"/>
      <c r="AJ1001" s="1472">
        <f>SUM(AJ995:AQ999)</f>
        <v>12186954</v>
      </c>
      <c r="AK1001" s="1473"/>
      <c r="AL1001" s="1473"/>
      <c r="AM1001" s="1473"/>
      <c r="AN1001" s="1473"/>
      <c r="AO1001" s="1473"/>
      <c r="AP1001" s="1473"/>
      <c r="AQ1001" s="1474"/>
      <c r="AR1001" s="68"/>
      <c r="AS1001" s="68"/>
      <c r="AT1001" s="68"/>
      <c r="AU1001" s="68"/>
      <c r="AV1001" s="68"/>
      <c r="AW1001" s="68"/>
      <c r="AX1001" s="68"/>
      <c r="AY1001" s="68"/>
      <c r="AZ1001" s="34"/>
      <c r="BB1001" s="34"/>
      <c r="BC1001" s="34"/>
    </row>
    <row r="1002" spans="1:55" ht="12.95" customHeight="1">
      <c r="A1002" s="14"/>
      <c r="B1002" s="1600"/>
      <c r="C1002" s="1601"/>
      <c r="D1002" s="1601"/>
      <c r="E1002" s="1601"/>
      <c r="F1002" s="1601"/>
      <c r="G1002" s="1601"/>
      <c r="H1002" s="1601"/>
      <c r="I1002" s="1601"/>
      <c r="J1002" s="1601"/>
      <c r="K1002" s="1601"/>
      <c r="L1002" s="1601"/>
      <c r="M1002" s="1601"/>
      <c r="N1002" s="1601"/>
      <c r="O1002" s="1601"/>
      <c r="P1002" s="1601"/>
      <c r="Q1002" s="1601"/>
      <c r="R1002" s="1601"/>
      <c r="S1002" s="1601"/>
      <c r="T1002" s="1601"/>
      <c r="U1002" s="1601"/>
      <c r="V1002" s="1601"/>
      <c r="W1002" s="1601"/>
      <c r="X1002" s="1601"/>
      <c r="Y1002" s="1601"/>
      <c r="Z1002" s="1601"/>
      <c r="AA1002" s="1601"/>
      <c r="AB1002" s="1601"/>
      <c r="AC1002" s="1601"/>
      <c r="AD1002" s="1601"/>
      <c r="AE1002" s="1602"/>
      <c r="AF1002" s="1595" t="s">
        <v>666</v>
      </c>
      <c r="AG1002" s="1596"/>
      <c r="AH1002" s="1596"/>
      <c r="AI1002" s="1597"/>
      <c r="AJ1002" s="1600"/>
      <c r="AK1002" s="1601"/>
      <c r="AL1002" s="1601"/>
      <c r="AM1002" s="1601"/>
      <c r="AN1002" s="1601"/>
      <c r="AO1002" s="1601"/>
      <c r="AP1002" s="1601"/>
      <c r="AQ1002" s="1602"/>
      <c r="AR1002" s="68"/>
      <c r="AS1002" s="68"/>
      <c r="AT1002" s="68"/>
      <c r="AU1002" s="68"/>
      <c r="AV1002" s="68"/>
      <c r="AW1002" s="68"/>
      <c r="AX1002" s="68"/>
      <c r="AY1002" s="68"/>
      <c r="AZ1002" s="34"/>
      <c r="BA1002" s="34"/>
      <c r="BB1002" s="34"/>
      <c r="BC1002" s="34"/>
    </row>
    <row r="1003" spans="1:55" ht="12.95" customHeight="1">
      <c r="A1003" s="14"/>
      <c r="B1003" s="73"/>
      <c r="C1003" s="923" t="s">
        <v>668</v>
      </c>
      <c r="D1003" s="1565" t="s">
        <v>1220</v>
      </c>
      <c r="E1003" s="1566"/>
      <c r="F1003" s="1566"/>
      <c r="G1003" s="1566"/>
      <c r="H1003" s="1566"/>
      <c r="I1003" s="1566"/>
      <c r="J1003" s="1566"/>
      <c r="K1003" s="1566"/>
      <c r="L1003" s="1566"/>
      <c r="M1003" s="1566"/>
      <c r="N1003" s="1566"/>
      <c r="O1003" s="1566"/>
      <c r="P1003" s="1566"/>
      <c r="Q1003" s="1566"/>
      <c r="R1003" s="1566"/>
      <c r="S1003" s="1566"/>
      <c r="T1003" s="1566"/>
      <c r="U1003" s="1566"/>
      <c r="V1003" s="1566"/>
      <c r="W1003" s="1566"/>
      <c r="X1003" s="1566"/>
      <c r="Y1003" s="1566"/>
      <c r="Z1003" s="1566"/>
      <c r="AA1003" s="1566"/>
      <c r="AB1003" s="1566"/>
      <c r="AC1003" s="1566"/>
      <c r="AD1003" s="1566"/>
      <c r="AE1003" s="1567"/>
      <c r="AF1003" s="79"/>
      <c r="AG1003" s="1598" t="s">
        <v>545</v>
      </c>
      <c r="AH1003" s="1599"/>
      <c r="AI1003" s="87"/>
      <c r="AJ1003" s="1363">
        <f>ROUND(IF(AND(AG1003="yes",D1009&gt;0),AJ1001*0.2,0),0)</f>
        <v>2437391</v>
      </c>
      <c r="AK1003" s="1364"/>
      <c r="AL1003" s="1364"/>
      <c r="AM1003" s="1364"/>
      <c r="AN1003" s="1364"/>
      <c r="AO1003" s="1364"/>
      <c r="AP1003" s="1364"/>
      <c r="AQ1003" s="1365"/>
      <c r="AR1003" s="68"/>
      <c r="AS1003" s="68"/>
      <c r="AT1003" s="68"/>
      <c r="AU1003" s="68"/>
      <c r="AV1003" s="68"/>
      <c r="AW1003" s="68"/>
      <c r="AX1003" s="68"/>
      <c r="AY1003" s="68"/>
      <c r="AZ1003" s="34"/>
      <c r="BA1003" s="34"/>
      <c r="BB1003" s="34"/>
      <c r="BC1003" s="34"/>
    </row>
    <row r="1004" spans="1:55" ht="12.95" customHeight="1">
      <c r="A1004" s="14"/>
      <c r="B1004" s="257"/>
      <c r="C1004" s="256"/>
      <c r="D1004" s="1375" t="s">
        <v>2190</v>
      </c>
      <c r="E1004" s="1376"/>
      <c r="F1004" s="1376"/>
      <c r="G1004" s="1376"/>
      <c r="H1004" s="1376"/>
      <c r="I1004" s="1376"/>
      <c r="J1004" s="1376"/>
      <c r="K1004" s="1376"/>
      <c r="L1004" s="1376"/>
      <c r="M1004" s="1376"/>
      <c r="N1004" s="1376"/>
      <c r="O1004" s="1376"/>
      <c r="P1004" s="1376"/>
      <c r="Q1004" s="1376"/>
      <c r="R1004" s="1376"/>
      <c r="S1004" s="1376"/>
      <c r="T1004" s="1376"/>
      <c r="U1004" s="1376"/>
      <c r="V1004" s="1376"/>
      <c r="W1004" s="1376"/>
      <c r="X1004" s="1376"/>
      <c r="Y1004" s="1376"/>
      <c r="Z1004" s="1376"/>
      <c r="AA1004" s="1376"/>
      <c r="AB1004" s="1376"/>
      <c r="AC1004" s="1376"/>
      <c r="AD1004" s="1376"/>
      <c r="AE1004" s="1377"/>
      <c r="AF1004" s="73"/>
      <c r="AG1004" s="14"/>
      <c r="AH1004" s="14"/>
      <c r="AI1004" s="83"/>
      <c r="AJ1004" s="1366"/>
      <c r="AK1004" s="1367"/>
      <c r="AL1004" s="1367"/>
      <c r="AM1004" s="1367"/>
      <c r="AN1004" s="1367"/>
      <c r="AO1004" s="1367"/>
      <c r="AP1004" s="1367"/>
      <c r="AQ1004" s="1368"/>
      <c r="AR1004" s="68"/>
      <c r="AS1004" s="68"/>
      <c r="AT1004" s="68"/>
      <c r="AU1004" s="68"/>
      <c r="AV1004" s="68"/>
      <c r="AW1004" s="68"/>
      <c r="AX1004" s="68"/>
      <c r="AY1004" s="68"/>
      <c r="AZ1004" s="34"/>
      <c r="BA1004" s="34"/>
      <c r="BB1004" s="34"/>
      <c r="BC1004" s="34"/>
    </row>
    <row r="1005" spans="1:55" ht="12.95" customHeight="1">
      <c r="A1005" s="14"/>
      <c r="B1005" s="257"/>
      <c r="C1005" s="256"/>
      <c r="D1005" s="1375"/>
      <c r="E1005" s="1376"/>
      <c r="F1005" s="1376"/>
      <c r="G1005" s="1376"/>
      <c r="H1005" s="1376"/>
      <c r="I1005" s="1376"/>
      <c r="J1005" s="1376"/>
      <c r="K1005" s="1376"/>
      <c r="L1005" s="1376"/>
      <c r="M1005" s="1376"/>
      <c r="N1005" s="1376"/>
      <c r="O1005" s="1376"/>
      <c r="P1005" s="1376"/>
      <c r="Q1005" s="1376"/>
      <c r="R1005" s="1376"/>
      <c r="S1005" s="1376"/>
      <c r="T1005" s="1376"/>
      <c r="U1005" s="1376"/>
      <c r="V1005" s="1376"/>
      <c r="W1005" s="1376"/>
      <c r="X1005" s="1376"/>
      <c r="Y1005" s="1376"/>
      <c r="Z1005" s="1376"/>
      <c r="AA1005" s="1376"/>
      <c r="AB1005" s="1376"/>
      <c r="AC1005" s="1376"/>
      <c r="AD1005" s="1376"/>
      <c r="AE1005" s="1377"/>
      <c r="AF1005" s="73"/>
      <c r="AG1005" s="14"/>
      <c r="AH1005" s="14"/>
      <c r="AI1005" s="83"/>
      <c r="AJ1005" s="1366"/>
      <c r="AK1005" s="1367"/>
      <c r="AL1005" s="1367"/>
      <c r="AM1005" s="1367"/>
      <c r="AN1005" s="1367"/>
      <c r="AO1005" s="1367"/>
      <c r="AP1005" s="1367"/>
      <c r="AQ1005" s="1368"/>
      <c r="AR1005" s="68"/>
      <c r="AS1005" s="68"/>
      <c r="AT1005" s="68"/>
      <c r="AU1005" s="68"/>
      <c r="AV1005" s="68"/>
      <c r="AW1005" s="68"/>
      <c r="AX1005" s="68"/>
      <c r="AY1005" s="68"/>
      <c r="AZ1005" s="34"/>
      <c r="BA1005" s="34"/>
      <c r="BB1005" s="34"/>
      <c r="BC1005" s="34"/>
    </row>
    <row r="1006" spans="1:55" ht="12.95" customHeight="1">
      <c r="A1006" s="14"/>
      <c r="B1006" s="257"/>
      <c r="C1006" s="2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3"/>
      <c r="AG1006" s="14"/>
      <c r="AH1006" s="14"/>
      <c r="AI1006" s="83"/>
      <c r="AJ1006" s="1366"/>
      <c r="AK1006" s="1367"/>
      <c r="AL1006" s="1367"/>
      <c r="AM1006" s="1367"/>
      <c r="AN1006" s="1367"/>
      <c r="AO1006" s="1367"/>
      <c r="AP1006" s="1367"/>
      <c r="AQ1006" s="1368"/>
      <c r="AR1006" s="68"/>
      <c r="AS1006" s="68"/>
      <c r="AT1006" s="68"/>
      <c r="AU1006" s="68"/>
      <c r="AV1006" s="68"/>
      <c r="AW1006" s="68"/>
      <c r="AX1006" s="68"/>
      <c r="AY1006" s="68"/>
      <c r="AZ1006" s="34"/>
      <c r="BA1006" s="34"/>
      <c r="BB1006" s="34"/>
      <c r="BC1006" s="34"/>
    </row>
    <row r="1007" spans="1:55" ht="12.95" customHeight="1">
      <c r="A1007" s="14"/>
      <c r="B1007" s="257"/>
      <c r="C1007" s="256"/>
      <c r="D1007" s="1375"/>
      <c r="E1007" s="1376"/>
      <c r="F1007" s="1376"/>
      <c r="G1007" s="1376"/>
      <c r="H1007" s="1376"/>
      <c r="I1007" s="1376"/>
      <c r="J1007" s="1376"/>
      <c r="K1007" s="1376"/>
      <c r="L1007" s="1376"/>
      <c r="M1007" s="1376"/>
      <c r="N1007" s="1376"/>
      <c r="O1007" s="1376"/>
      <c r="P1007" s="1376"/>
      <c r="Q1007" s="1376"/>
      <c r="R1007" s="1376"/>
      <c r="S1007" s="1376"/>
      <c r="T1007" s="1376"/>
      <c r="U1007" s="1376"/>
      <c r="V1007" s="1376"/>
      <c r="W1007" s="1376"/>
      <c r="X1007" s="1376"/>
      <c r="Y1007" s="1376"/>
      <c r="Z1007" s="1376"/>
      <c r="AA1007" s="1376"/>
      <c r="AB1007" s="1376"/>
      <c r="AC1007" s="1376"/>
      <c r="AD1007" s="1376"/>
      <c r="AE1007" s="1377"/>
      <c r="AF1007" s="73"/>
      <c r="AG1007" s="14"/>
      <c r="AH1007" s="14"/>
      <c r="AI1007" s="83"/>
      <c r="AJ1007" s="1366"/>
      <c r="AK1007" s="1367"/>
      <c r="AL1007" s="1367"/>
      <c r="AM1007" s="1367"/>
      <c r="AN1007" s="1367"/>
      <c r="AO1007" s="1367"/>
      <c r="AP1007" s="1367"/>
      <c r="AQ1007" s="1368"/>
      <c r="AR1007" s="68"/>
      <c r="AS1007" s="68"/>
      <c r="AT1007" s="68"/>
      <c r="AU1007" s="68"/>
      <c r="AV1007" s="68"/>
      <c r="AW1007" s="68"/>
      <c r="AX1007" s="68"/>
      <c r="AY1007" s="68"/>
      <c r="AZ1007" s="34"/>
      <c r="BA1007" s="34"/>
      <c r="BB1007" s="34"/>
      <c r="BC1007" s="34"/>
    </row>
    <row r="1008" spans="1:55" ht="12.95" customHeight="1">
      <c r="A1008" s="14"/>
      <c r="B1008" s="257"/>
      <c r="C1008" s="256"/>
      <c r="D1008" s="1378" t="s">
        <v>2161</v>
      </c>
      <c r="E1008" s="1379"/>
      <c r="F1008" s="1379"/>
      <c r="G1008" s="1379"/>
      <c r="H1008" s="1379"/>
      <c r="I1008" s="1379"/>
      <c r="J1008" s="1379"/>
      <c r="K1008" s="1379"/>
      <c r="L1008" s="1379"/>
      <c r="M1008" s="1379"/>
      <c r="N1008" s="1379"/>
      <c r="O1008" s="1379"/>
      <c r="P1008" s="1379"/>
      <c r="Q1008" s="1379"/>
      <c r="R1008" s="1379"/>
      <c r="S1008" s="1379"/>
      <c r="T1008" s="1379"/>
      <c r="U1008" s="1379"/>
      <c r="V1008" s="1379"/>
      <c r="W1008" s="1379"/>
      <c r="X1008" s="1379"/>
      <c r="Y1008" s="1379"/>
      <c r="Z1008" s="1379"/>
      <c r="AA1008" s="1379"/>
      <c r="AB1008" s="1379"/>
      <c r="AC1008" s="1379"/>
      <c r="AD1008" s="1379"/>
      <c r="AE1008" s="1380"/>
      <c r="AF1008" s="73"/>
      <c r="AG1008" s="14"/>
      <c r="AH1008" s="14"/>
      <c r="AI1008" s="83"/>
      <c r="AJ1008" s="1366"/>
      <c r="AK1008" s="1367"/>
      <c r="AL1008" s="1367"/>
      <c r="AM1008" s="1367"/>
      <c r="AN1008" s="1367"/>
      <c r="AO1008" s="1367"/>
      <c r="AP1008" s="1367"/>
      <c r="AQ1008" s="1368"/>
      <c r="AR1008" s="68"/>
      <c r="AS1008" s="68"/>
      <c r="AT1008" s="68"/>
      <c r="AU1008" s="68"/>
      <c r="AV1008" s="68"/>
      <c r="AW1008" s="68"/>
      <c r="AX1008" s="68"/>
      <c r="AY1008" s="68"/>
      <c r="AZ1008" s="34"/>
      <c r="BA1008" s="34"/>
      <c r="BB1008" s="34"/>
      <c r="BC1008" s="34"/>
    </row>
    <row r="1009" spans="1:55" ht="12.95" customHeight="1">
      <c r="A1009" s="14"/>
      <c r="B1009" s="257"/>
      <c r="C1009" s="256"/>
      <c r="D1009" s="1579" t="s">
        <v>2747</v>
      </c>
      <c r="E1009" s="1580"/>
      <c r="F1009" s="1580"/>
      <c r="G1009" s="1580"/>
      <c r="H1009" s="1580"/>
      <c r="I1009" s="1580"/>
      <c r="J1009" s="1580"/>
      <c r="K1009" s="1580"/>
      <c r="L1009" s="1580"/>
      <c r="M1009" s="1580"/>
      <c r="N1009" s="1580"/>
      <c r="O1009" s="1580"/>
      <c r="P1009" s="1580"/>
      <c r="Q1009" s="1580"/>
      <c r="R1009" s="1580"/>
      <c r="S1009" s="1580"/>
      <c r="T1009" s="1580"/>
      <c r="U1009" s="1580"/>
      <c r="V1009" s="1580"/>
      <c r="W1009" s="1580"/>
      <c r="X1009" s="1580"/>
      <c r="Y1009" s="1580"/>
      <c r="Z1009" s="1580"/>
      <c r="AA1009" s="1580"/>
      <c r="AB1009" s="1580"/>
      <c r="AC1009" s="1580"/>
      <c r="AD1009" s="1580"/>
      <c r="AE1009" s="1581"/>
      <c r="AF1009" s="77"/>
      <c r="AG1009" s="7"/>
      <c r="AH1009" s="7"/>
      <c r="AI1009" s="78"/>
      <c r="AJ1009" s="1369"/>
      <c r="AK1009" s="1370"/>
      <c r="AL1009" s="1370"/>
      <c r="AM1009" s="1370"/>
      <c r="AN1009" s="1370"/>
      <c r="AO1009" s="1370"/>
      <c r="AP1009" s="1370"/>
      <c r="AQ1009" s="1371"/>
      <c r="AR1009" s="68"/>
      <c r="AS1009" s="68"/>
      <c r="AT1009" s="68"/>
      <c r="AU1009" s="68"/>
      <c r="AV1009" s="68"/>
      <c r="AW1009" s="68"/>
      <c r="AX1009" s="68"/>
      <c r="AY1009" s="68"/>
      <c r="AZ1009" s="34"/>
      <c r="BA1009" s="34"/>
      <c r="BB1009" s="34"/>
      <c r="BC1009" s="34"/>
    </row>
    <row r="1010" spans="1:55" ht="12.95" customHeight="1">
      <c r="A1010" s="14"/>
      <c r="B1010" s="255"/>
      <c r="C1010" s="318"/>
      <c r="D1010" s="1344" t="s">
        <v>1286</v>
      </c>
      <c r="E1010" s="1345"/>
      <c r="F1010" s="1345"/>
      <c r="G1010" s="1345"/>
      <c r="H1010" s="1345"/>
      <c r="I1010" s="1345"/>
      <c r="J1010" s="1345"/>
      <c r="K1010" s="1345"/>
      <c r="L1010" s="1345"/>
      <c r="M1010" s="1345"/>
      <c r="N1010" s="1345"/>
      <c r="O1010" s="1345"/>
      <c r="P1010" s="1345"/>
      <c r="Q1010" s="1345"/>
      <c r="R1010" s="1345"/>
      <c r="S1010" s="1345"/>
      <c r="T1010" s="1345"/>
      <c r="U1010" s="1345"/>
      <c r="V1010" s="1345"/>
      <c r="W1010" s="1345"/>
      <c r="X1010" s="1345"/>
      <c r="Y1010" s="1345"/>
      <c r="Z1010" s="1345"/>
      <c r="AA1010" s="1345"/>
      <c r="AB1010" s="1345"/>
      <c r="AC1010" s="1345"/>
      <c r="AD1010" s="1345"/>
      <c r="AE1010" s="1346"/>
      <c r="AF1010" s="79"/>
      <c r="AG1010" s="1406" t="s">
        <v>669</v>
      </c>
      <c r="AH1010" s="1407"/>
      <c r="AI1010" s="87"/>
      <c r="AJ1010" s="1363">
        <f>ROUND(IF(AG1010="yes",AJ1001*0.05,0),0)</f>
        <v>0</v>
      </c>
      <c r="AK1010" s="1364"/>
      <c r="AL1010" s="1364"/>
      <c r="AM1010" s="1364"/>
      <c r="AN1010" s="1364"/>
      <c r="AO1010" s="1364"/>
      <c r="AP1010" s="1364"/>
      <c r="AQ1010" s="1365"/>
      <c r="AR1010" s="68"/>
      <c r="AS1010" s="68"/>
      <c r="AT1010" s="68"/>
      <c r="AU1010" s="68"/>
      <c r="AV1010" s="68"/>
      <c r="AW1010" s="68"/>
      <c r="AX1010" s="68"/>
      <c r="AY1010" s="68"/>
      <c r="AZ1010" s="34"/>
      <c r="BA1010" s="34"/>
      <c r="BB1010" s="34"/>
      <c r="BC1010" s="34"/>
    </row>
    <row r="1011" spans="1:55" ht="12.95" customHeight="1">
      <c r="A1011" s="14"/>
      <c r="B1011" s="257"/>
      <c r="C1011" s="82"/>
      <c r="D1011" s="1375" t="s">
        <v>1284</v>
      </c>
      <c r="E1011" s="1376"/>
      <c r="F1011" s="1376"/>
      <c r="G1011" s="1376"/>
      <c r="H1011" s="1376"/>
      <c r="I1011" s="1376"/>
      <c r="J1011" s="1376"/>
      <c r="K1011" s="1376"/>
      <c r="L1011" s="1376"/>
      <c r="M1011" s="1376"/>
      <c r="N1011" s="1376"/>
      <c r="O1011" s="1376"/>
      <c r="P1011" s="1376"/>
      <c r="Q1011" s="1376"/>
      <c r="R1011" s="1376"/>
      <c r="S1011" s="1376"/>
      <c r="T1011" s="1376"/>
      <c r="U1011" s="1376"/>
      <c r="V1011" s="1376"/>
      <c r="W1011" s="1376"/>
      <c r="X1011" s="1376"/>
      <c r="Y1011" s="1376"/>
      <c r="Z1011" s="1376"/>
      <c r="AA1011" s="1376"/>
      <c r="AB1011" s="1376"/>
      <c r="AC1011" s="1376"/>
      <c r="AD1011" s="1376"/>
      <c r="AE1011" s="1377"/>
      <c r="AF1011" s="73"/>
      <c r="AG1011" s="14"/>
      <c r="AH1011" s="14"/>
      <c r="AI1011" s="83"/>
      <c r="AJ1011" s="1366"/>
      <c r="AK1011" s="1367"/>
      <c r="AL1011" s="1367"/>
      <c r="AM1011" s="1367"/>
      <c r="AN1011" s="1367"/>
      <c r="AO1011" s="1367"/>
      <c r="AP1011" s="1367"/>
      <c r="AQ1011" s="1368"/>
      <c r="AR1011" s="68"/>
      <c r="AS1011" s="68"/>
      <c r="AT1011" s="68"/>
      <c r="AU1011" s="68"/>
      <c r="AV1011" s="68"/>
      <c r="AW1011" s="68"/>
      <c r="AX1011" s="68"/>
      <c r="AY1011" s="34"/>
      <c r="AZ1011" s="34"/>
      <c r="BB1011" s="34"/>
    </row>
    <row r="1012" spans="1:55" ht="12.95" customHeight="1">
      <c r="A1012" s="14"/>
      <c r="B1012" s="257"/>
      <c r="C1012" s="82"/>
      <c r="D1012" s="1375"/>
      <c r="E1012" s="1376"/>
      <c r="F1012" s="1376"/>
      <c r="G1012" s="1376"/>
      <c r="H1012" s="1376"/>
      <c r="I1012" s="1376"/>
      <c r="J1012" s="1376"/>
      <c r="K1012" s="1376"/>
      <c r="L1012" s="1376"/>
      <c r="M1012" s="1376"/>
      <c r="N1012" s="1376"/>
      <c r="O1012" s="1376"/>
      <c r="P1012" s="1376"/>
      <c r="Q1012" s="1376"/>
      <c r="R1012" s="1376"/>
      <c r="S1012" s="1376"/>
      <c r="T1012" s="1376"/>
      <c r="U1012" s="1376"/>
      <c r="V1012" s="1376"/>
      <c r="W1012" s="1376"/>
      <c r="X1012" s="1376"/>
      <c r="Y1012" s="1376"/>
      <c r="Z1012" s="1376"/>
      <c r="AA1012" s="1376"/>
      <c r="AB1012" s="1376"/>
      <c r="AC1012" s="1376"/>
      <c r="AD1012" s="1376"/>
      <c r="AE1012" s="1377"/>
      <c r="AF1012" s="73"/>
      <c r="AG1012" s="14"/>
      <c r="AH1012" s="14"/>
      <c r="AI1012" s="83"/>
      <c r="AJ1012" s="1366"/>
      <c r="AK1012" s="1367"/>
      <c r="AL1012" s="1367"/>
      <c r="AM1012" s="1367"/>
      <c r="AN1012" s="1367"/>
      <c r="AO1012" s="1367"/>
      <c r="AP1012" s="1367"/>
      <c r="AQ1012" s="1368"/>
      <c r="AR1012" s="68"/>
      <c r="AS1012" s="68"/>
      <c r="AT1012" s="68"/>
      <c r="AU1012" s="68"/>
      <c r="AV1012" s="68"/>
      <c r="AW1012" s="68"/>
      <c r="AX1012" s="68"/>
      <c r="AY1012" s="910">
        <f>G761+O805</f>
        <v>23</v>
      </c>
      <c r="AZ1012" s="34"/>
      <c r="BB1012" s="34"/>
    </row>
    <row r="1013" spans="1:55" ht="12.95" customHeight="1">
      <c r="A1013" s="14"/>
      <c r="B1013" s="257"/>
      <c r="C1013" s="82"/>
      <c r="D1013" s="1375"/>
      <c r="E1013" s="1376"/>
      <c r="F1013" s="1376"/>
      <c r="G1013" s="1376"/>
      <c r="H1013" s="1376"/>
      <c r="I1013" s="1376"/>
      <c r="J1013" s="1376"/>
      <c r="K1013" s="1376"/>
      <c r="L1013" s="1376"/>
      <c r="M1013" s="1376"/>
      <c r="N1013" s="1376"/>
      <c r="O1013" s="1376"/>
      <c r="P1013" s="1376"/>
      <c r="Q1013" s="1376"/>
      <c r="R1013" s="1376"/>
      <c r="S1013" s="1376"/>
      <c r="T1013" s="1376"/>
      <c r="U1013" s="1376"/>
      <c r="V1013" s="1376"/>
      <c r="W1013" s="1376"/>
      <c r="X1013" s="1376"/>
      <c r="Y1013" s="1376"/>
      <c r="Z1013" s="1376"/>
      <c r="AA1013" s="1376"/>
      <c r="AB1013" s="1376"/>
      <c r="AC1013" s="1376"/>
      <c r="AD1013" s="1376"/>
      <c r="AE1013" s="1377"/>
      <c r="AF1013" s="73"/>
      <c r="AG1013" s="14"/>
      <c r="AH1013" s="14"/>
      <c r="AI1013" s="83"/>
      <c r="AJ1013" s="1366"/>
      <c r="AK1013" s="1367"/>
      <c r="AL1013" s="1367"/>
      <c r="AM1013" s="1367"/>
      <c r="AN1013" s="1367"/>
      <c r="AO1013" s="1367"/>
      <c r="AP1013" s="1367"/>
      <c r="AQ1013" s="1368"/>
      <c r="AR1013" s="68"/>
      <c r="AS1013" s="68"/>
      <c r="AT1013" s="68"/>
      <c r="AU1013" s="68"/>
      <c r="AV1013" s="68"/>
      <c r="AW1013" s="68"/>
      <c r="AX1013" s="68"/>
      <c r="AY1013" s="14"/>
      <c r="AZ1013" s="34"/>
      <c r="BB1013" s="34"/>
    </row>
    <row r="1014" spans="1:55" ht="12.95" customHeight="1">
      <c r="A1014" s="14"/>
      <c r="B1014" s="257"/>
      <c r="C1014" s="82"/>
      <c r="D1014" s="1375"/>
      <c r="E1014" s="1376"/>
      <c r="F1014" s="1376"/>
      <c r="G1014" s="1376"/>
      <c r="H1014" s="1376"/>
      <c r="I1014" s="1376"/>
      <c r="J1014" s="1376"/>
      <c r="K1014" s="1376"/>
      <c r="L1014" s="1376"/>
      <c r="M1014" s="1376"/>
      <c r="N1014" s="1376"/>
      <c r="O1014" s="1376"/>
      <c r="P1014" s="1376"/>
      <c r="Q1014" s="1376"/>
      <c r="R1014" s="1376"/>
      <c r="S1014" s="1376"/>
      <c r="T1014" s="1376"/>
      <c r="U1014" s="1376"/>
      <c r="V1014" s="1376"/>
      <c r="W1014" s="1376"/>
      <c r="X1014" s="1376"/>
      <c r="Y1014" s="1376"/>
      <c r="Z1014" s="1376"/>
      <c r="AA1014" s="1376"/>
      <c r="AB1014" s="1376"/>
      <c r="AC1014" s="1376"/>
      <c r="AD1014" s="1376"/>
      <c r="AE1014" s="1377"/>
      <c r="AF1014" s="73"/>
      <c r="AG1014" s="14"/>
      <c r="AH1014" s="14"/>
      <c r="AI1014" s="83"/>
      <c r="AJ1014" s="1366"/>
      <c r="AK1014" s="1367"/>
      <c r="AL1014" s="1367"/>
      <c r="AM1014" s="1367"/>
      <c r="AN1014" s="1367"/>
      <c r="AO1014" s="1367"/>
      <c r="AP1014" s="1367"/>
      <c r="AQ1014" s="1368"/>
      <c r="AR1014" s="68"/>
      <c r="AS1014" s="68"/>
      <c r="AT1014" s="68"/>
      <c r="AU1014" s="68"/>
      <c r="AV1014" s="68"/>
      <c r="AW1014" s="68"/>
      <c r="AX1014" s="68"/>
      <c r="AY1014" s="909">
        <f>ROUNDDOWN(X1057/I1057,2)</f>
        <v>0.47</v>
      </c>
      <c r="AZ1014" s="34"/>
      <c r="BB1014" s="34"/>
    </row>
    <row r="1015" spans="1:55" ht="12.95" customHeight="1">
      <c r="A1015" s="14"/>
      <c r="B1015" s="75"/>
      <c r="C1015" s="76"/>
      <c r="D1015" s="1378"/>
      <c r="E1015" s="1379"/>
      <c r="F1015" s="1379"/>
      <c r="G1015" s="1379"/>
      <c r="H1015" s="1379"/>
      <c r="I1015" s="1379"/>
      <c r="J1015" s="1379"/>
      <c r="K1015" s="1379"/>
      <c r="L1015" s="1379"/>
      <c r="M1015" s="1379"/>
      <c r="N1015" s="1379"/>
      <c r="O1015" s="1379"/>
      <c r="P1015" s="1379"/>
      <c r="Q1015" s="1379"/>
      <c r="R1015" s="1379"/>
      <c r="S1015" s="1379"/>
      <c r="T1015" s="1379"/>
      <c r="U1015" s="1379"/>
      <c r="V1015" s="1379"/>
      <c r="W1015" s="1379"/>
      <c r="X1015" s="1379"/>
      <c r="Y1015" s="1379"/>
      <c r="Z1015" s="1379"/>
      <c r="AA1015" s="1379"/>
      <c r="AB1015" s="1379"/>
      <c r="AC1015" s="1379"/>
      <c r="AD1015" s="1379"/>
      <c r="AE1015" s="1380"/>
      <c r="AF1015" s="77"/>
      <c r="AG1015" s="7"/>
      <c r="AH1015" s="7"/>
      <c r="AI1015" s="78"/>
      <c r="AJ1015" s="1369"/>
      <c r="AK1015" s="1370"/>
      <c r="AL1015" s="1370"/>
      <c r="AM1015" s="1370"/>
      <c r="AN1015" s="1370"/>
      <c r="AO1015" s="1370"/>
      <c r="AP1015" s="1370"/>
      <c r="AQ1015" s="1371"/>
      <c r="AR1015" s="68"/>
      <c r="AS1015" s="68"/>
      <c r="AT1015" s="68"/>
      <c r="AU1015" s="68"/>
      <c r="AV1015" s="68"/>
      <c r="AW1015" s="68"/>
      <c r="AX1015" s="68"/>
      <c r="AY1015" s="909">
        <f>ROUNDDOWN(X1061/I1061,2)</f>
        <v>0.52</v>
      </c>
      <c r="AZ1015" s="34"/>
      <c r="BB1015" s="34"/>
    </row>
    <row r="1016" spans="1:55" ht="12.95" customHeight="1">
      <c r="A1016" s="14"/>
      <c r="B1016" s="255"/>
      <c r="C1016" s="80" t="s">
        <v>672</v>
      </c>
      <c r="D1016" s="1344" t="s">
        <v>1672</v>
      </c>
      <c r="E1016" s="1345"/>
      <c r="F1016" s="1345"/>
      <c r="G1016" s="1345"/>
      <c r="H1016" s="1345"/>
      <c r="I1016" s="1345"/>
      <c r="J1016" s="1345"/>
      <c r="K1016" s="1345"/>
      <c r="L1016" s="1345"/>
      <c r="M1016" s="1345"/>
      <c r="N1016" s="1345"/>
      <c r="O1016" s="1345"/>
      <c r="P1016" s="1345"/>
      <c r="Q1016" s="1345"/>
      <c r="R1016" s="1345"/>
      <c r="S1016" s="1345"/>
      <c r="T1016" s="1345"/>
      <c r="U1016" s="1345"/>
      <c r="V1016" s="1345"/>
      <c r="W1016" s="1345"/>
      <c r="X1016" s="1345"/>
      <c r="Y1016" s="1345"/>
      <c r="Z1016" s="1345"/>
      <c r="AA1016" s="1345"/>
      <c r="AB1016" s="1345"/>
      <c r="AC1016" s="1345"/>
      <c r="AD1016" s="1345"/>
      <c r="AE1016" s="1346"/>
      <c r="AF1016" s="86"/>
      <c r="AG1016" s="1406" t="s">
        <v>669</v>
      </c>
      <c r="AH1016" s="1407"/>
      <c r="AI1016" s="87"/>
      <c r="AJ1016" s="1363">
        <f>ROUND(IF(AG1016="yes",AJ1001*0.1,0),0)</f>
        <v>0</v>
      </c>
      <c r="AK1016" s="1364"/>
      <c r="AL1016" s="1364"/>
      <c r="AM1016" s="1364"/>
      <c r="AN1016" s="1364"/>
      <c r="AO1016" s="1364"/>
      <c r="AP1016" s="1364"/>
      <c r="AQ1016" s="1365"/>
      <c r="AR1016" s="68"/>
      <c r="AS1016" s="68"/>
      <c r="AT1016" s="68"/>
      <c r="AU1016" s="68"/>
      <c r="AV1016" s="68"/>
      <c r="AW1016" s="68"/>
      <c r="AX1016" s="68"/>
      <c r="BB1016" s="34"/>
    </row>
    <row r="1017" spans="1:55" ht="12.95" customHeight="1">
      <c r="A1017" s="14"/>
      <c r="B1017" s="73"/>
      <c r="C1017" s="74"/>
      <c r="D1017" s="1349" t="s">
        <v>1285</v>
      </c>
      <c r="E1017" s="1350"/>
      <c r="F1017" s="1350"/>
      <c r="G1017" s="1350"/>
      <c r="H1017" s="1350"/>
      <c r="I1017" s="1350"/>
      <c r="J1017" s="1350"/>
      <c r="K1017" s="1350"/>
      <c r="L1017" s="1350"/>
      <c r="M1017" s="1350"/>
      <c r="N1017" s="1350"/>
      <c r="O1017" s="1350"/>
      <c r="P1017" s="1350"/>
      <c r="Q1017" s="1350"/>
      <c r="R1017" s="1350"/>
      <c r="S1017" s="1350"/>
      <c r="T1017" s="1350"/>
      <c r="U1017" s="1350"/>
      <c r="V1017" s="1350"/>
      <c r="W1017" s="1350"/>
      <c r="X1017" s="1350"/>
      <c r="Y1017" s="1350"/>
      <c r="Z1017" s="1350"/>
      <c r="AA1017" s="1350"/>
      <c r="AB1017" s="1350"/>
      <c r="AC1017" s="1350"/>
      <c r="AD1017" s="1350"/>
      <c r="AE1017" s="1351"/>
      <c r="AF1017" s="73"/>
      <c r="AI1017" s="83"/>
      <c r="AJ1017" s="1366"/>
      <c r="AK1017" s="1367"/>
      <c r="AL1017" s="1367"/>
      <c r="AM1017" s="1367"/>
      <c r="AN1017" s="1367"/>
      <c r="AO1017" s="1367"/>
      <c r="AP1017" s="1367"/>
      <c r="AQ1017" s="1368"/>
      <c r="AR1017" s="68"/>
      <c r="AS1017" s="68"/>
      <c r="AT1017" s="68"/>
      <c r="AU1017" s="68"/>
      <c r="AV1017" s="68"/>
      <c r="AW1017" s="68"/>
      <c r="AX1017" s="68"/>
    </row>
    <row r="1018" spans="1:55" ht="12.95" customHeight="1">
      <c r="A1018" s="14"/>
      <c r="B1018" s="73"/>
      <c r="C1018" s="74"/>
      <c r="D1018" s="1349"/>
      <c r="E1018" s="1350"/>
      <c r="F1018" s="1350"/>
      <c r="G1018" s="1350"/>
      <c r="H1018" s="1350"/>
      <c r="I1018" s="1350"/>
      <c r="J1018" s="1350"/>
      <c r="K1018" s="1350"/>
      <c r="L1018" s="1350"/>
      <c r="M1018" s="1350"/>
      <c r="N1018" s="1350"/>
      <c r="O1018" s="1350"/>
      <c r="P1018" s="1350"/>
      <c r="Q1018" s="1350"/>
      <c r="R1018" s="1350"/>
      <c r="S1018" s="1350"/>
      <c r="T1018" s="1350"/>
      <c r="U1018" s="1350"/>
      <c r="V1018" s="1350"/>
      <c r="W1018" s="1350"/>
      <c r="X1018" s="1350"/>
      <c r="Y1018" s="1350"/>
      <c r="Z1018" s="1350"/>
      <c r="AA1018" s="1350"/>
      <c r="AB1018" s="1350"/>
      <c r="AC1018" s="1350"/>
      <c r="AD1018" s="1350"/>
      <c r="AE1018" s="1351"/>
      <c r="AF1018" s="73"/>
      <c r="AG1018" s="14"/>
      <c r="AH1018" s="14"/>
      <c r="AI1018" s="83"/>
      <c r="AJ1018" s="1366"/>
      <c r="AK1018" s="1367"/>
      <c r="AL1018" s="1367"/>
      <c r="AM1018" s="1367"/>
      <c r="AN1018" s="1367"/>
      <c r="AO1018" s="1367"/>
      <c r="AP1018" s="1367"/>
      <c r="AQ1018" s="1368"/>
      <c r="AR1018" s="68"/>
      <c r="AS1018" s="68"/>
      <c r="AT1018" s="68"/>
      <c r="AU1018" s="68"/>
      <c r="AV1018" s="68"/>
      <c r="AW1018" s="68"/>
      <c r="AX1018" s="68"/>
    </row>
    <row r="1019" spans="1:55" ht="12.95" customHeight="1">
      <c r="A1019" s="14"/>
      <c r="B1019" s="85"/>
      <c r="C1019" s="76"/>
      <c r="D1019" s="1381"/>
      <c r="E1019" s="1382"/>
      <c r="F1019" s="1382"/>
      <c r="G1019" s="1382"/>
      <c r="H1019" s="1382"/>
      <c r="I1019" s="1382"/>
      <c r="J1019" s="1382"/>
      <c r="K1019" s="1382"/>
      <c r="L1019" s="1382"/>
      <c r="M1019" s="1382"/>
      <c r="N1019" s="1382"/>
      <c r="O1019" s="1382"/>
      <c r="P1019" s="1382"/>
      <c r="Q1019" s="1382"/>
      <c r="R1019" s="1382"/>
      <c r="S1019" s="1382"/>
      <c r="T1019" s="1382"/>
      <c r="U1019" s="1382"/>
      <c r="V1019" s="1382"/>
      <c r="W1019" s="1382"/>
      <c r="X1019" s="1382"/>
      <c r="Y1019" s="1382"/>
      <c r="Z1019" s="1382"/>
      <c r="AA1019" s="1382"/>
      <c r="AB1019" s="1382"/>
      <c r="AC1019" s="1382"/>
      <c r="AD1019" s="1382"/>
      <c r="AE1019" s="1383"/>
      <c r="AF1019" s="77"/>
      <c r="AG1019" s="7"/>
      <c r="AH1019" s="7"/>
      <c r="AI1019" s="78"/>
      <c r="AJ1019" s="1369"/>
      <c r="AK1019" s="1370"/>
      <c r="AL1019" s="1370"/>
      <c r="AM1019" s="1370"/>
      <c r="AN1019" s="1370"/>
      <c r="AO1019" s="1370"/>
      <c r="AP1019" s="1370"/>
      <c r="AQ1019" s="1371"/>
      <c r="AR1019" s="68"/>
      <c r="AS1019" s="68"/>
      <c r="AT1019" s="68"/>
      <c r="AU1019" s="68"/>
      <c r="AV1019" s="68"/>
      <c r="AW1019" s="68"/>
      <c r="AX1019" s="68"/>
    </row>
    <row r="1020" spans="1:55" ht="12.95" customHeight="1">
      <c r="A1020" s="14"/>
      <c r="B1020" s="79"/>
      <c r="C1020" s="80" t="s">
        <v>212</v>
      </c>
      <c r="D1020" s="1344" t="s">
        <v>1287</v>
      </c>
      <c r="E1020" s="1345"/>
      <c r="F1020" s="1345"/>
      <c r="G1020" s="1345"/>
      <c r="H1020" s="1345"/>
      <c r="I1020" s="1345"/>
      <c r="J1020" s="1345"/>
      <c r="K1020" s="1345"/>
      <c r="L1020" s="1345"/>
      <c r="M1020" s="1345"/>
      <c r="N1020" s="1345"/>
      <c r="O1020" s="1345"/>
      <c r="P1020" s="1345"/>
      <c r="Q1020" s="1345"/>
      <c r="R1020" s="1345"/>
      <c r="S1020" s="1345"/>
      <c r="T1020" s="1345"/>
      <c r="U1020" s="1345"/>
      <c r="V1020" s="1345"/>
      <c r="W1020" s="1345"/>
      <c r="X1020" s="1345"/>
      <c r="Y1020" s="1345"/>
      <c r="Z1020" s="1345"/>
      <c r="AA1020" s="1345"/>
      <c r="AB1020" s="1345"/>
      <c r="AC1020" s="1345"/>
      <c r="AD1020" s="1345"/>
      <c r="AE1020" s="1346"/>
      <c r="AF1020" s="79"/>
      <c r="AG1020" s="1406" t="s">
        <v>669</v>
      </c>
      <c r="AH1020" s="1407"/>
      <c r="AI1020" s="87"/>
      <c r="AJ1020" s="1363">
        <f>ROUND(IF(AG1020="yes",AJ1001*0.02,0),0)</f>
        <v>0</v>
      </c>
      <c r="AK1020" s="1364"/>
      <c r="AL1020" s="1364"/>
      <c r="AM1020" s="1364"/>
      <c r="AN1020" s="1364"/>
      <c r="AO1020" s="1364"/>
      <c r="AP1020" s="1364"/>
      <c r="AQ1020" s="1365"/>
      <c r="AR1020" s="68"/>
      <c r="AS1020" s="68"/>
      <c r="AT1020" s="68"/>
      <c r="AU1020" s="68"/>
      <c r="AV1020" s="68"/>
      <c r="AW1020" s="68"/>
      <c r="AX1020" s="68"/>
    </row>
    <row r="1021" spans="1:55" ht="14.25" customHeight="1">
      <c r="A1021" s="14"/>
      <c r="B1021" s="73"/>
      <c r="C1021" s="74"/>
      <c r="D1021" s="1381" t="s">
        <v>1288</v>
      </c>
      <c r="E1021" s="1382"/>
      <c r="F1021" s="1382"/>
      <c r="G1021" s="1382"/>
      <c r="H1021" s="1382"/>
      <c r="I1021" s="1382"/>
      <c r="J1021" s="1382"/>
      <c r="K1021" s="1382"/>
      <c r="L1021" s="1382"/>
      <c r="M1021" s="1382"/>
      <c r="N1021" s="1382"/>
      <c r="O1021" s="1382"/>
      <c r="P1021" s="1382"/>
      <c r="Q1021" s="1382"/>
      <c r="R1021" s="1382"/>
      <c r="S1021" s="1382"/>
      <c r="T1021" s="1382"/>
      <c r="U1021" s="1382"/>
      <c r="V1021" s="1382"/>
      <c r="W1021" s="1382"/>
      <c r="X1021" s="1382"/>
      <c r="Y1021" s="1382"/>
      <c r="Z1021" s="1382"/>
      <c r="AA1021" s="1382"/>
      <c r="AB1021" s="1382"/>
      <c r="AC1021" s="1382"/>
      <c r="AD1021" s="1382"/>
      <c r="AE1021" s="1383"/>
      <c r="AF1021" s="77"/>
      <c r="AG1021" s="7"/>
      <c r="AH1021" s="7"/>
      <c r="AI1021" s="78"/>
      <c r="AJ1021" s="1369"/>
      <c r="AK1021" s="1370"/>
      <c r="AL1021" s="1370"/>
      <c r="AM1021" s="1370"/>
      <c r="AN1021" s="1370"/>
      <c r="AO1021" s="1370"/>
      <c r="AP1021" s="1370"/>
      <c r="AQ1021" s="1371"/>
      <c r="AR1021" s="68"/>
      <c r="AS1021" s="68"/>
      <c r="AT1021" s="68"/>
      <c r="AU1021" s="68"/>
      <c r="AV1021" s="68"/>
      <c r="AW1021" s="68"/>
      <c r="AX1021" s="3" t="s">
        <v>1818</v>
      </c>
      <c r="AZ1021" s="3" t="s">
        <v>2534</v>
      </c>
    </row>
    <row r="1022" spans="1:55" ht="12.95" customHeight="1">
      <c r="A1022" s="14"/>
      <c r="B1022" s="79"/>
      <c r="C1022" s="80" t="s">
        <v>215</v>
      </c>
      <c r="D1022" s="1344" t="s">
        <v>1289</v>
      </c>
      <c r="E1022" s="1345"/>
      <c r="F1022" s="1345"/>
      <c r="G1022" s="1345"/>
      <c r="H1022" s="1345"/>
      <c r="I1022" s="1345"/>
      <c r="J1022" s="1345"/>
      <c r="K1022" s="1345"/>
      <c r="L1022" s="1345"/>
      <c r="M1022" s="1345"/>
      <c r="N1022" s="1345"/>
      <c r="O1022" s="1345"/>
      <c r="P1022" s="1345"/>
      <c r="Q1022" s="1345"/>
      <c r="R1022" s="1345"/>
      <c r="S1022" s="1345"/>
      <c r="T1022" s="1345"/>
      <c r="U1022" s="1345"/>
      <c r="V1022" s="1345"/>
      <c r="W1022" s="1345"/>
      <c r="X1022" s="1345"/>
      <c r="Y1022" s="1345"/>
      <c r="Z1022" s="1345"/>
      <c r="AA1022" s="1345"/>
      <c r="AB1022" s="1345"/>
      <c r="AC1022" s="1345"/>
      <c r="AD1022" s="1345"/>
      <c r="AE1022" s="1346"/>
      <c r="AF1022" s="79"/>
      <c r="AG1022" s="1406" t="s">
        <v>545</v>
      </c>
      <c r="AH1022" s="1407"/>
      <c r="AI1022" s="79"/>
      <c r="AJ1022" s="1363">
        <f>ROUND(IF(AG1022="yes",AJ1001*0.02,0),0)</f>
        <v>243739</v>
      </c>
      <c r="AK1022" s="1364"/>
      <c r="AL1022" s="1364"/>
      <c r="AM1022" s="1364"/>
      <c r="AN1022" s="1364"/>
      <c r="AO1022" s="1364"/>
      <c r="AP1022" s="1364"/>
      <c r="AQ1022" s="1365"/>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349" t="s">
        <v>1290</v>
      </c>
      <c r="E1023" s="1350"/>
      <c r="F1023" s="1350"/>
      <c r="G1023" s="1350"/>
      <c r="H1023" s="1350"/>
      <c r="I1023" s="1350"/>
      <c r="J1023" s="1350"/>
      <c r="K1023" s="1350"/>
      <c r="L1023" s="1350"/>
      <c r="M1023" s="1350"/>
      <c r="N1023" s="1350"/>
      <c r="O1023" s="1350"/>
      <c r="P1023" s="1350"/>
      <c r="Q1023" s="1350"/>
      <c r="R1023" s="1350"/>
      <c r="S1023" s="1350"/>
      <c r="T1023" s="1350"/>
      <c r="U1023" s="1350"/>
      <c r="V1023" s="1350"/>
      <c r="W1023" s="1350"/>
      <c r="X1023" s="1350"/>
      <c r="Y1023" s="1350"/>
      <c r="Z1023" s="1350"/>
      <c r="AA1023" s="1350"/>
      <c r="AB1023" s="1350"/>
      <c r="AC1023" s="1350"/>
      <c r="AD1023" s="1350"/>
      <c r="AE1023" s="1351"/>
      <c r="AF1023" s="1431" t="str">
        <f>IF(AND(AG1022="yes",T212&lt;&gt;1),"The project may not be eligible for this boost","")</f>
        <v/>
      </c>
      <c r="AG1023" s="1432"/>
      <c r="AH1023" s="1432"/>
      <c r="AI1023" s="1433"/>
      <c r="AJ1023" s="1366"/>
      <c r="AK1023" s="1367"/>
      <c r="AL1023" s="1367"/>
      <c r="AM1023" s="1367"/>
      <c r="AN1023" s="1367"/>
      <c r="AO1023" s="1367"/>
      <c r="AP1023" s="1367"/>
      <c r="AQ1023" s="136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381"/>
      <c r="E1024" s="1382"/>
      <c r="F1024" s="1382"/>
      <c r="G1024" s="1382"/>
      <c r="H1024" s="1382"/>
      <c r="I1024" s="1382"/>
      <c r="J1024" s="1382"/>
      <c r="K1024" s="1382"/>
      <c r="L1024" s="1382"/>
      <c r="M1024" s="1382"/>
      <c r="N1024" s="1382"/>
      <c r="O1024" s="1382"/>
      <c r="P1024" s="1382"/>
      <c r="Q1024" s="1382"/>
      <c r="R1024" s="1382"/>
      <c r="S1024" s="1382"/>
      <c r="T1024" s="1382"/>
      <c r="U1024" s="1382"/>
      <c r="V1024" s="1382"/>
      <c r="W1024" s="1382"/>
      <c r="X1024" s="1382"/>
      <c r="Y1024" s="1382"/>
      <c r="Z1024" s="1382"/>
      <c r="AA1024" s="1382"/>
      <c r="AB1024" s="1382"/>
      <c r="AC1024" s="1382"/>
      <c r="AD1024" s="1382"/>
      <c r="AE1024" s="1383"/>
      <c r="AF1024" s="1434"/>
      <c r="AG1024" s="1435"/>
      <c r="AH1024" s="1435"/>
      <c r="AI1024" s="1436"/>
      <c r="AJ1024" s="1369"/>
      <c r="AK1024" s="1370"/>
      <c r="AL1024" s="1370"/>
      <c r="AM1024" s="1370"/>
      <c r="AN1024" s="1370"/>
      <c r="AO1024" s="1370"/>
      <c r="AP1024" s="1370"/>
      <c r="AQ1024" s="1371"/>
      <c r="AR1024" s="68"/>
      <c r="AS1024" s="68"/>
      <c r="AT1024" s="68"/>
      <c r="AU1024" s="68"/>
      <c r="AV1024" s="68"/>
      <c r="AW1024" s="68"/>
      <c r="AX1024" s="3">
        <v>3</v>
      </c>
      <c r="AY1024" s="200">
        <f t="shared" si="55"/>
        <v>0</v>
      </c>
      <c r="AZ1024" s="1189">
        <v>0.05</v>
      </c>
    </row>
    <row r="1025" spans="1:52" ht="12.95" customHeight="1">
      <c r="A1025" s="14"/>
      <c r="B1025" s="79"/>
      <c r="C1025" s="80" t="s">
        <v>218</v>
      </c>
      <c r="D1025" s="1565" t="s">
        <v>2191</v>
      </c>
      <c r="E1025" s="1566"/>
      <c r="F1025" s="1566"/>
      <c r="G1025" s="1566"/>
      <c r="H1025" s="1566"/>
      <c r="I1025" s="1566"/>
      <c r="J1025" s="1566"/>
      <c r="K1025" s="1566"/>
      <c r="L1025" s="1566"/>
      <c r="M1025" s="1566"/>
      <c r="N1025" s="1566"/>
      <c r="O1025" s="1566"/>
      <c r="P1025" s="1566"/>
      <c r="Q1025" s="1566"/>
      <c r="R1025" s="1566"/>
      <c r="S1025" s="1566"/>
      <c r="T1025" s="1566"/>
      <c r="U1025" s="1566"/>
      <c r="V1025" s="1566"/>
      <c r="W1025" s="1566"/>
      <c r="X1025" s="1566"/>
      <c r="Y1025" s="1566"/>
      <c r="Z1025" s="1566"/>
      <c r="AA1025" s="1566"/>
      <c r="AB1025" s="1566"/>
      <c r="AC1025" s="1566"/>
      <c r="AD1025" s="1566"/>
      <c r="AE1025" s="1567"/>
      <c r="AF1025" s="79"/>
      <c r="AG1025" s="1406" t="s">
        <v>545</v>
      </c>
      <c r="AH1025" s="1407"/>
      <c r="AI1025" s="87"/>
      <c r="AJ1025" s="1363">
        <f>IF(AG1025="yes",AJ1001*AY1033,0)</f>
        <v>2437390.8000000003</v>
      </c>
      <c r="AK1025" s="1364"/>
      <c r="AL1025" s="1364"/>
      <c r="AM1025" s="1364"/>
      <c r="AN1025" s="1364"/>
      <c r="AO1025" s="1364"/>
      <c r="AP1025" s="1364"/>
      <c r="AQ1025" s="1365"/>
      <c r="AR1025" s="68"/>
      <c r="AS1025" s="68"/>
      <c r="AT1025" s="68"/>
      <c r="AU1025" s="68"/>
      <c r="AV1025" s="68"/>
      <c r="AW1025" s="68"/>
      <c r="AX1025" s="3">
        <v>4</v>
      </c>
      <c r="AY1025" s="200">
        <f t="shared" si="55"/>
        <v>0</v>
      </c>
      <c r="AZ1025" s="1189">
        <v>0.02</v>
      </c>
    </row>
    <row r="1026" spans="1:52" ht="12.95" customHeight="1">
      <c r="A1026" s="14"/>
      <c r="B1026" s="73"/>
      <c r="C1026" s="74"/>
      <c r="D1026" s="1349" t="s">
        <v>2600</v>
      </c>
      <c r="E1026" s="1350"/>
      <c r="F1026" s="1350"/>
      <c r="G1026" s="1350"/>
      <c r="H1026" s="1350"/>
      <c r="I1026" s="1350"/>
      <c r="J1026" s="1350"/>
      <c r="K1026" s="1350"/>
      <c r="L1026" s="1350"/>
      <c r="M1026" s="1350"/>
      <c r="N1026" s="1350"/>
      <c r="O1026" s="1350"/>
      <c r="P1026" s="1350"/>
      <c r="Q1026" s="1350"/>
      <c r="R1026" s="1350"/>
      <c r="S1026" s="1350"/>
      <c r="T1026" s="1350"/>
      <c r="U1026" s="1350"/>
      <c r="V1026" s="1350"/>
      <c r="W1026" s="1350"/>
      <c r="X1026" s="1350"/>
      <c r="Y1026" s="1350"/>
      <c r="Z1026" s="1350"/>
      <c r="AA1026" s="1350"/>
      <c r="AB1026" s="1350"/>
      <c r="AC1026" s="1350"/>
      <c r="AD1026" s="1350"/>
      <c r="AE1026" s="1351"/>
      <c r="AF1026" s="1425" t="str">
        <f>IF(AND(AG1025="Yes",AY1033=0),AY1036,"")</f>
        <v/>
      </c>
      <c r="AG1026" s="1426"/>
      <c r="AH1026" s="1426"/>
      <c r="AI1026" s="1427"/>
      <c r="AJ1026" s="1366"/>
      <c r="AK1026" s="1367"/>
      <c r="AL1026" s="1367"/>
      <c r="AM1026" s="1367"/>
      <c r="AN1026" s="1367"/>
      <c r="AO1026" s="1367"/>
      <c r="AP1026" s="1367"/>
      <c r="AQ1026" s="1368"/>
      <c r="AR1026" s="68"/>
      <c r="AS1026" s="68"/>
      <c r="AT1026" s="68"/>
      <c r="AU1026" s="68"/>
      <c r="AV1026" s="68"/>
      <c r="AW1026" s="68"/>
      <c r="AX1026" s="3">
        <v>5</v>
      </c>
      <c r="AY1026" s="200">
        <f t="shared" si="55"/>
        <v>0</v>
      </c>
      <c r="AZ1026" s="1189">
        <v>0.04</v>
      </c>
    </row>
    <row r="1027" spans="1:52" ht="12.95" customHeight="1">
      <c r="A1027" s="14"/>
      <c r="B1027" s="73"/>
      <c r="C1027" s="74"/>
      <c r="D1027" s="1349"/>
      <c r="E1027" s="1350"/>
      <c r="F1027" s="1350"/>
      <c r="G1027" s="1350"/>
      <c r="H1027" s="1350"/>
      <c r="I1027" s="1350"/>
      <c r="J1027" s="1350"/>
      <c r="K1027" s="1350"/>
      <c r="L1027" s="1350"/>
      <c r="M1027" s="1350"/>
      <c r="N1027" s="1350"/>
      <c r="O1027" s="1350"/>
      <c r="P1027" s="1350"/>
      <c r="Q1027" s="1350"/>
      <c r="R1027" s="1350"/>
      <c r="S1027" s="1350"/>
      <c r="T1027" s="1350"/>
      <c r="U1027" s="1350"/>
      <c r="V1027" s="1350"/>
      <c r="W1027" s="1350"/>
      <c r="X1027" s="1350"/>
      <c r="Y1027" s="1350"/>
      <c r="Z1027" s="1350"/>
      <c r="AA1027" s="1350"/>
      <c r="AB1027" s="1350"/>
      <c r="AC1027" s="1350"/>
      <c r="AD1027" s="1350"/>
      <c r="AE1027" s="1351"/>
      <c r="AF1027" s="1425"/>
      <c r="AG1027" s="1426"/>
      <c r="AH1027" s="1426"/>
      <c r="AI1027" s="1427"/>
      <c r="AJ1027" s="1366"/>
      <c r="AK1027" s="1367"/>
      <c r="AL1027" s="1367"/>
      <c r="AM1027" s="1367"/>
      <c r="AN1027" s="1367"/>
      <c r="AO1027" s="1367"/>
      <c r="AP1027" s="1367"/>
      <c r="AQ1027" s="1368"/>
      <c r="AR1027" s="68"/>
      <c r="AS1027" s="68"/>
      <c r="AT1027" s="68"/>
      <c r="AU1027" s="68"/>
      <c r="AV1027" s="68"/>
      <c r="AW1027" s="68"/>
      <c r="AX1027" s="3">
        <v>6</v>
      </c>
      <c r="AY1027" s="200">
        <f t="shared" si="55"/>
        <v>0</v>
      </c>
      <c r="AZ1027" s="1189">
        <v>0.04</v>
      </c>
    </row>
    <row r="1028" spans="1:52" ht="12.95" customHeight="1">
      <c r="A1028" s="14"/>
      <c r="B1028" s="81"/>
      <c r="C1028" s="82"/>
      <c r="D1028" s="1381"/>
      <c r="E1028" s="1382"/>
      <c r="F1028" s="1382"/>
      <c r="G1028" s="1382"/>
      <c r="H1028" s="1382"/>
      <c r="I1028" s="1382"/>
      <c r="J1028" s="1382"/>
      <c r="K1028" s="1382"/>
      <c r="L1028" s="1382"/>
      <c r="M1028" s="1382"/>
      <c r="N1028" s="1382"/>
      <c r="O1028" s="1382"/>
      <c r="P1028" s="1382"/>
      <c r="Q1028" s="1382"/>
      <c r="R1028" s="1382"/>
      <c r="S1028" s="1382"/>
      <c r="T1028" s="1382"/>
      <c r="U1028" s="1382"/>
      <c r="V1028" s="1382"/>
      <c r="W1028" s="1382"/>
      <c r="X1028" s="1382"/>
      <c r="Y1028" s="1382"/>
      <c r="Z1028" s="1382"/>
      <c r="AA1028" s="1382"/>
      <c r="AB1028" s="1382"/>
      <c r="AC1028" s="1382"/>
      <c r="AD1028" s="1382"/>
      <c r="AE1028" s="1383"/>
      <c r="AF1028" s="1428"/>
      <c r="AG1028" s="1429"/>
      <c r="AH1028" s="1429"/>
      <c r="AI1028" s="1430"/>
      <c r="AJ1028" s="1369"/>
      <c r="AK1028" s="1370"/>
      <c r="AL1028" s="1370"/>
      <c r="AM1028" s="1370"/>
      <c r="AN1028" s="1370"/>
      <c r="AO1028" s="1370"/>
      <c r="AP1028" s="1370"/>
      <c r="AQ1028" s="1371"/>
      <c r="AR1028" s="68"/>
      <c r="AS1028" s="68"/>
      <c r="AT1028" s="68"/>
      <c r="AU1028" s="68"/>
      <c r="AV1028" s="68"/>
      <c r="AW1028" s="68"/>
      <c r="AX1028" s="3">
        <v>7</v>
      </c>
      <c r="AY1028" s="200">
        <f t="shared" si="55"/>
        <v>0</v>
      </c>
      <c r="AZ1028" s="1189">
        <v>0.01</v>
      </c>
    </row>
    <row r="1029" spans="1:52" ht="12.95" customHeight="1">
      <c r="A1029" s="14"/>
      <c r="B1029" s="79"/>
      <c r="C1029" s="80" t="s">
        <v>223</v>
      </c>
      <c r="D1029" s="1609" t="s">
        <v>1291</v>
      </c>
      <c r="E1029" s="1610"/>
      <c r="F1029" s="1610"/>
      <c r="G1029" s="1610"/>
      <c r="H1029" s="1610"/>
      <c r="I1029" s="1610"/>
      <c r="J1029" s="1610"/>
      <c r="K1029" s="1610"/>
      <c r="L1029" s="1610"/>
      <c r="M1029" s="1610"/>
      <c r="N1029" s="1610"/>
      <c r="O1029" s="1610"/>
      <c r="P1029" s="1610"/>
      <c r="Q1029" s="1610"/>
      <c r="R1029" s="1610"/>
      <c r="S1029" s="1610"/>
      <c r="T1029" s="1610"/>
      <c r="U1029" s="1610"/>
      <c r="V1029" s="1610"/>
      <c r="W1029" s="1610"/>
      <c r="X1029" s="1610"/>
      <c r="Y1029" s="1610"/>
      <c r="Z1029" s="1610"/>
      <c r="AA1029" s="1610"/>
      <c r="AB1029" s="1610"/>
      <c r="AC1029" s="1610"/>
      <c r="AD1029" s="1610"/>
      <c r="AE1029" s="1611"/>
      <c r="AF1029" s="79"/>
      <c r="AG1029" s="1406" t="s">
        <v>545</v>
      </c>
      <c r="AH1029" s="1407"/>
      <c r="AI1029" s="87"/>
      <c r="AJ1029" s="1363">
        <f>ROUND(IF(AND(AG1029="Yes",J1033&lt;&gt;"N/A",AF1032&lt;&gt;""),MIN(AF1032,(0.15*AJ1001)),0),0)</f>
        <v>1828043</v>
      </c>
      <c r="AK1029" s="1364"/>
      <c r="AL1029" s="1364"/>
      <c r="AM1029" s="1364"/>
      <c r="AN1029" s="1364"/>
      <c r="AO1029" s="1364"/>
      <c r="AP1029" s="1364"/>
      <c r="AQ1029" s="1365"/>
      <c r="AR1029" s="68"/>
      <c r="AS1029" s="68"/>
      <c r="AT1029" s="68"/>
      <c r="AU1029" s="68"/>
      <c r="AV1029" s="68"/>
      <c r="AW1029" s="68"/>
      <c r="AX1029" s="3">
        <v>8</v>
      </c>
      <c r="AY1029" s="200">
        <f t="shared" si="55"/>
        <v>0</v>
      </c>
      <c r="AZ1029" s="1189">
        <v>0.01</v>
      </c>
    </row>
    <row r="1030" spans="1:52" ht="12.95" customHeight="1">
      <c r="A1030" s="14"/>
      <c r="B1030" s="81"/>
      <c r="C1030" s="84"/>
      <c r="D1030" s="1612"/>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4"/>
      <c r="AF1030" s="1568" t="str">
        <f>IF(AG1029="yes","Please Select Type and Enter Amount:","")</f>
        <v>Please Select Type and Enter Amount:</v>
      </c>
      <c r="AG1030" s="1569"/>
      <c r="AH1030" s="1569"/>
      <c r="AI1030" s="1570"/>
      <c r="AJ1030" s="1366"/>
      <c r="AK1030" s="1367"/>
      <c r="AL1030" s="1367"/>
      <c r="AM1030" s="1367"/>
      <c r="AN1030" s="1367"/>
      <c r="AO1030" s="1367"/>
      <c r="AP1030" s="1367"/>
      <c r="AQ1030" s="1368"/>
      <c r="AR1030" s="68"/>
      <c r="AS1030" s="68"/>
      <c r="AT1030" s="68"/>
      <c r="AU1030" s="68"/>
      <c r="AV1030" s="68"/>
      <c r="AW1030" s="68"/>
      <c r="AX1030" s="3">
        <v>9</v>
      </c>
      <c r="AY1030" s="200">
        <f t="shared" si="55"/>
        <v>0</v>
      </c>
      <c r="AZ1030" s="1189">
        <v>0.01</v>
      </c>
    </row>
    <row r="1031" spans="1:52" ht="12.95" customHeight="1">
      <c r="A1031" s="14"/>
      <c r="B1031" s="81"/>
      <c r="C1031" s="84"/>
      <c r="D1031" s="1349" t="s">
        <v>1292</v>
      </c>
      <c r="E1031" s="1350"/>
      <c r="F1031" s="1350"/>
      <c r="G1031" s="1350"/>
      <c r="H1031" s="1350"/>
      <c r="I1031" s="1350"/>
      <c r="J1031" s="1350"/>
      <c r="K1031" s="1350"/>
      <c r="L1031" s="1350"/>
      <c r="M1031" s="1350"/>
      <c r="N1031" s="1350"/>
      <c r="O1031" s="1350"/>
      <c r="P1031" s="1350"/>
      <c r="Q1031" s="1350"/>
      <c r="R1031" s="1350"/>
      <c r="S1031" s="1350"/>
      <c r="T1031" s="1350"/>
      <c r="U1031" s="1350"/>
      <c r="V1031" s="1350"/>
      <c r="W1031" s="1350"/>
      <c r="X1031" s="1350"/>
      <c r="Y1031" s="1350"/>
      <c r="Z1031" s="1350"/>
      <c r="AA1031" s="1350"/>
      <c r="AB1031" s="1350"/>
      <c r="AC1031" s="1350"/>
      <c r="AD1031" s="1350"/>
      <c r="AE1031" s="1351"/>
      <c r="AF1031" s="1568"/>
      <c r="AG1031" s="1569"/>
      <c r="AH1031" s="1569"/>
      <c r="AI1031" s="1570"/>
      <c r="AJ1031" s="1366"/>
      <c r="AK1031" s="1367"/>
      <c r="AL1031" s="1367"/>
      <c r="AM1031" s="1367"/>
      <c r="AN1031" s="1367"/>
      <c r="AO1031" s="1367"/>
      <c r="AP1031" s="1367"/>
      <c r="AQ1031" s="1368"/>
      <c r="AR1031" s="68"/>
      <c r="AS1031" s="68"/>
      <c r="AT1031" s="68"/>
      <c r="AU1031" s="68"/>
      <c r="AV1031" s="68"/>
      <c r="AW1031" s="68"/>
      <c r="AX1031" s="3">
        <v>10</v>
      </c>
      <c r="AY1031" s="200">
        <f t="shared" si="55"/>
        <v>0</v>
      </c>
      <c r="AZ1031" s="1189">
        <v>0.02</v>
      </c>
    </row>
    <row r="1032" spans="1:52" ht="12.95" customHeight="1">
      <c r="A1032" s="14"/>
      <c r="B1032" s="81"/>
      <c r="C1032" s="84"/>
      <c r="D1032" s="1349"/>
      <c r="E1032" s="1350"/>
      <c r="F1032" s="1350"/>
      <c r="G1032" s="1350"/>
      <c r="H1032" s="1350"/>
      <c r="I1032" s="1350"/>
      <c r="J1032" s="1350"/>
      <c r="K1032" s="1350"/>
      <c r="L1032" s="1350"/>
      <c r="M1032" s="1350"/>
      <c r="N1032" s="1350"/>
      <c r="O1032" s="1350"/>
      <c r="P1032" s="1350"/>
      <c r="Q1032" s="1350"/>
      <c r="R1032" s="1350"/>
      <c r="S1032" s="1350"/>
      <c r="T1032" s="1350"/>
      <c r="U1032" s="1350"/>
      <c r="V1032" s="1350"/>
      <c r="W1032" s="1350"/>
      <c r="X1032" s="1350"/>
      <c r="Y1032" s="1350"/>
      <c r="Z1032" s="1350"/>
      <c r="AA1032" s="1350"/>
      <c r="AB1032" s="1350"/>
      <c r="AC1032" s="1350"/>
      <c r="AD1032" s="1350"/>
      <c r="AE1032" s="1351"/>
      <c r="AF1032" s="1574">
        <v>2437391</v>
      </c>
      <c r="AG1032" s="1574"/>
      <c r="AH1032" s="1574"/>
      <c r="AI1032" s="1574"/>
      <c r="AJ1032" s="1366"/>
      <c r="AK1032" s="1367"/>
      <c r="AL1032" s="1367"/>
      <c r="AM1032" s="1367"/>
      <c r="AN1032" s="1367"/>
      <c r="AO1032" s="1367"/>
      <c r="AP1032" s="1367"/>
      <c r="AQ1032" s="136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576" t="s">
        <v>2748</v>
      </c>
      <c r="K1033" s="1577"/>
      <c r="L1033" s="1577"/>
      <c r="M1033" s="1577"/>
      <c r="N1033" s="1577"/>
      <c r="O1033" s="1577"/>
      <c r="P1033" s="1577"/>
      <c r="Q1033" s="1577"/>
      <c r="R1033" s="1577"/>
      <c r="S1033" s="1577"/>
      <c r="T1033" s="1577"/>
      <c r="U1033" s="1577"/>
      <c r="V1033" s="1577"/>
      <c r="W1033" s="1577"/>
      <c r="X1033" s="1577"/>
      <c r="Y1033" s="1577"/>
      <c r="Z1033" s="1577"/>
      <c r="AA1033" s="1577"/>
      <c r="AB1033" s="1577"/>
      <c r="AC1033" s="1577"/>
      <c r="AD1033" s="1577"/>
      <c r="AE1033" s="1578"/>
      <c r="AF1033" s="1574"/>
      <c r="AG1033" s="1574"/>
      <c r="AH1033" s="1574"/>
      <c r="AI1033" s="1574"/>
      <c r="AJ1033" s="1369"/>
      <c r="AK1033" s="1370"/>
      <c r="AL1033" s="1370"/>
      <c r="AM1033" s="1370"/>
      <c r="AN1033" s="1370"/>
      <c r="AO1033" s="1370"/>
      <c r="AP1033" s="1370"/>
      <c r="AQ1033" s="1371"/>
      <c r="AR1033" s="68"/>
      <c r="AS1033" s="68"/>
      <c r="AT1033" s="68"/>
      <c r="AU1033" s="68"/>
      <c r="AV1033" s="68"/>
      <c r="AW1033" s="68"/>
      <c r="AX1033" s="1027" t="s">
        <v>2533</v>
      </c>
      <c r="AY1033" s="201">
        <f>IF(SUM(AY1022:AY1032)&lt;=0.2,SUM(AY1022:AY1032),0.2)</f>
        <v>0.2</v>
      </c>
    </row>
    <row r="1034" spans="1:52" ht="12.95" customHeight="1">
      <c r="A1034" s="14"/>
      <c r="B1034" s="79"/>
      <c r="C1034" s="80" t="s">
        <v>229</v>
      </c>
      <c r="D1034" s="1344" t="s">
        <v>1293</v>
      </c>
      <c r="E1034" s="1345"/>
      <c r="F1034" s="1345"/>
      <c r="G1034" s="1345"/>
      <c r="H1034" s="1345"/>
      <c r="I1034" s="1345"/>
      <c r="J1034" s="1345"/>
      <c r="K1034" s="1345"/>
      <c r="L1034" s="1345"/>
      <c r="M1034" s="1345"/>
      <c r="N1034" s="1345"/>
      <c r="O1034" s="1345"/>
      <c r="P1034" s="1345"/>
      <c r="Q1034" s="1345"/>
      <c r="R1034" s="1345"/>
      <c r="S1034" s="1345"/>
      <c r="T1034" s="1345"/>
      <c r="U1034" s="1345"/>
      <c r="V1034" s="1345"/>
      <c r="W1034" s="1345"/>
      <c r="X1034" s="1345"/>
      <c r="Y1034" s="1345"/>
      <c r="Z1034" s="1345"/>
      <c r="AA1034" s="1345"/>
      <c r="AB1034" s="1345"/>
      <c r="AC1034" s="1345"/>
      <c r="AD1034" s="1345"/>
      <c r="AE1034" s="1346"/>
      <c r="AF1034" s="79"/>
      <c r="AG1034" s="1406" t="s">
        <v>545</v>
      </c>
      <c r="AH1034" s="1407"/>
      <c r="AI1034" s="87"/>
      <c r="AJ1034" s="1363">
        <f>ROUND(IF(AG1034="Yes",AF1036,0),0)</f>
        <v>332478</v>
      </c>
      <c r="AK1034" s="1364"/>
      <c r="AL1034" s="1364"/>
      <c r="AM1034" s="1364"/>
      <c r="AN1034" s="1364"/>
      <c r="AO1034" s="1364"/>
      <c r="AP1034" s="1364"/>
      <c r="AQ1034" s="1365"/>
      <c r="AR1034" s="68"/>
      <c r="AS1034" s="68"/>
      <c r="AT1034" s="68"/>
      <c r="AU1034" s="68"/>
      <c r="AV1034" s="68"/>
      <c r="AW1034" s="68"/>
      <c r="AX1034" s="68"/>
      <c r="AY1034" s="68"/>
    </row>
    <row r="1035" spans="1:52" ht="12.95" customHeight="1">
      <c r="A1035" s="14"/>
      <c r="B1035" s="73"/>
      <c r="C1035" s="74"/>
      <c r="D1035" s="1349" t="s">
        <v>1679</v>
      </c>
      <c r="E1035" s="1350"/>
      <c r="F1035" s="1350"/>
      <c r="G1035" s="1350"/>
      <c r="H1035" s="1350"/>
      <c r="I1035" s="1350"/>
      <c r="J1035" s="1350"/>
      <c r="K1035" s="1350"/>
      <c r="L1035" s="1350"/>
      <c r="M1035" s="1350"/>
      <c r="N1035" s="1350"/>
      <c r="O1035" s="1350"/>
      <c r="P1035" s="1350"/>
      <c r="Q1035" s="1350"/>
      <c r="R1035" s="1350"/>
      <c r="S1035" s="1350"/>
      <c r="T1035" s="1350"/>
      <c r="U1035" s="1350"/>
      <c r="V1035" s="1350"/>
      <c r="W1035" s="1350"/>
      <c r="X1035" s="1350"/>
      <c r="Y1035" s="1350"/>
      <c r="Z1035" s="1350"/>
      <c r="AA1035" s="1350"/>
      <c r="AB1035" s="1350"/>
      <c r="AC1035" s="1350"/>
      <c r="AD1035" s="1350"/>
      <c r="AE1035" s="1351"/>
      <c r="AF1035" s="1615" t="str">
        <f>IF(AG1034="yes","Enter Amount:","")</f>
        <v>Enter Amount:</v>
      </c>
      <c r="AG1035" s="1616"/>
      <c r="AH1035" s="1616"/>
      <c r="AI1035" s="1617"/>
      <c r="AJ1035" s="1366"/>
      <c r="AK1035" s="1367"/>
      <c r="AL1035" s="1367"/>
      <c r="AM1035" s="1367"/>
      <c r="AN1035" s="1367"/>
      <c r="AO1035" s="1367"/>
      <c r="AP1035" s="1367"/>
      <c r="AQ1035" s="1368"/>
      <c r="AR1035" s="68"/>
      <c r="AS1035" s="68"/>
      <c r="AT1035" s="68"/>
      <c r="AU1035" s="68"/>
      <c r="AV1035" s="68"/>
      <c r="AW1035" s="68"/>
      <c r="AX1035" s="68"/>
      <c r="AY1035" s="68"/>
    </row>
    <row r="1036" spans="1:52" ht="12.95" customHeight="1">
      <c r="A1036" s="14"/>
      <c r="B1036" s="73"/>
      <c r="C1036" s="74"/>
      <c r="D1036" s="1349"/>
      <c r="E1036" s="1350"/>
      <c r="F1036" s="1350"/>
      <c r="G1036" s="1350"/>
      <c r="H1036" s="1350"/>
      <c r="I1036" s="1350"/>
      <c r="J1036" s="1350"/>
      <c r="K1036" s="1350"/>
      <c r="L1036" s="1350"/>
      <c r="M1036" s="1350"/>
      <c r="N1036" s="1350"/>
      <c r="O1036" s="1350"/>
      <c r="P1036" s="1350"/>
      <c r="Q1036" s="1350"/>
      <c r="R1036" s="1350"/>
      <c r="S1036" s="1350"/>
      <c r="T1036" s="1350"/>
      <c r="U1036" s="1350"/>
      <c r="V1036" s="1350"/>
      <c r="W1036" s="1350"/>
      <c r="X1036" s="1350"/>
      <c r="Y1036" s="1350"/>
      <c r="Z1036" s="1350"/>
      <c r="AA1036" s="1350"/>
      <c r="AB1036" s="1350"/>
      <c r="AC1036" s="1350"/>
      <c r="AD1036" s="1350"/>
      <c r="AE1036" s="1351"/>
      <c r="AF1036" s="1574">
        <f>'Sources and Uses Budget'!B85</f>
        <v>332478</v>
      </c>
      <c r="AG1036" s="1574"/>
      <c r="AH1036" s="1574"/>
      <c r="AI1036" s="1574"/>
      <c r="AJ1036" s="1366"/>
      <c r="AK1036" s="1367"/>
      <c r="AL1036" s="1367"/>
      <c r="AM1036" s="1367"/>
      <c r="AN1036" s="1367"/>
      <c r="AO1036" s="1367"/>
      <c r="AP1036" s="1367"/>
      <c r="AQ1036" s="136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381"/>
      <c r="E1037" s="1382"/>
      <c r="F1037" s="1382"/>
      <c r="G1037" s="1382"/>
      <c r="H1037" s="1382"/>
      <c r="I1037" s="1382"/>
      <c r="J1037" s="1382"/>
      <c r="K1037" s="1382"/>
      <c r="L1037" s="1382"/>
      <c r="M1037" s="1382"/>
      <c r="N1037" s="1382"/>
      <c r="O1037" s="1382"/>
      <c r="P1037" s="1382"/>
      <c r="Q1037" s="1382"/>
      <c r="R1037" s="1382"/>
      <c r="S1037" s="1382"/>
      <c r="T1037" s="1382"/>
      <c r="U1037" s="1382"/>
      <c r="V1037" s="1382"/>
      <c r="W1037" s="1382"/>
      <c r="X1037" s="1382"/>
      <c r="Y1037" s="1382"/>
      <c r="Z1037" s="1382"/>
      <c r="AA1037" s="1382"/>
      <c r="AB1037" s="1382"/>
      <c r="AC1037" s="1382"/>
      <c r="AD1037" s="1382"/>
      <c r="AE1037" s="1383"/>
      <c r="AF1037" s="1574"/>
      <c r="AG1037" s="1574"/>
      <c r="AH1037" s="1574"/>
      <c r="AI1037" s="1574"/>
      <c r="AJ1037" s="1369"/>
      <c r="AK1037" s="1370"/>
      <c r="AL1037" s="1370"/>
      <c r="AM1037" s="1370"/>
      <c r="AN1037" s="1370"/>
      <c r="AO1037" s="1370"/>
      <c r="AP1037" s="1370"/>
      <c r="AQ1037" s="1371"/>
      <c r="AR1037" s="68"/>
      <c r="AS1037" s="68"/>
      <c r="AT1037" s="68"/>
      <c r="AU1037" s="68"/>
      <c r="AV1037" s="68"/>
      <c r="AW1037" s="68"/>
      <c r="AX1037" s="68"/>
      <c r="AY1037" s="68"/>
    </row>
    <row r="1038" spans="1:52" ht="12.95" customHeight="1">
      <c r="A1038" s="14"/>
      <c r="B1038" s="79"/>
      <c r="C1038" s="80" t="s">
        <v>234</v>
      </c>
      <c r="D1038" s="1565" t="s">
        <v>1294</v>
      </c>
      <c r="E1038" s="1566"/>
      <c r="F1038" s="1566"/>
      <c r="G1038" s="1566"/>
      <c r="H1038" s="1566"/>
      <c r="I1038" s="1566"/>
      <c r="J1038" s="1566"/>
      <c r="K1038" s="1566"/>
      <c r="L1038" s="1566"/>
      <c r="M1038" s="1566"/>
      <c r="N1038" s="1566"/>
      <c r="O1038" s="1566"/>
      <c r="P1038" s="1566"/>
      <c r="Q1038" s="1566"/>
      <c r="R1038" s="1566"/>
      <c r="S1038" s="1566"/>
      <c r="T1038" s="1566"/>
      <c r="U1038" s="1566"/>
      <c r="V1038" s="1566"/>
      <c r="W1038" s="1566"/>
      <c r="X1038" s="1566"/>
      <c r="Y1038" s="1566"/>
      <c r="Z1038" s="1566"/>
      <c r="AA1038" s="1566"/>
      <c r="AB1038" s="1566"/>
      <c r="AC1038" s="1566"/>
      <c r="AD1038" s="1566"/>
      <c r="AE1038" s="1567"/>
      <c r="AF1038" s="79"/>
      <c r="AG1038" s="1406" t="s">
        <v>669</v>
      </c>
      <c r="AH1038" s="1407"/>
      <c r="AI1038" s="87"/>
      <c r="AJ1038" s="1363">
        <f>ROUND(IF(AG1038="yes",(AJ1001*0.1),0),0)</f>
        <v>0</v>
      </c>
      <c r="AK1038" s="1364"/>
      <c r="AL1038" s="1364"/>
      <c r="AM1038" s="1364"/>
      <c r="AN1038" s="1364"/>
      <c r="AO1038" s="1364"/>
      <c r="AP1038" s="1364"/>
      <c r="AQ1038" s="1365"/>
      <c r="AR1038" s="68"/>
      <c r="AS1038" s="68"/>
      <c r="AT1038" s="68"/>
      <c r="AU1038" s="68"/>
      <c r="AV1038" s="68"/>
      <c r="AW1038" s="68"/>
      <c r="AX1038" s="68"/>
      <c r="AY1038" s="68"/>
    </row>
    <row r="1039" spans="1:52" ht="12.95" customHeight="1">
      <c r="A1039" s="14"/>
      <c r="B1039" s="73"/>
      <c r="C1039" s="74"/>
      <c r="D1039" s="1349" t="s">
        <v>1295</v>
      </c>
      <c r="E1039" s="1350"/>
      <c r="F1039" s="1350"/>
      <c r="G1039" s="1350"/>
      <c r="H1039" s="1350"/>
      <c r="I1039" s="1350"/>
      <c r="J1039" s="1350"/>
      <c r="K1039" s="1350"/>
      <c r="L1039" s="1350"/>
      <c r="M1039" s="1350"/>
      <c r="N1039" s="1350"/>
      <c r="O1039" s="1350"/>
      <c r="P1039" s="1350"/>
      <c r="Q1039" s="1350"/>
      <c r="R1039" s="1350"/>
      <c r="S1039" s="1350"/>
      <c r="T1039" s="1350"/>
      <c r="U1039" s="1350"/>
      <c r="V1039" s="1350"/>
      <c r="W1039" s="1350"/>
      <c r="X1039" s="1350"/>
      <c r="Y1039" s="1350"/>
      <c r="Z1039" s="1350"/>
      <c r="AA1039" s="1350"/>
      <c r="AB1039" s="1350"/>
      <c r="AC1039" s="1350"/>
      <c r="AD1039" s="1350"/>
      <c r="AE1039" s="1351"/>
      <c r="AF1039" s="73"/>
      <c r="AG1039" s="14"/>
      <c r="AH1039" s="14"/>
      <c r="AI1039" s="83"/>
      <c r="AJ1039" s="1366"/>
      <c r="AK1039" s="1367"/>
      <c r="AL1039" s="1367"/>
      <c r="AM1039" s="1367"/>
      <c r="AN1039" s="1367"/>
      <c r="AO1039" s="1367"/>
      <c r="AP1039" s="1367"/>
      <c r="AQ1039" s="1368"/>
      <c r="AR1039" s="68"/>
      <c r="AS1039" s="68"/>
      <c r="AT1039" s="68"/>
      <c r="AU1039" s="68"/>
      <c r="AV1039" s="68"/>
      <c r="AW1039" s="68"/>
      <c r="AX1039" s="68"/>
      <c r="AY1039" s="68"/>
    </row>
    <row r="1040" spans="1:52" ht="12.95" customHeight="1">
      <c r="A1040" s="14"/>
      <c r="B1040" s="77"/>
      <c r="C1040" s="74"/>
      <c r="D1040" s="1381"/>
      <c r="E1040" s="1382"/>
      <c r="F1040" s="1382"/>
      <c r="G1040" s="1382"/>
      <c r="H1040" s="1382"/>
      <c r="I1040" s="1382"/>
      <c r="J1040" s="1382"/>
      <c r="K1040" s="1382"/>
      <c r="L1040" s="1382"/>
      <c r="M1040" s="1382"/>
      <c r="N1040" s="1382"/>
      <c r="O1040" s="1382"/>
      <c r="P1040" s="1382"/>
      <c r="Q1040" s="1382"/>
      <c r="R1040" s="1382"/>
      <c r="S1040" s="1382"/>
      <c r="T1040" s="1382"/>
      <c r="U1040" s="1382"/>
      <c r="V1040" s="1382"/>
      <c r="W1040" s="1382"/>
      <c r="X1040" s="1382"/>
      <c r="Y1040" s="1382"/>
      <c r="Z1040" s="1382"/>
      <c r="AA1040" s="1382"/>
      <c r="AB1040" s="1382"/>
      <c r="AC1040" s="1382"/>
      <c r="AD1040" s="1382"/>
      <c r="AE1040" s="1383"/>
      <c r="AF1040" s="73"/>
      <c r="AG1040" s="14"/>
      <c r="AH1040" s="14"/>
      <c r="AI1040" s="83"/>
      <c r="AJ1040" s="1369"/>
      <c r="AK1040" s="1370"/>
      <c r="AL1040" s="1370"/>
      <c r="AM1040" s="1370"/>
      <c r="AN1040" s="1370"/>
      <c r="AO1040" s="1370"/>
      <c r="AP1040" s="1370"/>
      <c r="AQ1040" s="1371"/>
      <c r="AR1040" s="68"/>
      <c r="AS1040" s="68"/>
      <c r="AT1040" s="68"/>
      <c r="AU1040" s="68"/>
      <c r="AV1040" s="68"/>
      <c r="AW1040" s="68"/>
      <c r="AX1040" s="68"/>
      <c r="AY1040" s="68"/>
    </row>
    <row r="1041" spans="1:57" ht="12.95" customHeight="1">
      <c r="A1041" s="14"/>
      <c r="B1041" s="73"/>
      <c r="C1041" s="339" t="s">
        <v>687</v>
      </c>
      <c r="D1041" s="1344" t="s">
        <v>1675</v>
      </c>
      <c r="E1041" s="1345"/>
      <c r="F1041" s="1345"/>
      <c r="G1041" s="1345"/>
      <c r="H1041" s="1345"/>
      <c r="I1041" s="1345"/>
      <c r="J1041" s="1345"/>
      <c r="K1041" s="1345"/>
      <c r="L1041" s="1345"/>
      <c r="M1041" s="1345"/>
      <c r="N1041" s="1345"/>
      <c r="O1041" s="1345"/>
      <c r="P1041" s="1345"/>
      <c r="Q1041" s="1345"/>
      <c r="R1041" s="1345"/>
      <c r="S1041" s="1345"/>
      <c r="T1041" s="1345"/>
      <c r="U1041" s="1345"/>
      <c r="V1041" s="1345"/>
      <c r="W1041" s="1345"/>
      <c r="X1041" s="1345"/>
      <c r="Y1041" s="1345"/>
      <c r="Z1041" s="1345"/>
      <c r="AA1041" s="1345"/>
      <c r="AB1041" s="1345"/>
      <c r="AC1041" s="1345"/>
      <c r="AD1041" s="1345"/>
      <c r="AE1041" s="1346"/>
      <c r="AF1041" s="79"/>
      <c r="AG1041" s="1406" t="s">
        <v>545</v>
      </c>
      <c r="AH1041" s="1407"/>
      <c r="AI1041" s="87"/>
      <c r="AJ1041" s="1363">
        <f>ROUND(IF(AG1041="yes",(AJ1001*0.15),0),0)</f>
        <v>1828043</v>
      </c>
      <c r="AK1041" s="1364"/>
      <c r="AL1041" s="1364"/>
      <c r="AM1041" s="1364"/>
      <c r="AN1041" s="1364"/>
      <c r="AO1041" s="1364"/>
      <c r="AP1041" s="1364"/>
      <c r="AQ1041" s="1365"/>
      <c r="AR1041" s="68"/>
      <c r="AS1041" s="68"/>
      <c r="AT1041" s="68"/>
      <c r="AU1041" s="68"/>
      <c r="AV1041" s="68"/>
      <c r="AW1041" s="68"/>
      <c r="AX1041" s="68"/>
      <c r="AY1041" s="68"/>
    </row>
    <row r="1042" spans="1:57" ht="12.95" customHeight="1">
      <c r="A1042" s="14"/>
      <c r="B1042" s="73"/>
      <c r="C1042" s="74"/>
      <c r="D1042" s="1585" t="s">
        <v>1676</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586"/>
      <c r="AF1042" s="911"/>
      <c r="AG1042" s="912"/>
      <c r="AH1042" s="912"/>
      <c r="AI1042" s="913"/>
      <c r="AJ1042" s="1366"/>
      <c r="AK1042" s="1367"/>
      <c r="AL1042" s="1367"/>
      <c r="AM1042" s="1367"/>
      <c r="AN1042" s="1367"/>
      <c r="AO1042" s="1367"/>
      <c r="AP1042" s="1367"/>
      <c r="AQ1042" s="1368"/>
      <c r="AR1042" s="68"/>
      <c r="AS1042" s="68"/>
      <c r="AT1042" s="68"/>
      <c r="AU1042" s="68"/>
      <c r="AV1042" s="68"/>
      <c r="AW1042" s="68"/>
      <c r="AX1042" s="68"/>
      <c r="AY1042" s="68"/>
    </row>
    <row r="1043" spans="1:57" ht="12.95" customHeight="1">
      <c r="A1043" s="14"/>
      <c r="B1043" s="73"/>
      <c r="C1043" s="74"/>
      <c r="D1043" s="1585"/>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586"/>
      <c r="AF1043" s="911"/>
      <c r="AG1043" s="912"/>
      <c r="AH1043" s="912"/>
      <c r="AI1043" s="913"/>
      <c r="AJ1043" s="1366"/>
      <c r="AK1043" s="1367"/>
      <c r="AL1043" s="1367"/>
      <c r="AM1043" s="1367"/>
      <c r="AN1043" s="1367"/>
      <c r="AO1043" s="1367"/>
      <c r="AP1043" s="1367"/>
      <c r="AQ1043" s="1368"/>
      <c r="AR1043" s="68"/>
      <c r="AS1043" s="68"/>
      <c r="AT1043" s="68"/>
      <c r="AU1043" s="68"/>
      <c r="AV1043" s="68"/>
      <c r="AW1043" s="68"/>
      <c r="AX1043" s="68"/>
      <c r="AY1043" s="68"/>
    </row>
    <row r="1044" spans="1:57" ht="12.95" customHeight="1">
      <c r="A1044" s="14"/>
      <c r="B1044" s="73"/>
      <c r="C1044" s="74"/>
      <c r="D1044" s="1587"/>
      <c r="E1044" s="1588"/>
      <c r="F1044" s="1588"/>
      <c r="G1044" s="1588"/>
      <c r="H1044" s="1588"/>
      <c r="I1044" s="1588"/>
      <c r="J1044" s="1588"/>
      <c r="K1044" s="1588"/>
      <c r="L1044" s="1588"/>
      <c r="M1044" s="1588"/>
      <c r="N1044" s="1588"/>
      <c r="O1044" s="1588"/>
      <c r="P1044" s="1588"/>
      <c r="Q1044" s="1588"/>
      <c r="R1044" s="1588"/>
      <c r="S1044" s="1588"/>
      <c r="T1044" s="1588"/>
      <c r="U1044" s="1588"/>
      <c r="V1044" s="1588"/>
      <c r="W1044" s="1588"/>
      <c r="X1044" s="1588"/>
      <c r="Y1044" s="1588"/>
      <c r="Z1044" s="1588"/>
      <c r="AA1044" s="1588"/>
      <c r="AB1044" s="1588"/>
      <c r="AC1044" s="1588"/>
      <c r="AD1044" s="1588"/>
      <c r="AE1044" s="1589"/>
      <c r="AF1044" s="914"/>
      <c r="AG1044" s="915"/>
      <c r="AH1044" s="915"/>
      <c r="AI1044" s="916"/>
      <c r="AJ1044" s="1369"/>
      <c r="AK1044" s="1370"/>
      <c r="AL1044" s="1370"/>
      <c r="AM1044" s="1370"/>
      <c r="AN1044" s="1370"/>
      <c r="AO1044" s="1370"/>
      <c r="AP1044" s="1370"/>
      <c r="AQ1044" s="1371"/>
      <c r="AR1044" s="68"/>
      <c r="AS1044" s="68"/>
      <c r="AT1044" s="68"/>
      <c r="AU1044" s="68"/>
      <c r="AV1044" s="68"/>
      <c r="AW1044" s="68"/>
      <c r="AX1044" s="68"/>
      <c r="AY1044" s="68"/>
    </row>
    <row r="1045" spans="1:57" ht="12.95" customHeight="1">
      <c r="A1045" s="14"/>
      <c r="B1045" s="73"/>
      <c r="C1045" s="339" t="s">
        <v>687</v>
      </c>
      <c r="D1045" s="1565" t="s">
        <v>1677</v>
      </c>
      <c r="E1045" s="1566"/>
      <c r="F1045" s="1566"/>
      <c r="G1045" s="1566"/>
      <c r="H1045" s="1566"/>
      <c r="I1045" s="1566"/>
      <c r="J1045" s="1566"/>
      <c r="K1045" s="1566"/>
      <c r="L1045" s="1566"/>
      <c r="M1045" s="1566"/>
      <c r="N1045" s="1566"/>
      <c r="O1045" s="1566"/>
      <c r="P1045" s="1566"/>
      <c r="Q1045" s="1566"/>
      <c r="R1045" s="1566"/>
      <c r="S1045" s="1566"/>
      <c r="T1045" s="1566"/>
      <c r="U1045" s="1566"/>
      <c r="V1045" s="1566"/>
      <c r="W1045" s="1566"/>
      <c r="X1045" s="1566"/>
      <c r="Y1045" s="1566"/>
      <c r="Z1045" s="1566"/>
      <c r="AA1045" s="1566"/>
      <c r="AB1045" s="1566"/>
      <c r="AC1045" s="1566"/>
      <c r="AD1045" s="1566"/>
      <c r="AE1045" s="1567"/>
      <c r="AF1045" s="73"/>
      <c r="AG1045" s="1590" t="s">
        <v>669</v>
      </c>
      <c r="AH1045" s="1591"/>
      <c r="AI1045" s="83"/>
      <c r="AJ1045" s="1363">
        <f>ROUND(IF(AND(AG1045="yes",AJ1041=0),(AJ1001*0.1),0),0)</f>
        <v>0</v>
      </c>
      <c r="AK1045" s="1364"/>
      <c r="AL1045" s="1364"/>
      <c r="AM1045" s="1364"/>
      <c r="AN1045" s="1364"/>
      <c r="AO1045" s="1364"/>
      <c r="AP1045" s="1364"/>
      <c r="AQ1045" s="1365"/>
      <c r="AR1045" s="68"/>
      <c r="AS1045" s="68"/>
      <c r="AT1045" s="68"/>
      <c r="AU1045" s="68"/>
      <c r="AV1045" s="68"/>
      <c r="AW1045" s="68"/>
      <c r="AX1045" s="68"/>
      <c r="AY1045" s="68"/>
    </row>
    <row r="1046" spans="1:57" ht="12.95" customHeight="1">
      <c r="A1046" s="14"/>
      <c r="B1046" s="73"/>
      <c r="C1046" s="74"/>
      <c r="D1046" s="1585" t="s">
        <v>1678</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586"/>
      <c r="AF1046" s="73"/>
      <c r="AG1046" s="14"/>
      <c r="AH1046" s="14"/>
      <c r="AI1046" s="83"/>
      <c r="AJ1046" s="1366"/>
      <c r="AK1046" s="1367"/>
      <c r="AL1046" s="1367"/>
      <c r="AM1046" s="1367"/>
      <c r="AN1046" s="1367"/>
      <c r="AO1046" s="1367"/>
      <c r="AP1046" s="1367"/>
      <c r="AQ1046" s="1368"/>
      <c r="AR1046" s="68"/>
      <c r="AS1046" s="68"/>
      <c r="AT1046" s="68"/>
      <c r="AU1046" s="68"/>
      <c r="AV1046" s="68"/>
      <c r="AW1046" s="68"/>
      <c r="AX1046" s="68"/>
      <c r="AY1046" s="68"/>
    </row>
    <row r="1047" spans="1:57" ht="12.95" customHeight="1">
      <c r="A1047" s="14"/>
      <c r="B1047" s="73"/>
      <c r="C1047" s="74"/>
      <c r="D1047" s="1585"/>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586"/>
      <c r="AF1047" s="73"/>
      <c r="AG1047" s="14"/>
      <c r="AH1047" s="14"/>
      <c r="AI1047" s="83"/>
      <c r="AJ1047" s="1366"/>
      <c r="AK1047" s="1367"/>
      <c r="AL1047" s="1367"/>
      <c r="AM1047" s="1367"/>
      <c r="AN1047" s="1367"/>
      <c r="AO1047" s="1367"/>
      <c r="AP1047" s="1367"/>
      <c r="AQ1047" s="1368"/>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585"/>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586"/>
      <c r="AF1048" s="73"/>
      <c r="AG1048" s="14"/>
      <c r="AH1048" s="14"/>
      <c r="AI1048" s="83"/>
      <c r="AJ1048" s="1366"/>
      <c r="AK1048" s="1367"/>
      <c r="AL1048" s="1367"/>
      <c r="AM1048" s="1367"/>
      <c r="AN1048" s="1367"/>
      <c r="AO1048" s="1367"/>
      <c r="AP1048" s="1367"/>
      <c r="AQ1048" s="1368"/>
      <c r="AR1048" s="68"/>
      <c r="AS1048" s="68"/>
      <c r="AT1048" s="68"/>
      <c r="AU1048" s="68"/>
      <c r="AV1048" s="68"/>
      <c r="AW1048" s="68"/>
      <c r="AX1048" s="68"/>
      <c r="AY1048" s="68"/>
      <c r="BA1048">
        <f>IFERROR((($CI$761+$CM$761)/$AG$449),0)</f>
        <v>1</v>
      </c>
      <c r="BB1048" s="3" t="s">
        <v>2425</v>
      </c>
    </row>
    <row r="1049" spans="1:57" ht="12.95" customHeight="1">
      <c r="A1049" s="14"/>
      <c r="B1049" s="73"/>
      <c r="C1049" s="74"/>
      <c r="D1049" s="1587"/>
      <c r="E1049" s="1588"/>
      <c r="F1049" s="1588"/>
      <c r="G1049" s="1588"/>
      <c r="H1049" s="1588"/>
      <c r="I1049" s="1588"/>
      <c r="J1049" s="1588"/>
      <c r="K1049" s="1588"/>
      <c r="L1049" s="1588"/>
      <c r="M1049" s="1588"/>
      <c r="N1049" s="1588"/>
      <c r="O1049" s="1588"/>
      <c r="P1049" s="1588"/>
      <c r="Q1049" s="1588"/>
      <c r="R1049" s="1588"/>
      <c r="S1049" s="1588"/>
      <c r="T1049" s="1588"/>
      <c r="U1049" s="1588"/>
      <c r="V1049" s="1588"/>
      <c r="W1049" s="1588"/>
      <c r="X1049" s="1588"/>
      <c r="Y1049" s="1588"/>
      <c r="Z1049" s="1588"/>
      <c r="AA1049" s="1588"/>
      <c r="AB1049" s="1588"/>
      <c r="AC1049" s="1588"/>
      <c r="AD1049" s="1588"/>
      <c r="AE1049" s="1589"/>
      <c r="AF1049" s="73"/>
      <c r="AG1049" s="14"/>
      <c r="AH1049" s="14"/>
      <c r="AI1049" s="83"/>
      <c r="AJ1049" s="1366"/>
      <c r="AK1049" s="1367"/>
      <c r="AL1049" s="1367"/>
      <c r="AM1049" s="1367"/>
      <c r="AN1049" s="1367"/>
      <c r="AO1049" s="1367"/>
      <c r="AP1049" s="1367"/>
      <c r="AQ1049" s="1368"/>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344" t="s">
        <v>1296</v>
      </c>
      <c r="E1050" s="1345"/>
      <c r="F1050" s="1345"/>
      <c r="G1050" s="1345"/>
      <c r="H1050" s="1345"/>
      <c r="I1050" s="1345"/>
      <c r="J1050" s="1345"/>
      <c r="K1050" s="1345"/>
      <c r="L1050" s="1345"/>
      <c r="M1050" s="1345"/>
      <c r="N1050" s="1345"/>
      <c r="O1050" s="1345"/>
      <c r="P1050" s="1345"/>
      <c r="Q1050" s="1345"/>
      <c r="R1050" s="1345"/>
      <c r="S1050" s="1345"/>
      <c r="T1050" s="1345"/>
      <c r="U1050" s="1345"/>
      <c r="V1050" s="1345"/>
      <c r="W1050" s="1345"/>
      <c r="X1050" s="1345"/>
      <c r="Y1050" s="1345"/>
      <c r="Z1050" s="1345"/>
      <c r="AA1050" s="1345"/>
      <c r="AB1050" s="1345"/>
      <c r="AC1050" s="1345"/>
      <c r="AD1050" s="1345"/>
      <c r="AE1050" s="1346"/>
      <c r="AF1050" s="79"/>
      <c r="AG1050" s="1406" t="s">
        <v>669</v>
      </c>
      <c r="AH1050" s="1407"/>
      <c r="AI1050" s="87"/>
      <c r="AJ1050" s="1363">
        <f>ROUND(IF(AG1050="yes",(AJ1001*0.1),0),0)</f>
        <v>0</v>
      </c>
      <c r="AK1050" s="1364"/>
      <c r="AL1050" s="1364"/>
      <c r="AM1050" s="1364"/>
      <c r="AN1050" s="1364"/>
      <c r="AO1050" s="1364"/>
      <c r="AP1050" s="1364"/>
      <c r="AQ1050" s="1365"/>
      <c r="AR1050" s="68"/>
      <c r="AS1050" s="68"/>
      <c r="AT1050" s="68"/>
      <c r="AU1050" s="68"/>
      <c r="AV1050" s="68"/>
      <c r="AW1050" s="68"/>
      <c r="AX1050" s="68"/>
      <c r="AY1050" s="68"/>
      <c r="BA1050">
        <f>Q212</f>
        <v>23</v>
      </c>
      <c r="BB1050" s="3" t="s">
        <v>2423</v>
      </c>
    </row>
    <row r="1051" spans="1:57" ht="12.95" customHeight="1">
      <c r="A1051" s="14"/>
      <c r="B1051" s="73"/>
      <c r="C1051" s="74"/>
      <c r="D1051" s="1349" t="s">
        <v>2100</v>
      </c>
      <c r="E1051" s="1350"/>
      <c r="F1051" s="1350"/>
      <c r="G1051" s="1350"/>
      <c r="H1051" s="1350"/>
      <c r="I1051" s="1350"/>
      <c r="J1051" s="1350"/>
      <c r="K1051" s="1350"/>
      <c r="L1051" s="1350"/>
      <c r="M1051" s="1350"/>
      <c r="N1051" s="1350"/>
      <c r="O1051" s="1350"/>
      <c r="P1051" s="1350"/>
      <c r="Q1051" s="1350"/>
      <c r="R1051" s="1350"/>
      <c r="S1051" s="1350"/>
      <c r="T1051" s="1350"/>
      <c r="U1051" s="1350"/>
      <c r="V1051" s="1350"/>
      <c r="W1051" s="1350"/>
      <c r="X1051" s="1350"/>
      <c r="Y1051" s="1350"/>
      <c r="Z1051" s="1350"/>
      <c r="AA1051" s="1350"/>
      <c r="AB1051" s="1350"/>
      <c r="AC1051" s="1350"/>
      <c r="AD1051" s="1350"/>
      <c r="AE1051" s="1351"/>
      <c r="AF1051" s="73"/>
      <c r="AG1051" s="14"/>
      <c r="AH1051" s="14"/>
      <c r="AI1051" s="83"/>
      <c r="AJ1051" s="1366"/>
      <c r="AK1051" s="1367"/>
      <c r="AL1051" s="1367"/>
      <c r="AM1051" s="1367"/>
      <c r="AN1051" s="1367"/>
      <c r="AO1051" s="1367"/>
      <c r="AP1051" s="1367"/>
      <c r="AQ1051" s="1368"/>
      <c r="AR1051" s="68"/>
      <c r="AS1051" s="68"/>
      <c r="AT1051" s="68"/>
      <c r="AU1051" s="68"/>
      <c r="AV1051" s="68"/>
      <c r="AW1051" s="68"/>
      <c r="AX1051" s="68"/>
      <c r="AY1051" s="68"/>
      <c r="BA1051" s="1177">
        <f>T212</f>
        <v>1</v>
      </c>
      <c r="BB1051" s="3" t="s">
        <v>2424</v>
      </c>
    </row>
    <row r="1052" spans="1:57" ht="12.95" customHeight="1">
      <c r="A1052" s="14"/>
      <c r="B1052" s="73"/>
      <c r="C1052" s="74"/>
      <c r="D1052" s="1349"/>
      <c r="E1052" s="1350"/>
      <c r="F1052" s="1350"/>
      <c r="G1052" s="1350"/>
      <c r="H1052" s="1350"/>
      <c r="I1052" s="1350"/>
      <c r="J1052" s="1350"/>
      <c r="K1052" s="1350"/>
      <c r="L1052" s="1350"/>
      <c r="M1052" s="1350"/>
      <c r="N1052" s="1350"/>
      <c r="O1052" s="1350"/>
      <c r="P1052" s="1350"/>
      <c r="Q1052" s="1350"/>
      <c r="R1052" s="1350"/>
      <c r="S1052" s="1350"/>
      <c r="T1052" s="1350"/>
      <c r="U1052" s="1350"/>
      <c r="V1052" s="1350"/>
      <c r="W1052" s="1350"/>
      <c r="X1052" s="1350"/>
      <c r="Y1052" s="1350"/>
      <c r="Z1052" s="1350"/>
      <c r="AA1052" s="1350"/>
      <c r="AB1052" s="1350"/>
      <c r="AC1052" s="1350"/>
      <c r="AD1052" s="1350"/>
      <c r="AE1052" s="1351"/>
      <c r="AF1052" s="73"/>
      <c r="AG1052" s="14"/>
      <c r="AH1052" s="14"/>
      <c r="AI1052" s="83"/>
      <c r="AJ1052" s="1366"/>
      <c r="AK1052" s="1367"/>
      <c r="AL1052" s="1367"/>
      <c r="AM1052" s="1367"/>
      <c r="AN1052" s="1367"/>
      <c r="AO1052" s="1367"/>
      <c r="AP1052" s="1367"/>
      <c r="AQ1052" s="1368"/>
      <c r="AR1052" s="68"/>
      <c r="AS1052" s="68"/>
      <c r="AT1052" s="68"/>
      <c r="AU1052" s="68"/>
      <c r="AV1052" s="68"/>
      <c r="AW1052" s="68"/>
      <c r="AX1052" s="68"/>
      <c r="AY1052" s="68"/>
    </row>
    <row r="1053" spans="1:57" ht="12.95" customHeight="1">
      <c r="A1053" s="14"/>
      <c r="B1053" s="73"/>
      <c r="C1053" s="74"/>
      <c r="D1053" s="1381"/>
      <c r="E1053" s="1382"/>
      <c r="F1053" s="1382"/>
      <c r="G1053" s="1382"/>
      <c r="H1053" s="1382"/>
      <c r="I1053" s="1382"/>
      <c r="J1053" s="1382"/>
      <c r="K1053" s="1382"/>
      <c r="L1053" s="1382"/>
      <c r="M1053" s="1382"/>
      <c r="N1053" s="1382"/>
      <c r="O1053" s="1382"/>
      <c r="P1053" s="1382"/>
      <c r="Q1053" s="1382"/>
      <c r="R1053" s="1382"/>
      <c r="S1053" s="1382"/>
      <c r="T1053" s="1382"/>
      <c r="U1053" s="1382"/>
      <c r="V1053" s="1382"/>
      <c r="W1053" s="1382"/>
      <c r="X1053" s="1382"/>
      <c r="Y1053" s="1382"/>
      <c r="Z1053" s="1382"/>
      <c r="AA1053" s="1382"/>
      <c r="AB1053" s="1382"/>
      <c r="AC1053" s="1382"/>
      <c r="AD1053" s="1382"/>
      <c r="AE1053" s="1383"/>
      <c r="AF1053" s="73"/>
      <c r="AG1053" s="14"/>
      <c r="AH1053" s="14"/>
      <c r="AI1053" s="83"/>
      <c r="AJ1053" s="1369"/>
      <c r="AK1053" s="1370"/>
      <c r="AL1053" s="1370"/>
      <c r="AM1053" s="1370"/>
      <c r="AN1053" s="1370"/>
      <c r="AO1053" s="1370"/>
      <c r="AP1053" s="1370"/>
      <c r="AQ1053" s="1371"/>
      <c r="AR1053" s="68"/>
      <c r="AS1053" s="68"/>
      <c r="AT1053" s="68"/>
      <c r="AU1053" s="68"/>
      <c r="AV1053" s="68"/>
      <c r="AW1053" s="68"/>
      <c r="AX1053" s="68"/>
      <c r="AY1053" s="68"/>
    </row>
    <row r="1054" spans="1:57" ht="12.95" customHeight="1">
      <c r="A1054" s="14"/>
      <c r="B1054" s="79"/>
      <c r="C1054" s="131" t="s">
        <v>1673</v>
      </c>
      <c r="D1054" s="1565" t="s">
        <v>1839</v>
      </c>
      <c r="E1054" s="1566"/>
      <c r="F1054" s="1566"/>
      <c r="G1054" s="1566"/>
      <c r="H1054" s="1566"/>
      <c r="I1054" s="1566"/>
      <c r="J1054" s="1566"/>
      <c r="K1054" s="1566"/>
      <c r="L1054" s="1566"/>
      <c r="M1054" s="1566"/>
      <c r="N1054" s="1566"/>
      <c r="O1054" s="1566"/>
      <c r="P1054" s="1566"/>
      <c r="Q1054" s="1566"/>
      <c r="R1054" s="1566"/>
      <c r="S1054" s="1566"/>
      <c r="T1054" s="1566"/>
      <c r="U1054" s="1566"/>
      <c r="V1054" s="1566"/>
      <c r="W1054" s="1566"/>
      <c r="X1054" s="1566"/>
      <c r="Y1054" s="1566"/>
      <c r="Z1054" s="1566"/>
      <c r="AA1054" s="1566"/>
      <c r="AB1054" s="1566"/>
      <c r="AC1054" s="1566"/>
      <c r="AD1054" s="1566"/>
      <c r="AE1054" s="1567"/>
      <c r="AF1054" s="79"/>
      <c r="AG1054" s="1404" t="str">
        <f>IF(X1057&gt;0,"Yes","No")</f>
        <v>Yes</v>
      </c>
      <c r="AH1054" s="1405"/>
      <c r="AI1054" s="87"/>
      <c r="AJ1054" s="1363">
        <f>IF((X1057=0),0,AY1014*AJ1001)</f>
        <v>5727868.3799999999</v>
      </c>
      <c r="AK1054" s="1364"/>
      <c r="AL1054" s="1364"/>
      <c r="AM1054" s="1364"/>
      <c r="AN1054" s="1364"/>
      <c r="AO1054" s="1364"/>
      <c r="AP1054" s="1364"/>
      <c r="AQ1054" s="136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22144154</v>
      </c>
      <c r="BA1054" s="3" t="s">
        <v>2410</v>
      </c>
      <c r="BB1054" s="3"/>
      <c r="BC1054" s="3"/>
      <c r="BD1054" s="3"/>
    </row>
    <row r="1055" spans="1:57" ht="12.95" customHeight="1">
      <c r="A1055" s="14"/>
      <c r="B1055" s="73"/>
      <c r="C1055" s="442"/>
      <c r="D1055" s="1349" t="s">
        <v>1298</v>
      </c>
      <c r="E1055" s="1350"/>
      <c r="F1055" s="1350"/>
      <c r="G1055" s="1350"/>
      <c r="H1055" s="1350"/>
      <c r="I1055" s="1350"/>
      <c r="J1055" s="1350"/>
      <c r="K1055" s="1350"/>
      <c r="L1055" s="1350"/>
      <c r="M1055" s="1350"/>
      <c r="N1055" s="1350"/>
      <c r="O1055" s="1350"/>
      <c r="P1055" s="1350"/>
      <c r="Q1055" s="1350"/>
      <c r="R1055" s="1350"/>
      <c r="S1055" s="1350"/>
      <c r="T1055" s="1350"/>
      <c r="U1055" s="1350"/>
      <c r="V1055" s="1350"/>
      <c r="W1055" s="1350"/>
      <c r="X1055" s="1350"/>
      <c r="Y1055" s="1350"/>
      <c r="Z1055" s="1350"/>
      <c r="AA1055" s="1350"/>
      <c r="AB1055" s="1350"/>
      <c r="AC1055" s="1350"/>
      <c r="AD1055" s="1350"/>
      <c r="AE1055" s="1351"/>
      <c r="AF1055" s="73"/>
      <c r="AG1055" s="443"/>
      <c r="AH1055" s="443"/>
      <c r="AI1055" s="83"/>
      <c r="AJ1055" s="1366"/>
      <c r="AK1055" s="1367"/>
      <c r="AL1055" s="1367"/>
      <c r="AM1055" s="1367"/>
      <c r="AN1055" s="1367"/>
      <c r="AO1055" s="1367"/>
      <c r="AP1055" s="1367"/>
      <c r="AQ1055" s="1368"/>
      <c r="AR1055" s="68"/>
      <c r="AS1055" s="68"/>
      <c r="AT1055" s="68"/>
      <c r="AU1055" s="13"/>
      <c r="AV1055" s="68"/>
      <c r="AW1055" s="68"/>
      <c r="AX1055" s="68"/>
      <c r="AY1055" s="68"/>
      <c r="AZ1055" s="958">
        <f>'Sources and Uses Budget'!S97*BA1055</f>
        <v>3676598.4</v>
      </c>
      <c r="BA1055" s="1175">
        <f>IF(BA1049,20%,15%)</f>
        <v>0.15</v>
      </c>
      <c r="BB1055" s="3" t="s">
        <v>2411</v>
      </c>
      <c r="BC1055" s="3" t="s">
        <v>2412</v>
      </c>
      <c r="BD1055" s="3"/>
    </row>
    <row r="1056" spans="1:57" ht="12.95" customHeight="1">
      <c r="A1056" s="14"/>
      <c r="B1056" s="73"/>
      <c r="C1056" s="442"/>
      <c r="D1056" s="1349"/>
      <c r="E1056" s="1350"/>
      <c r="F1056" s="1350"/>
      <c r="G1056" s="1350"/>
      <c r="H1056" s="1350"/>
      <c r="I1056" s="1350"/>
      <c r="J1056" s="1350"/>
      <c r="K1056" s="1350"/>
      <c r="L1056" s="1350"/>
      <c r="M1056" s="1350"/>
      <c r="N1056" s="1350"/>
      <c r="O1056" s="1350"/>
      <c r="P1056" s="1350"/>
      <c r="Q1056" s="1350"/>
      <c r="R1056" s="1350"/>
      <c r="S1056" s="1350"/>
      <c r="T1056" s="1350"/>
      <c r="U1056" s="1350"/>
      <c r="V1056" s="1350"/>
      <c r="W1056" s="1350"/>
      <c r="X1056" s="1350"/>
      <c r="Y1056" s="1350"/>
      <c r="Z1056" s="1350"/>
      <c r="AA1056" s="1350"/>
      <c r="AB1056" s="1350"/>
      <c r="AC1056" s="1350"/>
      <c r="AD1056" s="1350"/>
      <c r="AE1056" s="1351"/>
      <c r="AF1056" s="73"/>
      <c r="AG1056" s="443"/>
      <c r="AH1056" s="443"/>
      <c r="AI1056" s="83"/>
      <c r="AJ1056" s="1366"/>
      <c r="AK1056" s="1367"/>
      <c r="AL1056" s="1367"/>
      <c r="AM1056" s="1367"/>
      <c r="AN1056" s="1367"/>
      <c r="AO1056" s="1367"/>
      <c r="AP1056" s="1367"/>
      <c r="AQ1056" s="1368"/>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402">
        <f>AY1012</f>
        <v>23</v>
      </c>
      <c r="J1057" s="1403"/>
      <c r="K1057" s="7"/>
      <c r="L1057" s="133"/>
      <c r="M1057" s="133"/>
      <c r="N1057" s="133"/>
      <c r="O1057" s="133"/>
      <c r="P1057" s="133"/>
      <c r="Q1057" s="133"/>
      <c r="R1057" s="133"/>
      <c r="S1057" s="133"/>
      <c r="T1057" s="133"/>
      <c r="U1057" s="133"/>
      <c r="V1057" s="134" t="s">
        <v>973</v>
      </c>
      <c r="W1057" s="48"/>
      <c r="X1057" s="1352">
        <f>CI761</f>
        <v>11</v>
      </c>
      <c r="Y1057" s="1353"/>
      <c r="Z1057" s="48"/>
      <c r="AA1057" s="48"/>
      <c r="AB1057" s="48"/>
      <c r="AC1057" s="48"/>
      <c r="AD1057" s="48"/>
      <c r="AE1057" s="49"/>
      <c r="AF1057" s="920"/>
      <c r="AG1057" s="921"/>
      <c r="AH1057" s="921"/>
      <c r="AI1057" s="922"/>
      <c r="AJ1057" s="1369"/>
      <c r="AK1057" s="1370"/>
      <c r="AL1057" s="1370"/>
      <c r="AM1057" s="1370"/>
      <c r="AN1057" s="1370"/>
      <c r="AO1057" s="1370"/>
      <c r="AP1057" s="1370"/>
      <c r="AQ1057" s="1371"/>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344" t="s">
        <v>2126</v>
      </c>
      <c r="E1058" s="1345"/>
      <c r="F1058" s="1345"/>
      <c r="G1058" s="1345"/>
      <c r="H1058" s="1345"/>
      <c r="I1058" s="1345"/>
      <c r="J1058" s="1345"/>
      <c r="K1058" s="1345"/>
      <c r="L1058" s="1345"/>
      <c r="M1058" s="1345"/>
      <c r="N1058" s="1345"/>
      <c r="O1058" s="1345"/>
      <c r="P1058" s="1345"/>
      <c r="Q1058" s="1345"/>
      <c r="R1058" s="1345"/>
      <c r="S1058" s="1345"/>
      <c r="T1058" s="1345"/>
      <c r="U1058" s="1345"/>
      <c r="V1058" s="1345"/>
      <c r="W1058" s="1345"/>
      <c r="X1058" s="1345"/>
      <c r="Y1058" s="1345"/>
      <c r="Z1058" s="1345"/>
      <c r="AA1058" s="1345"/>
      <c r="AB1058" s="1345"/>
      <c r="AC1058" s="1345"/>
      <c r="AD1058" s="1345"/>
      <c r="AE1058" s="1346"/>
      <c r="AF1058" s="73"/>
      <c r="AG1058" s="1404" t="str">
        <f>IF(X1061&gt;0,"Yes","No")</f>
        <v>Yes</v>
      </c>
      <c r="AH1058" s="1405"/>
      <c r="AI1058" s="83"/>
      <c r="AJ1058" s="1363">
        <f>IF((X1061=0),0,(2*AY1015)*AJ1001)</f>
        <v>12674432.16</v>
      </c>
      <c r="AK1058" s="1364"/>
      <c r="AL1058" s="1364"/>
      <c r="AM1058" s="1364"/>
      <c r="AN1058" s="1364"/>
      <c r="AO1058" s="1364"/>
      <c r="AP1058" s="1364"/>
      <c r="AQ1058" s="1365"/>
      <c r="AR1058" s="68"/>
      <c r="AS1058" s="68"/>
      <c r="AT1058" s="68"/>
      <c r="AU1058" s="14"/>
      <c r="AV1058" s="68"/>
      <c r="AW1058" s="68"/>
      <c r="AX1058" s="68"/>
      <c r="AY1058" s="68"/>
      <c r="AZ1058" s="958">
        <f>AZ1054*BA1058</f>
        <v>3321623.1</v>
      </c>
      <c r="BA1058" s="1175">
        <v>0.15</v>
      </c>
      <c r="BB1058" s="3" t="s">
        <v>2411</v>
      </c>
      <c r="BC1058" s="3" t="s">
        <v>2415</v>
      </c>
      <c r="BD1058" s="3"/>
    </row>
    <row r="1059" spans="1:56" ht="12.95" customHeight="1">
      <c r="A1059" s="14"/>
      <c r="B1059" s="73"/>
      <c r="C1059" s="442"/>
      <c r="D1059" s="1349" t="s">
        <v>1297</v>
      </c>
      <c r="E1059" s="1350"/>
      <c r="F1059" s="1350"/>
      <c r="G1059" s="1350"/>
      <c r="H1059" s="1350"/>
      <c r="I1059" s="1350"/>
      <c r="J1059" s="1350"/>
      <c r="K1059" s="1350"/>
      <c r="L1059" s="1350"/>
      <c r="M1059" s="1350"/>
      <c r="N1059" s="1350"/>
      <c r="O1059" s="1350"/>
      <c r="P1059" s="1350"/>
      <c r="Q1059" s="1350"/>
      <c r="R1059" s="1350"/>
      <c r="S1059" s="1350"/>
      <c r="T1059" s="1350"/>
      <c r="U1059" s="1350"/>
      <c r="V1059" s="1350"/>
      <c r="W1059" s="1350"/>
      <c r="X1059" s="1350"/>
      <c r="Y1059" s="1350"/>
      <c r="Z1059" s="1350"/>
      <c r="AA1059" s="1350"/>
      <c r="AB1059" s="1350"/>
      <c r="AC1059" s="1350"/>
      <c r="AD1059" s="1350"/>
      <c r="AE1059" s="1351"/>
      <c r="AF1059" s="73"/>
      <c r="AG1059" s="443"/>
      <c r="AH1059" s="443"/>
      <c r="AI1059" s="83"/>
      <c r="AJ1059" s="1366"/>
      <c r="AK1059" s="1367"/>
      <c r="AL1059" s="1367"/>
      <c r="AM1059" s="1367"/>
      <c r="AN1059" s="1367"/>
      <c r="AO1059" s="1367"/>
      <c r="AP1059" s="1367"/>
      <c r="AQ1059" s="1368"/>
      <c r="AR1059" s="68"/>
      <c r="AS1059" s="68"/>
      <c r="AT1059" s="68"/>
      <c r="AU1059" s="68"/>
      <c r="AV1059" s="68"/>
      <c r="AW1059" s="68"/>
      <c r="AX1059" s="68"/>
      <c r="AY1059" s="68"/>
      <c r="AZ1059" s="958"/>
      <c r="BA1059" s="3"/>
      <c r="BB1059" s="3"/>
      <c r="BC1059" s="3"/>
      <c r="BD1059" s="3"/>
    </row>
    <row r="1060" spans="1:56" ht="12.95" customHeight="1">
      <c r="A1060" s="14"/>
      <c r="B1060" s="73"/>
      <c r="C1060" s="83"/>
      <c r="D1060" s="1349"/>
      <c r="E1060" s="1350"/>
      <c r="F1060" s="1350"/>
      <c r="G1060" s="1350"/>
      <c r="H1060" s="1350"/>
      <c r="I1060" s="1350"/>
      <c r="J1060" s="1350"/>
      <c r="K1060" s="1350"/>
      <c r="L1060" s="1350"/>
      <c r="M1060" s="1350"/>
      <c r="N1060" s="1350"/>
      <c r="O1060" s="1350"/>
      <c r="P1060" s="1350"/>
      <c r="Q1060" s="1350"/>
      <c r="R1060" s="1350"/>
      <c r="S1060" s="1350"/>
      <c r="T1060" s="1350"/>
      <c r="U1060" s="1350"/>
      <c r="V1060" s="1350"/>
      <c r="W1060" s="1350"/>
      <c r="X1060" s="1350"/>
      <c r="Y1060" s="1350"/>
      <c r="Z1060" s="1350"/>
      <c r="AA1060" s="1350"/>
      <c r="AB1060" s="1350"/>
      <c r="AC1060" s="1350"/>
      <c r="AD1060" s="1350"/>
      <c r="AE1060" s="1351"/>
      <c r="AF1060" s="917"/>
      <c r="AG1060" s="918"/>
      <c r="AH1060" s="918"/>
      <c r="AI1060" s="919"/>
      <c r="AJ1060" s="1366"/>
      <c r="AK1060" s="1367"/>
      <c r="AL1060" s="1367"/>
      <c r="AM1060" s="1367"/>
      <c r="AN1060" s="1367"/>
      <c r="AO1060" s="1367"/>
      <c r="AP1060" s="1367"/>
      <c r="AQ1060" s="1368"/>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402">
        <f>AY1012</f>
        <v>23</v>
      </c>
      <c r="J1061" s="1403"/>
      <c r="K1061" s="14"/>
      <c r="L1061" s="133"/>
      <c r="M1061" s="133"/>
      <c r="N1061" s="133"/>
      <c r="O1061" s="133"/>
      <c r="P1061" s="133"/>
      <c r="Q1061" s="133"/>
      <c r="R1061" s="133"/>
      <c r="S1061" s="133"/>
      <c r="T1061" s="133"/>
      <c r="U1061" s="133"/>
      <c r="V1061" s="134" t="s">
        <v>974</v>
      </c>
      <c r="X1061" s="1352">
        <f>CM761</f>
        <v>12</v>
      </c>
      <c r="Y1061" s="1353"/>
      <c r="AF1061" s="920"/>
      <c r="AG1061" s="921"/>
      <c r="AH1061" s="921"/>
      <c r="AI1061" s="922"/>
      <c r="AJ1061" s="1369"/>
      <c r="AK1061" s="1370"/>
      <c r="AL1061" s="1370"/>
      <c r="AM1061" s="1370"/>
      <c r="AN1061" s="1370"/>
      <c r="AO1061" s="1370"/>
      <c r="AP1061" s="1370"/>
      <c r="AQ1061" s="1371"/>
      <c r="AR1061" s="68"/>
      <c r="AS1061" s="68"/>
      <c r="AT1061" s="68"/>
      <c r="AU1061" s="68"/>
      <c r="AV1061" s="68"/>
      <c r="AW1061" s="68"/>
      <c r="AX1061" s="68"/>
      <c r="AY1061" s="68"/>
      <c r="AZ1061" s="958">
        <f>ROUNDDOWN(MAX(0,BA1061*(SUM(AG1102,AL1102,AZ1054)-BD1061))+BF1061,0)</f>
        <v>773874</v>
      </c>
      <c r="BA1061" s="1175">
        <f>IF(L1051,7%,5%)</f>
        <v>0.05</v>
      </c>
      <c r="BB1061" s="3" t="s">
        <v>2417</v>
      </c>
      <c r="BC1061" s="3"/>
      <c r="BD1061" s="3">
        <v>6666667</v>
      </c>
    </row>
    <row r="1062" spans="1:56" ht="12.95" customHeight="1">
      <c r="A1062" s="14"/>
      <c r="B1062" s="102"/>
      <c r="C1062" s="103"/>
      <c r="D1062" s="1347" t="s">
        <v>513</v>
      </c>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347"/>
      <c r="Y1062" s="1347"/>
      <c r="Z1062" s="1347"/>
      <c r="AA1062" s="1347"/>
      <c r="AB1062" s="1347"/>
      <c r="AC1062" s="1347"/>
      <c r="AD1062" s="1347"/>
      <c r="AE1062" s="1347"/>
      <c r="AF1062" s="1347"/>
      <c r="AG1062" s="1347"/>
      <c r="AH1062" s="1347"/>
      <c r="AI1062" s="1348"/>
      <c r="AJ1062" s="1582">
        <f>SUM(AJ1001:AQ1061)</f>
        <v>39696339.340000004</v>
      </c>
      <c r="AK1062" s="1583"/>
      <c r="AL1062" s="1583"/>
      <c r="AM1062" s="1583"/>
      <c r="AN1062" s="1583"/>
      <c r="AO1062" s="1583"/>
      <c r="AP1062" s="1583"/>
      <c r="AQ1062" s="1584"/>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8">
        <f>'Sources and Uses Budget'!S107+'Sources and Uses Budget'!T107</f>
        <v>28187254</v>
      </c>
      <c r="AB1065" s="1858"/>
      <c r="AC1065" s="1858"/>
      <c r="AD1065" s="1858"/>
      <c r="AE1065" s="1858"/>
      <c r="AF1065" s="1858"/>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6998221.5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9">
        <f>IFERROR((AA1065-BA1068)/(AJ1062-AJ1054-AJ1058),"")</f>
        <v>1.2684609178039066</v>
      </c>
      <c r="AB1066" s="1860"/>
      <c r="AC1066" s="1860"/>
      <c r="AD1066" s="1860"/>
      <c r="AE1066" s="1860"/>
      <c r="AF1066" s="1861"/>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68"/>
      <c r="AP1067" s="68"/>
      <c r="AQ1067" s="68"/>
      <c r="AR1067" s="68"/>
      <c r="AS1067" s="68"/>
      <c r="AT1067" s="68"/>
      <c r="AU1067" s="68"/>
      <c r="AV1067" s="14"/>
      <c r="AW1067" s="14"/>
      <c r="AX1067" s="14"/>
      <c r="AY1067" s="14"/>
      <c r="BA1067" s="1178">
        <f>'Sources and Uses Budget'!$S$104+'Sources and Uses Budget'!$T$104</f>
        <v>3676598</v>
      </c>
      <c r="BB1067" s="3" t="s">
        <v>2426</v>
      </c>
    </row>
    <row r="1068" spans="1:56" ht="12.95" customHeight="1">
      <c r="A1068" s="14"/>
      <c r="B1068" s="14"/>
      <c r="C1068" s="208"/>
      <c r="D1068" s="854"/>
      <c r="E1068" s="854"/>
      <c r="F1068" s="854"/>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68"/>
      <c r="AP1068" s="68"/>
      <c r="AQ1068" s="68"/>
      <c r="AR1068" s="68"/>
      <c r="AS1068" s="68"/>
      <c r="AT1068" s="68"/>
      <c r="AU1068" s="68"/>
      <c r="AV1068" s="14"/>
      <c r="AW1068" s="14"/>
      <c r="AX1068" s="14"/>
      <c r="AY1068" s="14"/>
      <c r="BA1068" s="1179">
        <f>MAX($BA$1067-$BA$1064,0)</f>
        <v>1176598</v>
      </c>
      <c r="BB1068" s="3" t="s">
        <v>2427</v>
      </c>
    </row>
    <row r="1069" spans="1:56" ht="12.95" customHeight="1">
      <c r="A1069" s="88"/>
      <c r="B1069" s="1165"/>
      <c r="C1069" s="1165"/>
      <c r="D1069" s="1165"/>
      <c r="E1069" s="1165"/>
      <c r="F1069" s="1165"/>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1862"/>
      <c r="AM1069" s="1862"/>
      <c r="AN1069" s="1862"/>
      <c r="AO1069" s="1165"/>
      <c r="AP1069" s="1165"/>
      <c r="AQ1069" s="68"/>
      <c r="AR1069" s="68"/>
      <c r="AS1069" s="68"/>
      <c r="AT1069" s="68"/>
      <c r="AU1069" s="68"/>
      <c r="AV1069" s="68"/>
      <c r="AW1069" s="68"/>
      <c r="AX1069" s="68"/>
      <c r="AY1069" s="68"/>
    </row>
    <row r="1070" spans="1:56" ht="12.95" customHeight="1">
      <c r="A1070" s="1424" t="s">
        <v>794</v>
      </c>
      <c r="B1070" s="1424"/>
      <c r="C1070" s="1424"/>
      <c r="D1070" s="1424"/>
      <c r="E1070" s="1424"/>
      <c r="F1070" s="1424"/>
      <c r="G1070" s="1424"/>
      <c r="H1070" s="1424"/>
      <c r="I1070" s="1424"/>
      <c r="J1070" s="1424"/>
      <c r="K1070" s="1424"/>
      <c r="L1070" s="1424"/>
      <c r="M1070" s="1424"/>
      <c r="N1070" s="1424"/>
      <c r="O1070" s="1424"/>
      <c r="P1070" s="1424"/>
      <c r="Q1070" s="1424"/>
      <c r="R1070" s="1424"/>
      <c r="S1070" s="1424"/>
      <c r="T1070" s="1424"/>
      <c r="U1070" s="1424"/>
      <c r="V1070" s="1424"/>
      <c r="W1070" s="1424"/>
      <c r="X1070" s="1424"/>
      <c r="Y1070" s="1424"/>
      <c r="Z1070" s="1424"/>
      <c r="AA1070" s="1424"/>
      <c r="AB1070" s="1424"/>
      <c r="AC1070" s="1424"/>
      <c r="AD1070" s="1424"/>
      <c r="AE1070" s="1424"/>
      <c r="AF1070" s="1424"/>
      <c r="AG1070" s="1424"/>
      <c r="AH1070" s="1424"/>
      <c r="AI1070" s="1424"/>
      <c r="AJ1070" s="1424"/>
      <c r="AK1070" s="1424"/>
      <c r="AL1070" s="1424"/>
      <c r="AM1070" s="1424"/>
      <c r="AN1070" s="1424"/>
      <c r="AO1070" s="1424"/>
      <c r="AP1070" s="1424"/>
      <c r="AQ1070" s="1424"/>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0" t="s">
        <v>545</v>
      </c>
      <c r="B1074" s="1340"/>
      <c r="C1074" s="1341">
        <v>1</v>
      </c>
      <c r="D1074" s="1341"/>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1"/>
      <c r="D1075" s="1341"/>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0" t="s">
        <v>591</v>
      </c>
      <c r="B1076" s="1340"/>
      <c r="C1076" s="1341">
        <v>2</v>
      </c>
      <c r="D1076" s="1341"/>
      <c r="E1076" s="1343" t="s">
        <v>2193</v>
      </c>
      <c r="F1076" s="1343"/>
      <c r="G1076" s="1343"/>
      <c r="H1076" s="1343"/>
      <c r="I1076" s="1343"/>
      <c r="J1076" s="1343"/>
      <c r="K1076" s="1343"/>
      <c r="L1076" s="1343"/>
      <c r="M1076" s="1343"/>
      <c r="N1076" s="1343"/>
      <c r="O1076" s="1343"/>
      <c r="P1076" s="1343"/>
      <c r="Q1076" s="1343"/>
      <c r="R1076" s="1343"/>
      <c r="S1076" s="1343"/>
      <c r="T1076" s="1343"/>
      <c r="U1076" s="1343"/>
      <c r="V1076" s="1343"/>
      <c r="W1076" s="1343"/>
      <c r="X1076" s="1343"/>
      <c r="Y1076" s="1343"/>
      <c r="Z1076" s="1343"/>
      <c r="AA1076" s="1343"/>
      <c r="AB1076" s="1343"/>
      <c r="AC1076" s="1343"/>
      <c r="AD1076" s="1343"/>
      <c r="AE1076" s="1343"/>
      <c r="AF1076" s="1343"/>
      <c r="AG1076" s="1343"/>
      <c r="AH1076" s="1343"/>
      <c r="AI1076" s="1343"/>
      <c r="AJ1076" s="1343"/>
      <c r="AK1076" s="1343"/>
      <c r="AL1076" s="1343"/>
      <c r="AM1076" s="1343"/>
      <c r="AN1076" s="1343"/>
      <c r="AO1076" s="1343"/>
      <c r="AP1076" s="1343"/>
      <c r="AQ1076" s="1343"/>
      <c r="AR1076" s="1343"/>
      <c r="AS1076" s="14"/>
      <c r="AT1076" s="14"/>
      <c r="AV1076" s="68"/>
      <c r="AW1076" s="68"/>
      <c r="AX1076" s="68"/>
      <c r="AY1076" s="68"/>
    </row>
    <row r="1077" spans="1:51" ht="12.95" customHeight="1">
      <c r="A1077" s="198"/>
      <c r="B1077" s="67"/>
      <c r="C1077" s="1341"/>
      <c r="D1077" s="1341"/>
      <c r="E1077" s="1343"/>
      <c r="F1077" s="1343"/>
      <c r="G1077" s="1343"/>
      <c r="H1077" s="1343"/>
      <c r="I1077" s="1343"/>
      <c r="J1077" s="1343"/>
      <c r="K1077" s="1343"/>
      <c r="L1077" s="1343"/>
      <c r="M1077" s="1343"/>
      <c r="N1077" s="1343"/>
      <c r="O1077" s="1343"/>
      <c r="P1077" s="1343"/>
      <c r="Q1077" s="1343"/>
      <c r="R1077" s="1343"/>
      <c r="S1077" s="1343"/>
      <c r="T1077" s="1343"/>
      <c r="U1077" s="1343"/>
      <c r="V1077" s="1343"/>
      <c r="W1077" s="1343"/>
      <c r="X1077" s="1343"/>
      <c r="Y1077" s="1343"/>
      <c r="Z1077" s="1343"/>
      <c r="AA1077" s="1343"/>
      <c r="AB1077" s="1343"/>
      <c r="AC1077" s="1343"/>
      <c r="AD1077" s="1343"/>
      <c r="AE1077" s="1343"/>
      <c r="AF1077" s="1343"/>
      <c r="AG1077" s="1343"/>
      <c r="AH1077" s="1343"/>
      <c r="AI1077" s="1343"/>
      <c r="AJ1077" s="1343"/>
      <c r="AK1077" s="1343"/>
      <c r="AL1077" s="1343"/>
      <c r="AM1077" s="1343"/>
      <c r="AN1077" s="1343"/>
      <c r="AO1077" s="1343"/>
      <c r="AP1077" s="1343"/>
      <c r="AQ1077" s="1343"/>
      <c r="AR1077" s="1343"/>
      <c r="AS1077" s="14"/>
      <c r="AT1077" s="14"/>
      <c r="AV1077" s="68"/>
      <c r="AW1077" s="68"/>
      <c r="AX1077" s="68"/>
      <c r="AY1077" s="68"/>
    </row>
    <row r="1078" spans="1:51" ht="12.95" customHeight="1">
      <c r="A1078" s="198"/>
      <c r="B1078" s="67"/>
      <c r="C1078" s="1341"/>
      <c r="D1078" s="1341"/>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0" t="s">
        <v>591</v>
      </c>
      <c r="B1079" s="1340"/>
      <c r="C1079" s="1342">
        <v>3</v>
      </c>
      <c r="D1079" s="1342"/>
      <c r="E1079" s="1302" t="s">
        <v>1080</v>
      </c>
      <c r="F1079" s="1302"/>
      <c r="G1079" s="1302"/>
      <c r="H1079" s="1302"/>
      <c r="I1079" s="1302"/>
      <c r="J1079" s="1302"/>
      <c r="K1079" s="1302"/>
      <c r="L1079" s="1302"/>
      <c r="M1079" s="1302"/>
      <c r="N1079" s="1302"/>
      <c r="O1079" s="1302"/>
      <c r="P1079" s="1302"/>
      <c r="Q1079" s="1302"/>
      <c r="R1079" s="1302"/>
      <c r="S1079" s="1302"/>
      <c r="T1079" s="1302"/>
      <c r="U1079" s="1302"/>
      <c r="V1079" s="1302"/>
      <c r="W1079" s="1302"/>
      <c r="X1079" s="1302"/>
      <c r="Y1079" s="1302"/>
      <c r="Z1079" s="1302"/>
      <c r="AA1079" s="1302"/>
      <c r="AB1079" s="1302"/>
      <c r="AC1079" s="1302"/>
      <c r="AD1079" s="1302"/>
      <c r="AE1079" s="1302"/>
      <c r="AF1079" s="1302"/>
      <c r="AG1079" s="1302"/>
      <c r="AH1079" s="1302"/>
      <c r="AI1079" s="1302"/>
      <c r="AJ1079" s="1302"/>
      <c r="AK1079" s="1302"/>
      <c r="AL1079" s="1302"/>
      <c r="AM1079" s="1302"/>
      <c r="AN1079" s="1302"/>
      <c r="AO1079" s="1302"/>
      <c r="AP1079" s="1302"/>
      <c r="AQ1079" s="1302"/>
      <c r="AR1079" s="1302"/>
      <c r="AS1079" s="14"/>
      <c r="AT1079" s="68"/>
      <c r="AV1079" s="68"/>
      <c r="AW1079" s="68"/>
      <c r="AX1079" s="68"/>
      <c r="AY1079" s="68"/>
    </row>
    <row r="1080" spans="1:51" ht="12.95" customHeight="1">
      <c r="A1080" s="1"/>
      <c r="B1080" s="1"/>
      <c r="C1080" s="1342"/>
      <c r="D1080" s="1342"/>
      <c r="E1080" s="1302"/>
      <c r="F1080" s="1302"/>
      <c r="G1080" s="1302"/>
      <c r="H1080" s="1302"/>
      <c r="I1080" s="1302"/>
      <c r="J1080" s="1302"/>
      <c r="K1080" s="1302"/>
      <c r="L1080" s="1302"/>
      <c r="M1080" s="1302"/>
      <c r="N1080" s="1302"/>
      <c r="O1080" s="1302"/>
      <c r="P1080" s="1302"/>
      <c r="Q1080" s="1302"/>
      <c r="R1080" s="1302"/>
      <c r="S1080" s="1302"/>
      <c r="T1080" s="1302"/>
      <c r="U1080" s="1302"/>
      <c r="V1080" s="1302"/>
      <c r="W1080" s="1302"/>
      <c r="X1080" s="1302"/>
      <c r="Y1080" s="1302"/>
      <c r="Z1080" s="1302"/>
      <c r="AA1080" s="1302"/>
      <c r="AB1080" s="1302"/>
      <c r="AC1080" s="1302"/>
      <c r="AD1080" s="1302"/>
      <c r="AE1080" s="1302"/>
      <c r="AF1080" s="1302"/>
      <c r="AG1080" s="1302"/>
      <c r="AH1080" s="1302"/>
      <c r="AI1080" s="1302"/>
      <c r="AJ1080" s="1302"/>
      <c r="AK1080" s="1302"/>
      <c r="AL1080" s="1302"/>
      <c r="AM1080" s="1302"/>
      <c r="AN1080" s="1302"/>
      <c r="AO1080" s="1302"/>
      <c r="AP1080" s="1302"/>
      <c r="AQ1080" s="1302"/>
      <c r="AR1080" s="1302"/>
      <c r="AS1080" s="14"/>
      <c r="AT1080" s="68"/>
      <c r="AV1080" s="68"/>
      <c r="AW1080" s="68"/>
      <c r="AX1080" s="68"/>
      <c r="AY1080" s="68"/>
    </row>
    <row r="1081" spans="1:51" ht="12.95" customHeight="1">
      <c r="A1081" s="1"/>
      <c r="B1081" s="1"/>
      <c r="C1081" s="1342"/>
      <c r="D1081" s="1342"/>
      <c r="E1081" s="1302"/>
      <c r="F1081" s="1302"/>
      <c r="G1081" s="1302"/>
      <c r="H1081" s="1302"/>
      <c r="I1081" s="1302"/>
      <c r="J1081" s="1302"/>
      <c r="K1081" s="1302"/>
      <c r="L1081" s="1302"/>
      <c r="M1081" s="1302"/>
      <c r="N1081" s="1302"/>
      <c r="O1081" s="1302"/>
      <c r="P1081" s="1302"/>
      <c r="Q1081" s="1302"/>
      <c r="R1081" s="1302"/>
      <c r="S1081" s="1302"/>
      <c r="T1081" s="1302"/>
      <c r="U1081" s="1302"/>
      <c r="V1081" s="1302"/>
      <c r="W1081" s="1302"/>
      <c r="X1081" s="1302"/>
      <c r="Y1081" s="1302"/>
      <c r="Z1081" s="1302"/>
      <c r="AA1081" s="1302"/>
      <c r="AB1081" s="1302"/>
      <c r="AC1081" s="1302"/>
      <c r="AD1081" s="1302"/>
      <c r="AE1081" s="1302"/>
      <c r="AF1081" s="1302"/>
      <c r="AG1081" s="1302"/>
      <c r="AH1081" s="1302"/>
      <c r="AI1081" s="1302"/>
      <c r="AJ1081" s="1302"/>
      <c r="AK1081" s="1302"/>
      <c r="AL1081" s="1302"/>
      <c r="AM1081" s="1302"/>
      <c r="AN1081" s="1302"/>
      <c r="AO1081" s="1302"/>
      <c r="AP1081" s="1302"/>
      <c r="AQ1081" s="1302"/>
      <c r="AR1081" s="1302"/>
      <c r="AS1081" s="14"/>
      <c r="AT1081" s="68"/>
      <c r="AV1081" s="68"/>
      <c r="AW1081" s="68"/>
      <c r="AX1081" s="68"/>
      <c r="AY1081" s="68"/>
    </row>
    <row r="1082" spans="1:51" ht="12.95" customHeight="1">
      <c r="A1082" s="1"/>
      <c r="B1082" s="1"/>
      <c r="C1082" s="1342"/>
      <c r="D1082" s="1342"/>
      <c r="E1082" s="1302"/>
      <c r="F1082" s="1302"/>
      <c r="G1082" s="1302"/>
      <c r="H1082" s="1302"/>
      <c r="I1082" s="1302"/>
      <c r="J1082" s="1302"/>
      <c r="K1082" s="1302"/>
      <c r="L1082" s="1302"/>
      <c r="M1082" s="1302"/>
      <c r="N1082" s="1302"/>
      <c r="O1082" s="1302"/>
      <c r="P1082" s="1302"/>
      <c r="Q1082" s="1302"/>
      <c r="R1082" s="1302"/>
      <c r="S1082" s="1302"/>
      <c r="T1082" s="1302"/>
      <c r="U1082" s="1302"/>
      <c r="V1082" s="1302"/>
      <c r="W1082" s="1302"/>
      <c r="X1082" s="1302"/>
      <c r="Y1082" s="1302"/>
      <c r="Z1082" s="1302"/>
      <c r="AA1082" s="1302"/>
      <c r="AB1082" s="1302"/>
      <c r="AC1082" s="1302"/>
      <c r="AD1082" s="1302"/>
      <c r="AE1082" s="1302"/>
      <c r="AF1082" s="1302"/>
      <c r="AG1082" s="1302"/>
      <c r="AH1082" s="1302"/>
      <c r="AI1082" s="1302"/>
      <c r="AJ1082" s="1302"/>
      <c r="AK1082" s="1302"/>
      <c r="AL1082" s="1302"/>
      <c r="AM1082" s="1302"/>
      <c r="AN1082" s="1302"/>
      <c r="AO1082" s="1302"/>
      <c r="AP1082" s="1302"/>
      <c r="AQ1082" s="1302"/>
      <c r="AR1082" s="1302"/>
      <c r="AS1082" s="14"/>
      <c r="AT1082" s="68"/>
      <c r="AV1082" s="68"/>
      <c r="AW1082" s="68"/>
      <c r="AX1082" s="68"/>
      <c r="AY1082" s="68"/>
    </row>
    <row r="1083" spans="1:51" ht="12.95" customHeight="1">
      <c r="A1083" s="2"/>
      <c r="B1083" s="25"/>
      <c r="C1083" s="1342"/>
      <c r="D1083" s="134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0" t="s">
        <v>591</v>
      </c>
      <c r="B1084" s="1340"/>
      <c r="C1084" s="1342">
        <v>4</v>
      </c>
      <c r="D1084" s="1342"/>
      <c r="E1084" s="1302" t="s">
        <v>1079</v>
      </c>
      <c r="F1084" s="1302"/>
      <c r="G1084" s="1302"/>
      <c r="H1084" s="1302"/>
      <c r="I1084" s="1302"/>
      <c r="J1084" s="1302"/>
      <c r="K1084" s="1302"/>
      <c r="L1084" s="1302"/>
      <c r="M1084" s="1302"/>
      <c r="N1084" s="1302"/>
      <c r="O1084" s="1302"/>
      <c r="P1084" s="1302"/>
      <c r="Q1084" s="1302"/>
      <c r="R1084" s="1302"/>
      <c r="S1084" s="1302"/>
      <c r="T1084" s="1302"/>
      <c r="U1084" s="1302"/>
      <c r="V1084" s="1302"/>
      <c r="W1084" s="1302"/>
      <c r="X1084" s="1302"/>
      <c r="Y1084" s="1302"/>
      <c r="Z1084" s="1302"/>
      <c r="AA1084" s="1302"/>
      <c r="AB1084" s="1302"/>
      <c r="AC1084" s="1302"/>
      <c r="AD1084" s="1302"/>
      <c r="AE1084" s="1302"/>
      <c r="AF1084" s="1302"/>
      <c r="AG1084" s="1302"/>
      <c r="AH1084" s="1302"/>
      <c r="AI1084" s="1302"/>
      <c r="AJ1084" s="1302"/>
      <c r="AK1084" s="1302"/>
      <c r="AL1084" s="1302"/>
      <c r="AM1084" s="1302"/>
      <c r="AN1084" s="1302"/>
      <c r="AO1084" s="1302"/>
      <c r="AP1084" s="1302"/>
      <c r="AQ1084" s="1302"/>
      <c r="AR1084" s="1302"/>
      <c r="AS1084" s="14"/>
      <c r="AT1084" s="68"/>
    </row>
    <row r="1085" spans="1:51" ht="12.95" customHeight="1">
      <c r="A1085" s="1"/>
      <c r="B1085" s="1"/>
      <c r="C1085" s="1342"/>
      <c r="D1085" s="1342"/>
      <c r="E1085" s="1302"/>
      <c r="F1085" s="1302"/>
      <c r="G1085" s="1302"/>
      <c r="H1085" s="1302"/>
      <c r="I1085" s="1302"/>
      <c r="J1085" s="1302"/>
      <c r="K1085" s="1302"/>
      <c r="L1085" s="1302"/>
      <c r="M1085" s="1302"/>
      <c r="N1085" s="1302"/>
      <c r="O1085" s="1302"/>
      <c r="P1085" s="1302"/>
      <c r="Q1085" s="1302"/>
      <c r="R1085" s="1302"/>
      <c r="S1085" s="1302"/>
      <c r="T1085" s="1302"/>
      <c r="U1085" s="1302"/>
      <c r="V1085" s="1302"/>
      <c r="W1085" s="1302"/>
      <c r="X1085" s="1302"/>
      <c r="Y1085" s="1302"/>
      <c r="Z1085" s="1302"/>
      <c r="AA1085" s="1302"/>
      <c r="AB1085" s="1302"/>
      <c r="AC1085" s="1302"/>
      <c r="AD1085" s="1302"/>
      <c r="AE1085" s="1302"/>
      <c r="AF1085" s="1302"/>
      <c r="AG1085" s="1302"/>
      <c r="AH1085" s="1302"/>
      <c r="AI1085" s="1302"/>
      <c r="AJ1085" s="1302"/>
      <c r="AK1085" s="1302"/>
      <c r="AL1085" s="1302"/>
      <c r="AM1085" s="1302"/>
      <c r="AN1085" s="1302"/>
      <c r="AO1085" s="1302"/>
      <c r="AP1085" s="1302"/>
      <c r="AQ1085" s="1302"/>
      <c r="AR1085" s="1302"/>
      <c r="AS1085" s="14"/>
      <c r="AT1085" s="68"/>
    </row>
    <row r="1086" spans="1:51" ht="12.95" customHeight="1">
      <c r="A1086" s="1"/>
      <c r="B1086" s="1"/>
      <c r="C1086" s="1342"/>
      <c r="D1086" s="1342"/>
      <c r="E1086" s="1302"/>
      <c r="F1086" s="1302"/>
      <c r="G1086" s="1302"/>
      <c r="H1086" s="1302"/>
      <c r="I1086" s="1302"/>
      <c r="J1086" s="1302"/>
      <c r="K1086" s="1302"/>
      <c r="L1086" s="1302"/>
      <c r="M1086" s="1302"/>
      <c r="N1086" s="1302"/>
      <c r="O1086" s="1302"/>
      <c r="P1086" s="1302"/>
      <c r="Q1086" s="1302"/>
      <c r="R1086" s="1302"/>
      <c r="S1086" s="1302"/>
      <c r="T1086" s="1302"/>
      <c r="U1086" s="1302"/>
      <c r="V1086" s="1302"/>
      <c r="W1086" s="1302"/>
      <c r="X1086" s="1302"/>
      <c r="Y1086" s="1302"/>
      <c r="Z1086" s="1302"/>
      <c r="AA1086" s="1302"/>
      <c r="AB1086" s="1302"/>
      <c r="AC1086" s="1302"/>
      <c r="AD1086" s="1302"/>
      <c r="AE1086" s="1302"/>
      <c r="AF1086" s="1302"/>
      <c r="AG1086" s="1302"/>
      <c r="AH1086" s="1302"/>
      <c r="AI1086" s="1302"/>
      <c r="AJ1086" s="1302"/>
      <c r="AK1086" s="1302"/>
      <c r="AL1086" s="1302"/>
      <c r="AM1086" s="1302"/>
      <c r="AN1086" s="1302"/>
      <c r="AO1086" s="1302"/>
      <c r="AP1086" s="1302"/>
      <c r="AQ1086" s="1302"/>
      <c r="AR1086" s="1302"/>
      <c r="AS1086" s="14"/>
      <c r="AT1086" s="68"/>
    </row>
    <row r="1087" spans="1:51" ht="12.95" customHeight="1">
      <c r="A1087" s="1"/>
      <c r="B1087" s="1"/>
      <c r="C1087" s="1342"/>
      <c r="D1087" s="1342"/>
      <c r="E1087" s="1302"/>
      <c r="F1087" s="1302"/>
      <c r="G1087" s="1302"/>
      <c r="H1087" s="1302"/>
      <c r="I1087" s="1302"/>
      <c r="J1087" s="1302"/>
      <c r="K1087" s="1302"/>
      <c r="L1087" s="1302"/>
      <c r="M1087" s="1302"/>
      <c r="N1087" s="1302"/>
      <c r="O1087" s="1302"/>
      <c r="P1087" s="1302"/>
      <c r="Q1087" s="1302"/>
      <c r="R1087" s="1302"/>
      <c r="S1087" s="1302"/>
      <c r="T1087" s="1302"/>
      <c r="U1087" s="1302"/>
      <c r="V1087" s="1302"/>
      <c r="W1087" s="1302"/>
      <c r="X1087" s="1302"/>
      <c r="Y1087" s="1302"/>
      <c r="Z1087" s="1302"/>
      <c r="AA1087" s="1302"/>
      <c r="AB1087" s="1302"/>
      <c r="AC1087" s="1302"/>
      <c r="AD1087" s="1302"/>
      <c r="AE1087" s="1302"/>
      <c r="AF1087" s="1302"/>
      <c r="AG1087" s="1302"/>
      <c r="AH1087" s="1302"/>
      <c r="AI1087" s="1302"/>
      <c r="AJ1087" s="1302"/>
      <c r="AK1087" s="1302"/>
      <c r="AL1087" s="1302"/>
      <c r="AM1087" s="1302"/>
      <c r="AN1087" s="1302"/>
      <c r="AO1087" s="1302"/>
      <c r="AP1087" s="1302"/>
      <c r="AQ1087" s="1302"/>
      <c r="AR1087" s="1302"/>
      <c r="AS1087" s="14"/>
      <c r="AT1087" s="68"/>
    </row>
    <row r="1088" spans="1:51" ht="12.95" customHeight="1">
      <c r="A1088" s="1"/>
      <c r="B1088" s="1"/>
      <c r="C1088" s="1342"/>
      <c r="D1088" s="1342"/>
      <c r="E1088" s="1302"/>
      <c r="F1088" s="1302"/>
      <c r="G1088" s="1302"/>
      <c r="H1088" s="1302"/>
      <c r="I1088" s="1302"/>
      <c r="J1088" s="1302"/>
      <c r="K1088" s="1302"/>
      <c r="L1088" s="1302"/>
      <c r="M1088" s="1302"/>
      <c r="N1088" s="1302"/>
      <c r="O1088" s="1302"/>
      <c r="P1088" s="1302"/>
      <c r="Q1088" s="1302"/>
      <c r="R1088" s="1302"/>
      <c r="S1088" s="1302"/>
      <c r="T1088" s="1302"/>
      <c r="U1088" s="1302"/>
      <c r="V1088" s="1302"/>
      <c r="W1088" s="1302"/>
      <c r="X1088" s="1302"/>
      <c r="Y1088" s="1302"/>
      <c r="Z1088" s="1302"/>
      <c r="AA1088" s="1302"/>
      <c r="AB1088" s="1302"/>
      <c r="AC1088" s="1302"/>
      <c r="AD1088" s="1302"/>
      <c r="AE1088" s="1302"/>
      <c r="AF1088" s="1302"/>
      <c r="AG1088" s="1302"/>
      <c r="AH1088" s="1302"/>
      <c r="AI1088" s="1302"/>
      <c r="AJ1088" s="1302"/>
      <c r="AK1088" s="1302"/>
      <c r="AL1088" s="1302"/>
      <c r="AM1088" s="1302"/>
      <c r="AN1088" s="1302"/>
      <c r="AO1088" s="1302"/>
      <c r="AP1088" s="1302"/>
      <c r="AQ1088" s="1302"/>
      <c r="AR1088" s="1302"/>
      <c r="AS1088" s="14"/>
      <c r="AT1088" s="68"/>
    </row>
    <row r="1089" spans="1:45" ht="12.95" customHeight="1">
      <c r="A1089" s="1"/>
      <c r="B1089" s="1"/>
      <c r="C1089" s="1342"/>
      <c r="D1089" s="134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0" t="s">
        <v>591</v>
      </c>
      <c r="B1090" s="1340"/>
      <c r="C1090" s="1342">
        <v>5</v>
      </c>
      <c r="D1090" s="1342"/>
      <c r="E1090" s="1302" t="s">
        <v>2196</v>
      </c>
      <c r="F1090" s="1302"/>
      <c r="G1090" s="1302"/>
      <c r="H1090" s="1302"/>
      <c r="I1090" s="1302"/>
      <c r="J1090" s="1302"/>
      <c r="K1090" s="1302"/>
      <c r="L1090" s="1302"/>
      <c r="M1090" s="1302"/>
      <c r="N1090" s="1302"/>
      <c r="O1090" s="1302"/>
      <c r="P1090" s="1302"/>
      <c r="Q1090" s="1302"/>
      <c r="R1090" s="1302"/>
      <c r="S1090" s="1302"/>
      <c r="T1090" s="1302"/>
      <c r="U1090" s="1302"/>
      <c r="V1090" s="1302"/>
      <c r="W1090" s="1302"/>
      <c r="X1090" s="1302"/>
      <c r="Y1090" s="1302"/>
      <c r="Z1090" s="1302"/>
      <c r="AA1090" s="1302"/>
      <c r="AB1090" s="1302"/>
      <c r="AC1090" s="1302"/>
      <c r="AD1090" s="1302"/>
      <c r="AE1090" s="1302"/>
      <c r="AF1090" s="1302"/>
      <c r="AG1090" s="1302"/>
      <c r="AH1090" s="1302"/>
      <c r="AI1090" s="1302"/>
      <c r="AJ1090" s="1302"/>
      <c r="AK1090" s="1302"/>
      <c r="AL1090" s="1302"/>
      <c r="AM1090" s="1302"/>
      <c r="AN1090" s="1302"/>
      <c r="AO1090" s="1302"/>
      <c r="AP1090" s="1302"/>
      <c r="AQ1090" s="1302"/>
      <c r="AR1090" s="1302"/>
      <c r="AS1090" s="14"/>
    </row>
    <row r="1091" spans="1:45" ht="12.95" customHeight="1">
      <c r="A1091" s="4"/>
      <c r="B1091" s="4"/>
      <c r="C1091" s="1342"/>
      <c r="D1091" s="1342"/>
      <c r="E1091" s="1302"/>
      <c r="F1091" s="1302"/>
      <c r="G1091" s="1302"/>
      <c r="H1091" s="1302"/>
      <c r="I1091" s="1302"/>
      <c r="J1091" s="1302"/>
      <c r="K1091" s="1302"/>
      <c r="L1091" s="1302"/>
      <c r="M1091" s="1302"/>
      <c r="N1091" s="1302"/>
      <c r="O1091" s="1302"/>
      <c r="P1091" s="1302"/>
      <c r="Q1091" s="1302"/>
      <c r="R1091" s="1302"/>
      <c r="S1091" s="1302"/>
      <c r="T1091" s="1302"/>
      <c r="U1091" s="1302"/>
      <c r="V1091" s="1302"/>
      <c r="W1091" s="1302"/>
      <c r="X1091" s="1302"/>
      <c r="Y1091" s="1302"/>
      <c r="Z1091" s="1302"/>
      <c r="AA1091" s="1302"/>
      <c r="AB1091" s="1302"/>
      <c r="AC1091" s="1302"/>
      <c r="AD1091" s="1302"/>
      <c r="AE1091" s="1302"/>
      <c r="AF1091" s="1302"/>
      <c r="AG1091" s="1302"/>
      <c r="AH1091" s="1302"/>
      <c r="AI1091" s="1302"/>
      <c r="AJ1091" s="1302"/>
      <c r="AK1091" s="1302"/>
      <c r="AL1091" s="1302"/>
      <c r="AM1091" s="1302"/>
      <c r="AN1091" s="1302"/>
      <c r="AO1091" s="1302"/>
      <c r="AP1091" s="1302"/>
      <c r="AQ1091" s="1302"/>
      <c r="AR1091" s="1302"/>
      <c r="AS1091" s="14"/>
    </row>
    <row r="1092" spans="1:45" ht="12.95" customHeight="1">
      <c r="A1092" s="4"/>
      <c r="B1092" s="4"/>
      <c r="C1092" s="1342"/>
      <c r="D1092" s="1342"/>
      <c r="E1092" s="1302"/>
      <c r="F1092" s="1302"/>
      <c r="G1092" s="1302"/>
      <c r="H1092" s="1302"/>
      <c r="I1092" s="1302"/>
      <c r="J1092" s="1302"/>
      <c r="K1092" s="1302"/>
      <c r="L1092" s="1302"/>
      <c r="M1092" s="1302"/>
      <c r="N1092" s="1302"/>
      <c r="O1092" s="1302"/>
      <c r="P1092" s="1302"/>
      <c r="Q1092" s="1302"/>
      <c r="R1092" s="1302"/>
      <c r="S1092" s="1302"/>
      <c r="T1092" s="1302"/>
      <c r="U1092" s="1302"/>
      <c r="V1092" s="1302"/>
      <c r="W1092" s="1302"/>
      <c r="X1092" s="1302"/>
      <c r="Y1092" s="1302"/>
      <c r="Z1092" s="1302"/>
      <c r="AA1092" s="1302"/>
      <c r="AB1092" s="1302"/>
      <c r="AC1092" s="1302"/>
      <c r="AD1092" s="1302"/>
      <c r="AE1092" s="1302"/>
      <c r="AF1092" s="1302"/>
      <c r="AG1092" s="1302"/>
      <c r="AH1092" s="1302"/>
      <c r="AI1092" s="1302"/>
      <c r="AJ1092" s="1302"/>
      <c r="AK1092" s="1302"/>
      <c r="AL1092" s="1302"/>
      <c r="AM1092" s="1302"/>
      <c r="AN1092" s="1302"/>
      <c r="AO1092" s="1302"/>
      <c r="AP1092" s="1302"/>
      <c r="AQ1092" s="1302"/>
      <c r="AR1092" s="1302"/>
      <c r="AS1092" s="14"/>
    </row>
    <row r="1093" spans="1:45" ht="12.95" customHeight="1">
      <c r="A1093" s="35"/>
      <c r="B1093" s="25"/>
      <c r="C1093" s="1342"/>
      <c r="D1093" s="134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0" t="s">
        <v>591</v>
      </c>
      <c r="B1094" s="1340"/>
      <c r="C1094" s="1342">
        <v>6</v>
      </c>
      <c r="D1094" s="1342"/>
      <c r="E1094" s="1302" t="s">
        <v>2197</v>
      </c>
      <c r="F1094" s="1302"/>
      <c r="G1094" s="1302"/>
      <c r="H1094" s="1302"/>
      <c r="I1094" s="1302"/>
      <c r="J1094" s="1302"/>
      <c r="K1094" s="1302"/>
      <c r="L1094" s="1302"/>
      <c r="M1094" s="1302"/>
      <c r="N1094" s="1302"/>
      <c r="O1094" s="1302"/>
      <c r="P1094" s="1302"/>
      <c r="Q1094" s="1302"/>
      <c r="R1094" s="1302"/>
      <c r="S1094" s="1302"/>
      <c r="T1094" s="1302"/>
      <c r="U1094" s="1302"/>
      <c r="V1094" s="1302"/>
      <c r="W1094" s="1302"/>
      <c r="X1094" s="1302"/>
      <c r="Y1094" s="1302"/>
      <c r="Z1094" s="1302"/>
      <c r="AA1094" s="1302"/>
      <c r="AB1094" s="1302"/>
      <c r="AC1094" s="1302"/>
      <c r="AD1094" s="1302"/>
      <c r="AE1094" s="1302"/>
      <c r="AF1094" s="1302"/>
      <c r="AG1094" s="1302"/>
      <c r="AH1094" s="1302"/>
      <c r="AI1094" s="1302"/>
      <c r="AJ1094" s="1302"/>
      <c r="AK1094" s="1302"/>
      <c r="AL1094" s="1302"/>
      <c r="AM1094" s="1302"/>
      <c r="AN1094" s="1302"/>
      <c r="AO1094" s="1302"/>
      <c r="AP1094" s="1302"/>
      <c r="AQ1094" s="1302"/>
      <c r="AR1094" s="1302"/>
      <c r="AS1094" s="14"/>
    </row>
    <row r="1095" spans="1:45" ht="12.95" customHeight="1">
      <c r="A1095" s="1"/>
      <c r="B1095" s="1"/>
      <c r="C1095" s="1"/>
      <c r="D1095" s="1"/>
      <c r="E1095" s="1302"/>
      <c r="F1095" s="1302"/>
      <c r="G1095" s="1302"/>
      <c r="H1095" s="1302"/>
      <c r="I1095" s="1302"/>
      <c r="J1095" s="1302"/>
      <c r="K1095" s="1302"/>
      <c r="L1095" s="1302"/>
      <c r="M1095" s="1302"/>
      <c r="N1095" s="1302"/>
      <c r="O1095" s="1302"/>
      <c r="P1095" s="1302"/>
      <c r="Q1095" s="1302"/>
      <c r="R1095" s="1302"/>
      <c r="S1095" s="1302"/>
      <c r="T1095" s="1302"/>
      <c r="U1095" s="1302"/>
      <c r="V1095" s="1302"/>
      <c r="W1095" s="1302"/>
      <c r="X1095" s="1302"/>
      <c r="Y1095" s="1302"/>
      <c r="Z1095" s="1302"/>
      <c r="AA1095" s="1302"/>
      <c r="AB1095" s="1302"/>
      <c r="AC1095" s="1302"/>
      <c r="AD1095" s="1302"/>
      <c r="AE1095" s="1302"/>
      <c r="AF1095" s="1302"/>
      <c r="AG1095" s="1302"/>
      <c r="AH1095" s="1302"/>
      <c r="AI1095" s="1302"/>
      <c r="AJ1095" s="1302"/>
      <c r="AK1095" s="1302"/>
      <c r="AL1095" s="1302"/>
      <c r="AM1095" s="1302"/>
      <c r="AN1095" s="1302"/>
      <c r="AO1095" s="1302"/>
      <c r="AP1095" s="1302"/>
      <c r="AQ1095" s="1302"/>
      <c r="AR1095" s="1302"/>
      <c r="AS1095" s="14"/>
    </row>
    <row r="1096" spans="1:45" ht="12.95" customHeight="1">
      <c r="A1096" s="1"/>
      <c r="B1096" s="1"/>
      <c r="C1096" s="1342"/>
      <c r="D1096" s="1342"/>
      <c r="E1096" s="1302"/>
      <c r="F1096" s="1302"/>
      <c r="G1096" s="1302"/>
      <c r="H1096" s="1302"/>
      <c r="I1096" s="1302"/>
      <c r="J1096" s="1302"/>
      <c r="K1096" s="1302"/>
      <c r="L1096" s="1302"/>
      <c r="M1096" s="1302"/>
      <c r="N1096" s="1302"/>
      <c r="O1096" s="1302"/>
      <c r="P1096" s="1302"/>
      <c r="Q1096" s="1302"/>
      <c r="R1096" s="1302"/>
      <c r="S1096" s="1302"/>
      <c r="T1096" s="1302"/>
      <c r="U1096" s="1302"/>
      <c r="V1096" s="1302"/>
      <c r="W1096" s="1302"/>
      <c r="X1096" s="1302"/>
      <c r="Y1096" s="1302"/>
      <c r="Z1096" s="1302"/>
      <c r="AA1096" s="1302"/>
      <c r="AB1096" s="1302"/>
      <c r="AC1096" s="1302"/>
      <c r="AD1096" s="1302"/>
      <c r="AE1096" s="1302"/>
      <c r="AF1096" s="1302"/>
      <c r="AG1096" s="1302"/>
      <c r="AH1096" s="1302"/>
      <c r="AI1096" s="1302"/>
      <c r="AJ1096" s="1302"/>
      <c r="AK1096" s="1302"/>
      <c r="AL1096" s="1302"/>
      <c r="AM1096" s="1302"/>
      <c r="AN1096" s="1302"/>
      <c r="AO1096" s="1302"/>
      <c r="AP1096" s="1302"/>
      <c r="AQ1096" s="1302"/>
      <c r="AR1096" s="1302"/>
      <c r="AS1096" s="14"/>
    </row>
    <row r="1097" spans="1:45" ht="12.95" customHeight="1">
      <c r="A1097" s="35"/>
      <c r="B1097" s="25"/>
      <c r="C1097" s="1342"/>
      <c r="D1097" s="134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0" t="s">
        <v>591</v>
      </c>
      <c r="B1098" s="1340"/>
      <c r="C1098" s="1342">
        <v>7</v>
      </c>
      <c r="D1098" s="1342"/>
      <c r="E1098" s="1302" t="s">
        <v>2095</v>
      </c>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c r="AL1098" s="1302"/>
      <c r="AM1098" s="1302"/>
      <c r="AN1098" s="1302"/>
      <c r="AO1098" s="1302"/>
      <c r="AP1098" s="1302"/>
      <c r="AQ1098" s="1302"/>
      <c r="AR1098" s="1302"/>
      <c r="AS1098" s="14"/>
    </row>
    <row r="1099" spans="1:45" ht="12.95" customHeight="1">
      <c r="A1099" s="1"/>
      <c r="B1099" s="1"/>
      <c r="C1099" s="1342"/>
      <c r="D1099" s="134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c r="AL1099" s="1302"/>
      <c r="AM1099" s="1302"/>
      <c r="AN1099" s="1302"/>
      <c r="AO1099" s="1302"/>
      <c r="AP1099" s="1302"/>
      <c r="AQ1099" s="1302"/>
      <c r="AR1099" s="1302"/>
      <c r="AS1099" s="14"/>
    </row>
    <row r="1100" spans="1:45" ht="12.95" customHeight="1">
      <c r="A1100" s="1"/>
      <c r="B1100" s="1"/>
      <c r="C1100" s="1342"/>
      <c r="D1100" s="134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c r="AL1100" s="1302"/>
      <c r="AM1100" s="1302"/>
      <c r="AN1100" s="1302"/>
      <c r="AO1100" s="1302"/>
      <c r="AP1100" s="1302"/>
      <c r="AQ1100" s="1302"/>
      <c r="AR1100" s="1302"/>
      <c r="AS1100" s="14"/>
    </row>
    <row r="1101" spans="1:45" ht="12.95" customHeight="1">
      <c r="A1101" s="1"/>
      <c r="B1101" s="1"/>
      <c r="C1101" s="1342"/>
      <c r="D1101" s="134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2"/>
      <c r="D1102" s="134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0" t="s">
        <v>591</v>
      </c>
      <c r="B1103" s="1340"/>
      <c r="C1103" s="1342">
        <v>8</v>
      </c>
      <c r="D1103" s="1342"/>
      <c r="E1103" s="1302" t="s">
        <v>1073</v>
      </c>
      <c r="F1103" s="1302"/>
      <c r="G1103" s="1302"/>
      <c r="H1103" s="1302"/>
      <c r="I1103" s="1302"/>
      <c r="J1103" s="1302"/>
      <c r="K1103" s="1302"/>
      <c r="L1103" s="1302"/>
      <c r="M1103" s="1302"/>
      <c r="N1103" s="1302"/>
      <c r="O1103" s="1302"/>
      <c r="P1103" s="1302"/>
      <c r="Q1103" s="1302"/>
      <c r="R1103" s="1302"/>
      <c r="S1103" s="1302"/>
      <c r="T1103" s="1302"/>
      <c r="U1103" s="1302"/>
      <c r="V1103" s="1302"/>
      <c r="W1103" s="1302"/>
      <c r="X1103" s="1302"/>
      <c r="Y1103" s="1302"/>
      <c r="Z1103" s="1302"/>
      <c r="AA1103" s="1302"/>
      <c r="AB1103" s="1302"/>
      <c r="AC1103" s="1302"/>
      <c r="AD1103" s="1302"/>
      <c r="AE1103" s="1302"/>
      <c r="AF1103" s="1302"/>
      <c r="AG1103" s="1302"/>
      <c r="AH1103" s="1302"/>
      <c r="AI1103" s="1302"/>
      <c r="AJ1103" s="1302"/>
      <c r="AK1103" s="1302"/>
      <c r="AL1103" s="1302"/>
      <c r="AM1103" s="1302"/>
      <c r="AN1103" s="1302"/>
      <c r="AO1103" s="1302"/>
      <c r="AP1103" s="1302"/>
      <c r="AQ1103" s="1302"/>
      <c r="AR1103" s="1302"/>
    </row>
    <row r="1104" spans="1:45" ht="12.95" customHeight="1">
      <c r="A1104" s="35"/>
      <c r="B1104" s="25"/>
      <c r="C1104" s="1342"/>
      <c r="D1104" s="1342"/>
      <c r="E1104" s="1302"/>
      <c r="F1104" s="1302"/>
      <c r="G1104" s="1302"/>
      <c r="H1104" s="1302"/>
      <c r="I1104" s="1302"/>
      <c r="J1104" s="1302"/>
      <c r="K1104" s="1302"/>
      <c r="L1104" s="1302"/>
      <c r="M1104" s="1302"/>
      <c r="N1104" s="1302"/>
      <c r="O1104" s="1302"/>
      <c r="P1104" s="1302"/>
      <c r="Q1104" s="1302"/>
      <c r="R1104" s="1302"/>
      <c r="S1104" s="1302"/>
      <c r="T1104" s="1302"/>
      <c r="U1104" s="1302"/>
      <c r="V1104" s="1302"/>
      <c r="W1104" s="1302"/>
      <c r="X1104" s="1302"/>
      <c r="Y1104" s="1302"/>
      <c r="Z1104" s="1302"/>
      <c r="AA1104" s="1302"/>
      <c r="AB1104" s="1302"/>
      <c r="AC1104" s="1302"/>
      <c r="AD1104" s="1302"/>
      <c r="AE1104" s="1302"/>
      <c r="AF1104" s="1302"/>
      <c r="AG1104" s="1302"/>
      <c r="AH1104" s="1302"/>
      <c r="AI1104" s="1302"/>
      <c r="AJ1104" s="1302"/>
      <c r="AK1104" s="1302"/>
      <c r="AL1104" s="1302"/>
      <c r="AM1104" s="1302"/>
      <c r="AN1104" s="1302"/>
      <c r="AO1104" s="1302"/>
      <c r="AP1104" s="1302"/>
      <c r="AQ1104" s="1302"/>
      <c r="AR1104" s="1302"/>
    </row>
    <row r="1105" spans="1:44" ht="12.95" customHeight="1">
      <c r="A1105" s="35"/>
      <c r="B1105" s="25"/>
      <c r="C1105" s="1342"/>
      <c r="D1105" s="134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0" t="s">
        <v>591</v>
      </c>
      <c r="B1106" s="1340"/>
      <c r="C1106" s="1341">
        <v>9</v>
      </c>
      <c r="D1106" s="1341"/>
      <c r="E1106" s="1302" t="s">
        <v>1075</v>
      </c>
      <c r="F1106" s="1302"/>
      <c r="G1106" s="1302"/>
      <c r="H1106" s="1302"/>
      <c r="I1106" s="1302"/>
      <c r="J1106" s="1302"/>
      <c r="K1106" s="1302"/>
      <c r="L1106" s="1302"/>
      <c r="M1106" s="1302"/>
      <c r="N1106" s="1302"/>
      <c r="O1106" s="1302"/>
      <c r="P1106" s="1302"/>
      <c r="Q1106" s="1302"/>
      <c r="R1106" s="1302"/>
      <c r="S1106" s="1302"/>
      <c r="T1106" s="1302"/>
      <c r="U1106" s="1302"/>
      <c r="V1106" s="1302"/>
      <c r="W1106" s="1302"/>
      <c r="X1106" s="1302"/>
      <c r="Y1106" s="1302"/>
      <c r="Z1106" s="1302"/>
      <c r="AA1106" s="1302"/>
      <c r="AB1106" s="1302"/>
      <c r="AC1106" s="1302"/>
      <c r="AD1106" s="1302"/>
      <c r="AE1106" s="1302"/>
      <c r="AF1106" s="1302"/>
      <c r="AG1106" s="1302"/>
      <c r="AH1106" s="1302"/>
      <c r="AI1106" s="1302"/>
      <c r="AJ1106" s="1302"/>
      <c r="AK1106" s="1302"/>
      <c r="AL1106" s="1302"/>
      <c r="AM1106" s="1302"/>
      <c r="AN1106" s="1302"/>
      <c r="AO1106" s="1302"/>
      <c r="AP1106" s="1302"/>
      <c r="AQ1106" s="1302"/>
      <c r="AR1106" s="1302"/>
    </row>
    <row r="1107" spans="1:44" ht="12.95" customHeight="1">
      <c r="A1107" s="1"/>
      <c r="B1107" s="1"/>
      <c r="C1107" s="1341"/>
      <c r="D1107" s="1341"/>
      <c r="E1107" s="1302"/>
      <c r="F1107" s="1302"/>
      <c r="G1107" s="1302"/>
      <c r="H1107" s="1302"/>
      <c r="I1107" s="1302"/>
      <c r="J1107" s="1302"/>
      <c r="K1107" s="1302"/>
      <c r="L1107" s="1302"/>
      <c r="M1107" s="1302"/>
      <c r="N1107" s="1302"/>
      <c r="O1107" s="1302"/>
      <c r="P1107" s="1302"/>
      <c r="Q1107" s="1302"/>
      <c r="R1107" s="1302"/>
      <c r="S1107" s="1302"/>
      <c r="T1107" s="1302"/>
      <c r="U1107" s="1302"/>
      <c r="V1107" s="1302"/>
      <c r="W1107" s="1302"/>
      <c r="X1107" s="1302"/>
      <c r="Y1107" s="1302"/>
      <c r="Z1107" s="1302"/>
      <c r="AA1107" s="1302"/>
      <c r="AB1107" s="1302"/>
      <c r="AC1107" s="1302"/>
      <c r="AD1107" s="1302"/>
      <c r="AE1107" s="1302"/>
      <c r="AF1107" s="1302"/>
      <c r="AG1107" s="1302"/>
      <c r="AH1107" s="1302"/>
      <c r="AI1107" s="1302"/>
      <c r="AJ1107" s="1302"/>
      <c r="AK1107" s="1302"/>
      <c r="AL1107" s="1302"/>
      <c r="AM1107" s="1302"/>
      <c r="AN1107" s="1302"/>
      <c r="AO1107" s="1302"/>
      <c r="AP1107" s="1302"/>
      <c r="AQ1107" s="1302"/>
      <c r="AR1107" s="1302"/>
    </row>
    <row r="1108" spans="1:44" ht="12.95" customHeight="1">
      <c r="A1108" s="35"/>
      <c r="B1108" s="25"/>
      <c r="C1108" s="1341"/>
      <c r="D1108" s="1341"/>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0" t="s">
        <v>591</v>
      </c>
      <c r="B1109" s="1340"/>
      <c r="C1109" s="1341">
        <v>10</v>
      </c>
      <c r="D1109" s="1341"/>
      <c r="E1109" s="1304" t="s">
        <v>2194</v>
      </c>
      <c r="F1109" s="1304"/>
      <c r="G1109" s="1304"/>
      <c r="H1109" s="1304"/>
      <c r="I1109" s="1304"/>
      <c r="J1109" s="1304"/>
      <c r="K1109" s="1304"/>
      <c r="L1109" s="1304"/>
      <c r="M1109" s="1304"/>
      <c r="N1109" s="1304"/>
      <c r="O1109" s="1304"/>
      <c r="P1109" s="1304"/>
      <c r="Q1109" s="1304"/>
      <c r="R1109" s="1304"/>
      <c r="S1109" s="1304"/>
      <c r="T1109" s="1304"/>
      <c r="U1109" s="1304"/>
      <c r="V1109" s="1304"/>
      <c r="W1109" s="1304"/>
      <c r="X1109" s="1304"/>
      <c r="Y1109" s="1304"/>
      <c r="Z1109" s="1304"/>
      <c r="AA1109" s="1304"/>
      <c r="AB1109" s="1304"/>
      <c r="AC1109" s="1304"/>
      <c r="AD1109" s="1304"/>
      <c r="AE1109" s="1304"/>
      <c r="AF1109" s="1304"/>
      <c r="AG1109" s="1304"/>
      <c r="AH1109" s="1304"/>
      <c r="AI1109" s="1304"/>
      <c r="AJ1109" s="1304"/>
      <c r="AK1109" s="1304"/>
      <c r="AL1109" s="1304"/>
      <c r="AM1109" s="1304"/>
      <c r="AN1109" s="1304"/>
      <c r="AO1109" s="1304"/>
      <c r="AP1109" s="1304"/>
      <c r="AQ1109" s="1304"/>
      <c r="AR1109" s="1304"/>
    </row>
    <row r="1110" spans="1:44" ht="12.95" customHeight="1">
      <c r="A1110" s="1"/>
      <c r="B1110" s="1"/>
      <c r="C1110" s="199"/>
      <c r="D1110" s="1154"/>
      <c r="E1110" s="1304"/>
      <c r="F1110" s="1304"/>
      <c r="G1110" s="1304"/>
      <c r="H1110" s="1304"/>
      <c r="I1110" s="1304"/>
      <c r="J1110" s="1304"/>
      <c r="K1110" s="1304"/>
      <c r="L1110" s="1304"/>
      <c r="M1110" s="1304"/>
      <c r="N1110" s="1304"/>
      <c r="O1110" s="1304"/>
      <c r="P1110" s="1304"/>
      <c r="Q1110" s="1304"/>
      <c r="R1110" s="1304"/>
      <c r="S1110" s="1304"/>
      <c r="T1110" s="1304"/>
      <c r="U1110" s="1304"/>
      <c r="V1110" s="1304"/>
      <c r="W1110" s="1304"/>
      <c r="X1110" s="1304"/>
      <c r="Y1110" s="1304"/>
      <c r="Z1110" s="1304"/>
      <c r="AA1110" s="1304"/>
      <c r="AB1110" s="1304"/>
      <c r="AC1110" s="1304"/>
      <c r="AD1110" s="1304"/>
      <c r="AE1110" s="1304"/>
      <c r="AF1110" s="1304"/>
      <c r="AG1110" s="1304"/>
      <c r="AH1110" s="1304"/>
      <c r="AI1110" s="1304"/>
      <c r="AJ1110" s="1304"/>
      <c r="AK1110" s="1304"/>
      <c r="AL1110" s="1304"/>
      <c r="AM1110" s="1304"/>
      <c r="AN1110" s="1304"/>
      <c r="AO1110" s="1304"/>
      <c r="AP1110" s="1304"/>
      <c r="AQ1110" s="1304"/>
      <c r="AR1110" s="1304"/>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0" t="s">
        <v>591</v>
      </c>
      <c r="B1112" s="1340"/>
      <c r="C1112" s="1341">
        <v>11</v>
      </c>
      <c r="D1112" s="1341"/>
      <c r="E1112" s="1304" t="s">
        <v>2195</v>
      </c>
      <c r="F1112" s="1304"/>
      <c r="G1112" s="1304"/>
      <c r="H1112" s="1304"/>
      <c r="I1112" s="1304"/>
      <c r="J1112" s="1304"/>
      <c r="K1112" s="1304"/>
      <c r="L1112" s="1304"/>
      <c r="M1112" s="1304"/>
      <c r="N1112" s="1304"/>
      <c r="O1112" s="1304"/>
      <c r="P1112" s="1304"/>
      <c r="Q1112" s="1304"/>
      <c r="R1112" s="1304"/>
      <c r="S1112" s="1304"/>
      <c r="T1112" s="1304"/>
      <c r="U1112" s="1304"/>
      <c r="V1112" s="1304"/>
      <c r="W1112" s="1304"/>
      <c r="X1112" s="1304"/>
      <c r="Y1112" s="1304"/>
      <c r="Z1112" s="1304"/>
      <c r="AA1112" s="1304"/>
      <c r="AB1112" s="1304"/>
      <c r="AC1112" s="1304"/>
      <c r="AD1112" s="1304"/>
      <c r="AE1112" s="1304"/>
      <c r="AF1112" s="1304"/>
      <c r="AG1112" s="1304"/>
      <c r="AH1112" s="1304"/>
      <c r="AI1112" s="1304"/>
      <c r="AJ1112" s="1304"/>
      <c r="AK1112" s="1304"/>
      <c r="AL1112" s="1304"/>
      <c r="AM1112" s="1304"/>
      <c r="AN1112" s="1304"/>
      <c r="AO1112" s="1304"/>
      <c r="AP1112" s="1304"/>
      <c r="AQ1112" s="1304"/>
      <c r="AR1112" s="1304"/>
    </row>
    <row r="1113" spans="1:44" ht="12.95" customHeight="1">
      <c r="A1113" s="1"/>
      <c r="B1113" s="1"/>
      <c r="C1113" s="199"/>
      <c r="D1113" s="1154"/>
      <c r="E1113" s="1304"/>
      <c r="F1113" s="1304"/>
      <c r="G1113" s="1304"/>
      <c r="H1113" s="1304"/>
      <c r="I1113" s="1304"/>
      <c r="J1113" s="1304"/>
      <c r="K1113" s="1304"/>
      <c r="L1113" s="1304"/>
      <c r="M1113" s="1304"/>
      <c r="N1113" s="1304"/>
      <c r="O1113" s="1304"/>
      <c r="P1113" s="1304"/>
      <c r="Q1113" s="1304"/>
      <c r="R1113" s="1304"/>
      <c r="S1113" s="1304"/>
      <c r="T1113" s="1304"/>
      <c r="U1113" s="1304"/>
      <c r="V1113" s="1304"/>
      <c r="W1113" s="1304"/>
      <c r="X1113" s="1304"/>
      <c r="Y1113" s="1304"/>
      <c r="Z1113" s="1304"/>
      <c r="AA1113" s="1304"/>
      <c r="AB1113" s="1304"/>
      <c r="AC1113" s="1304"/>
      <c r="AD1113" s="1304"/>
      <c r="AE1113" s="1304"/>
      <c r="AF1113" s="1304"/>
      <c r="AG1113" s="1304"/>
      <c r="AH1113" s="1304"/>
      <c r="AI1113" s="1304"/>
      <c r="AJ1113" s="1304"/>
      <c r="AK1113" s="1304"/>
      <c r="AL1113" s="1304"/>
      <c r="AM1113" s="1304"/>
      <c r="AN1113" s="1304"/>
      <c r="AO1113" s="1304"/>
      <c r="AP1113" s="1304"/>
      <c r="AQ1113" s="1304"/>
      <c r="AR1113" s="1304"/>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0" t="s">
        <v>591</v>
      </c>
      <c r="B1134" s="1340"/>
      <c r="C1134" s="199">
        <v>9</v>
      </c>
      <c r="D1134" s="1269" t="s">
        <v>1074</v>
      </c>
      <c r="E1134" s="1269"/>
      <c r="F1134" s="1269"/>
      <c r="G1134" s="1269"/>
      <c r="H1134" s="1269"/>
      <c r="I1134" s="1269"/>
      <c r="J1134" s="1269"/>
      <c r="K1134" s="1269"/>
      <c r="L1134" s="1269"/>
      <c r="M1134" s="1269"/>
      <c r="N1134" s="1269"/>
      <c r="O1134" s="1269"/>
      <c r="P1134" s="1269"/>
      <c r="Q1134" s="1269"/>
      <c r="R1134" s="1269"/>
      <c r="S1134" s="1269"/>
      <c r="T1134" s="1269"/>
      <c r="U1134" s="1269"/>
      <c r="V1134" s="1269"/>
      <c r="W1134" s="1269"/>
      <c r="X1134" s="1269"/>
      <c r="Y1134" s="1269"/>
      <c r="Z1134" s="1269"/>
      <c r="AA1134" s="1269"/>
      <c r="AB1134" s="1269"/>
      <c r="AC1134" s="1269"/>
      <c r="AD1134" s="1269"/>
      <c r="AE1134" s="1269"/>
      <c r="AF1134" s="1269"/>
      <c r="AG1134" s="1269"/>
      <c r="AH1134" s="1269"/>
      <c r="AI1134" s="1269"/>
      <c r="AJ1134" s="1269"/>
      <c r="AK1134" s="1269"/>
    </row>
    <row r="1135" spans="1:37" ht="0" hidden="1" customHeight="1">
      <c r="A1135" s="35"/>
      <c r="B1135" s="25"/>
      <c r="C1135" s="199"/>
      <c r="D1135" s="1269"/>
      <c r="E1135" s="1269"/>
      <c r="F1135" s="1269"/>
      <c r="G1135" s="1269"/>
      <c r="H1135" s="1269"/>
      <c r="I1135" s="1269"/>
      <c r="J1135" s="1269"/>
      <c r="K1135" s="1269"/>
      <c r="L1135" s="1269"/>
      <c r="M1135" s="1269"/>
      <c r="N1135" s="1269"/>
      <c r="O1135" s="1269"/>
      <c r="P1135" s="1269"/>
      <c r="Q1135" s="1269"/>
      <c r="R1135" s="1269"/>
      <c r="S1135" s="1269"/>
      <c r="T1135" s="1269"/>
      <c r="U1135" s="1269"/>
      <c r="V1135" s="1269"/>
      <c r="W1135" s="1269"/>
      <c r="X1135" s="1269"/>
      <c r="Y1135" s="1269"/>
      <c r="Z1135" s="1269"/>
      <c r="AA1135" s="1269"/>
      <c r="AB1135" s="1269"/>
      <c r="AC1135" s="1269"/>
      <c r="AD1135" s="1269"/>
      <c r="AE1135" s="1269"/>
      <c r="AF1135" s="1269"/>
      <c r="AG1135" s="1269"/>
      <c r="AH1135" s="1269"/>
      <c r="AI1135" s="1269"/>
      <c r="AJ1135" s="1269"/>
      <c r="AK1135" s="1269"/>
    </row>
    <row r="1136" spans="1:37" ht="0" hidden="1" customHeight="1">
      <c r="D1136" s="1269"/>
      <c r="E1136" s="1269"/>
      <c r="F1136" s="1269"/>
      <c r="G1136" s="1269"/>
      <c r="H1136" s="1269"/>
      <c r="I1136" s="1269"/>
      <c r="J1136" s="1269"/>
      <c r="K1136" s="1269"/>
      <c r="L1136" s="1269"/>
      <c r="M1136" s="1269"/>
      <c r="N1136" s="1269"/>
      <c r="O1136" s="1269"/>
      <c r="P1136" s="1269"/>
      <c r="Q1136" s="1269"/>
      <c r="R1136" s="1269"/>
      <c r="S1136" s="1269"/>
      <c r="T1136" s="1269"/>
      <c r="U1136" s="1269"/>
      <c r="V1136" s="1269"/>
      <c r="W1136" s="1269"/>
      <c r="X1136" s="1269"/>
      <c r="Y1136" s="1269"/>
      <c r="Z1136" s="1269"/>
      <c r="AA1136" s="1269"/>
      <c r="AB1136" s="1269"/>
      <c r="AC1136" s="1269"/>
      <c r="AD1136" s="1269"/>
      <c r="AE1136" s="1269"/>
      <c r="AF1136" s="1269"/>
      <c r="AG1136" s="1269"/>
      <c r="AH1136" s="1269"/>
      <c r="AI1136" s="1269"/>
      <c r="AJ1136" s="1269"/>
      <c r="AK1136" s="1269"/>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O760:S760"/>
    <mergeCell ref="AK739:AO739"/>
    <mergeCell ref="CG742:CH742"/>
    <mergeCell ref="AH743:AJ743"/>
    <mergeCell ref="CM752:CN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G751:CH751"/>
    <mergeCell ref="AK751:AO751"/>
    <mergeCell ref="AK752:AO752"/>
    <mergeCell ref="CI750:CJ750"/>
    <mergeCell ref="CU752:CY752"/>
    <mergeCell ref="CP752:CT752"/>
    <mergeCell ref="CU755:CY755"/>
    <mergeCell ref="CZ755:DD755"/>
    <mergeCell ref="DE755:DI755"/>
    <mergeCell ref="CK752:CL752"/>
    <mergeCell ref="CG756:CH756"/>
    <mergeCell ref="CG750:CH750"/>
    <mergeCell ref="CK753:CL753"/>
    <mergeCell ref="DE753:DI753"/>
    <mergeCell ref="DE795:DI795"/>
    <mergeCell ref="DE796:DI796"/>
    <mergeCell ref="CI758:CJ758"/>
    <mergeCell ref="DE798:DI798"/>
    <mergeCell ref="DE799:DI799"/>
    <mergeCell ref="DE800:DI800"/>
    <mergeCell ref="CZ752:DD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FJ761:FN761"/>
    <mergeCell ref="FO758:FS758"/>
    <mergeCell ref="DJ752:DN752"/>
    <mergeCell ref="FE761:FI761"/>
    <mergeCell ref="CU757:CY757"/>
    <mergeCell ref="CZ757:DD757"/>
    <mergeCell ref="DE757:DI757"/>
    <mergeCell ref="DJ757:DN757"/>
    <mergeCell ref="ET760:EX760"/>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CU756:CY756"/>
    <mergeCell ref="DE749:DI749"/>
    <mergeCell ref="FY750:GC750"/>
    <mergeCell ref="EZ751:FD751"/>
    <mergeCell ref="FY751:GC751"/>
    <mergeCell ref="EZ752:FD752"/>
    <mergeCell ref="FE752:FI752"/>
    <mergeCell ref="FJ752:FN752"/>
    <mergeCell ref="FO752:FS752"/>
    <mergeCell ref="EZ755:FD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FY735:GC735"/>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EM667:EQ667"/>
    <mergeCell ref="ER667:EV667"/>
    <mergeCell ref="EW667:FA667"/>
    <mergeCell ref="DX668:EB668"/>
    <mergeCell ref="EC668:EG668"/>
    <mergeCell ref="ER671:EV671"/>
    <mergeCell ref="FY752:GC752"/>
    <mergeCell ref="DU751:DY751"/>
    <mergeCell ref="DZ751:ED751"/>
    <mergeCell ref="EE751:EI751"/>
    <mergeCell ref="EJ751:EN751"/>
    <mergeCell ref="EO751:ES751"/>
    <mergeCell ref="ET751:EX751"/>
    <mergeCell ref="ET733:EX733"/>
    <mergeCell ref="DU732:DY732"/>
    <mergeCell ref="EO738:ES738"/>
    <mergeCell ref="ET738:EX738"/>
    <mergeCell ref="EO732:ES732"/>
    <mergeCell ref="ET732:EX732"/>
    <mergeCell ref="EO734:ES734"/>
    <mergeCell ref="ET734:EX734"/>
    <mergeCell ref="ET730:EX730"/>
    <mergeCell ref="ET728:EX728"/>
    <mergeCell ref="EO736:ES736"/>
    <mergeCell ref="ET752:EX752"/>
    <mergeCell ref="EE739:EI739"/>
    <mergeCell ref="EJ739:EN739"/>
    <mergeCell ref="DU740:DY740"/>
    <mergeCell ref="ET731:EX731"/>
    <mergeCell ref="DU738:DY738"/>
    <mergeCell ref="EO735:ES735"/>
    <mergeCell ref="EO749:ES749"/>
    <mergeCell ref="DZ728:ED728"/>
    <mergeCell ref="EJ736:EN736"/>
    <mergeCell ref="DZ748:ED748"/>
    <mergeCell ref="EE748:EI748"/>
    <mergeCell ref="EO744:ES744"/>
    <mergeCell ref="DZ745:ED745"/>
    <mergeCell ref="DE725:DI725"/>
    <mergeCell ref="CU727:CY727"/>
    <mergeCell ref="ET726:EX726"/>
    <mergeCell ref="DU733:DY733"/>
    <mergeCell ref="DZ733:ED733"/>
    <mergeCell ref="DU731:DY731"/>
    <mergeCell ref="DJ741:DN741"/>
    <mergeCell ref="AA590:AK590"/>
    <mergeCell ref="H581:R581"/>
    <mergeCell ref="B574:AL574"/>
    <mergeCell ref="AE568:AH568"/>
    <mergeCell ref="N583:O583"/>
    <mergeCell ref="DJ750:DN750"/>
    <mergeCell ref="DJ749:DN749"/>
    <mergeCell ref="CI747:CJ747"/>
    <mergeCell ref="Z577:AK577"/>
    <mergeCell ref="AK642:AN642"/>
    <mergeCell ref="AK643:AN643"/>
    <mergeCell ref="W638:Y638"/>
    <mergeCell ref="EM671:EQ671"/>
    <mergeCell ref="EE743:EI743"/>
    <mergeCell ref="EO746:ES746"/>
    <mergeCell ref="EO745:ES745"/>
    <mergeCell ref="EO748:ES748"/>
    <mergeCell ref="EO731:ES731"/>
    <mergeCell ref="EJ748:EN748"/>
    <mergeCell ref="DU745:DY745"/>
    <mergeCell ref="EW671:FA671"/>
    <mergeCell ref="EW670:FA670"/>
    <mergeCell ref="DX671:EB671"/>
    <mergeCell ref="EC671:EG671"/>
    <mergeCell ref="EH671:EL671"/>
    <mergeCell ref="L516:AB516"/>
    <mergeCell ref="O528:AA528"/>
    <mergeCell ref="D449:AF449"/>
    <mergeCell ref="D456:AF456"/>
    <mergeCell ref="W474:Y474"/>
    <mergeCell ref="Q493:AK493"/>
    <mergeCell ref="AC533:AF533"/>
    <mergeCell ref="W482:Y482"/>
    <mergeCell ref="D457:AF457"/>
    <mergeCell ref="AG454:AJ454"/>
    <mergeCell ref="D450:AF450"/>
    <mergeCell ref="AG455:AJ455"/>
    <mergeCell ref="W475:Y475"/>
    <mergeCell ref="W478:Y478"/>
    <mergeCell ref="D479:V479"/>
    <mergeCell ref="O540:AA540"/>
    <mergeCell ref="AH513:AK513"/>
    <mergeCell ref="D480:V480"/>
    <mergeCell ref="W480:Y480"/>
    <mergeCell ref="AH518:AK518"/>
    <mergeCell ref="AC507:AK507"/>
    <mergeCell ref="W476:Y476"/>
    <mergeCell ref="B511:H516"/>
    <mergeCell ref="AH508:AK508"/>
    <mergeCell ref="AC464:AF464"/>
    <mergeCell ref="D474:V474"/>
    <mergeCell ref="Q499:AK499"/>
    <mergeCell ref="AH503:AK503"/>
    <mergeCell ref="D473:V473"/>
    <mergeCell ref="AC517:AF517"/>
    <mergeCell ref="AG452:AJ452"/>
    <mergeCell ref="AG453:AJ453"/>
    <mergeCell ref="AH521:AK521"/>
    <mergeCell ref="AH523:AK523"/>
    <mergeCell ref="AC535:AF535"/>
    <mergeCell ref="AC513:AF513"/>
    <mergeCell ref="AH530:AK530"/>
    <mergeCell ref="AH526:AK526"/>
    <mergeCell ref="AC522:AF522"/>
    <mergeCell ref="AH537:AK537"/>
    <mergeCell ref="G482:V482"/>
    <mergeCell ref="M503:P503"/>
    <mergeCell ref="AC509:AF509"/>
    <mergeCell ref="B509:H510"/>
    <mergeCell ref="AH509:AK509"/>
    <mergeCell ref="AH527:AK527"/>
    <mergeCell ref="Q502:AK502"/>
    <mergeCell ref="AH517:AK517"/>
    <mergeCell ref="D476:V476"/>
    <mergeCell ref="AC525:AF525"/>
    <mergeCell ref="AC512:AF512"/>
    <mergeCell ref="AC530:AF530"/>
    <mergeCell ref="B497:P498"/>
    <mergeCell ref="AC514:AF514"/>
    <mergeCell ref="Q497:R498"/>
    <mergeCell ref="Q496:AK49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Z636:AB636"/>
    <mergeCell ref="AM568:AS568"/>
    <mergeCell ref="AI568:AL568"/>
    <mergeCell ref="AE563:AH563"/>
    <mergeCell ref="AI562:AL562"/>
    <mergeCell ref="AI566:AL566"/>
    <mergeCell ref="T559:V561"/>
    <mergeCell ref="Z565:AD565"/>
    <mergeCell ref="Z567:AD567"/>
    <mergeCell ref="Z570:AD570"/>
    <mergeCell ref="W569:Y569"/>
    <mergeCell ref="X750:AB750"/>
    <mergeCell ref="AH750:AJ750"/>
    <mergeCell ref="AK747:AO747"/>
    <mergeCell ref="CG729:CH729"/>
    <mergeCell ref="CK728:CL728"/>
    <mergeCell ref="CG739:CH739"/>
    <mergeCell ref="X752:AB752"/>
    <mergeCell ref="Z578:AK578"/>
    <mergeCell ref="CK730:CL730"/>
    <mergeCell ref="AG697:AH697"/>
    <mergeCell ref="CK727:CL727"/>
    <mergeCell ref="CG732:CH732"/>
    <mergeCell ref="CG738:CH738"/>
    <mergeCell ref="CG736:CH736"/>
    <mergeCell ref="CI757:CJ757"/>
    <mergeCell ref="CK757:CL757"/>
    <mergeCell ref="CM757:CN757"/>
    <mergeCell ref="AH747:AJ747"/>
    <mergeCell ref="AK750:AO750"/>
    <mergeCell ref="CP753:CT753"/>
    <mergeCell ref="CK758:CL758"/>
    <mergeCell ref="CM758:CN758"/>
    <mergeCell ref="CG755:CH755"/>
    <mergeCell ref="CI755:CJ755"/>
    <mergeCell ref="CK755:CL755"/>
    <mergeCell ref="AH741:AJ741"/>
    <mergeCell ref="CK733:CL733"/>
    <mergeCell ref="CG741:CH741"/>
    <mergeCell ref="CI742:CJ742"/>
    <mergeCell ref="CI727:CJ727"/>
    <mergeCell ref="CM755:CN755"/>
    <mergeCell ref="CP751:CT751"/>
    <mergeCell ref="CM753:CN753"/>
    <mergeCell ref="A717:AT719"/>
    <mergeCell ref="AH751:AJ751"/>
    <mergeCell ref="B728:F728"/>
    <mergeCell ref="CP757:CT757"/>
    <mergeCell ref="CP750:CT750"/>
    <mergeCell ref="CG754:CH754"/>
    <mergeCell ref="B726:F726"/>
    <mergeCell ref="T562:V562"/>
    <mergeCell ref="AC532:AF532"/>
    <mergeCell ref="AH514:AK514"/>
    <mergeCell ref="AH516:AK516"/>
    <mergeCell ref="AH529:AK529"/>
    <mergeCell ref="CP730:CT730"/>
    <mergeCell ref="CP726:CT726"/>
    <mergeCell ref="CI726:CJ726"/>
    <mergeCell ref="AG681:AH681"/>
    <mergeCell ref="G580:L580"/>
    <mergeCell ref="C566:L566"/>
    <mergeCell ref="Q563:S563"/>
    <mergeCell ref="M563:P563"/>
    <mergeCell ref="C563:L563"/>
    <mergeCell ref="Q569:S569"/>
    <mergeCell ref="N591:O591"/>
    <mergeCell ref="Q565:S565"/>
    <mergeCell ref="C564:L564"/>
    <mergeCell ref="G597:L597"/>
    <mergeCell ref="AC545:AF545"/>
    <mergeCell ref="O534:AA534"/>
    <mergeCell ref="AC537:AF537"/>
    <mergeCell ref="M559:P561"/>
    <mergeCell ref="AC544:AF544"/>
    <mergeCell ref="AE559:AH561"/>
    <mergeCell ref="AI559:AL561"/>
    <mergeCell ref="Z559:AD561"/>
    <mergeCell ref="W564:Y564"/>
    <mergeCell ref="AM565:AS565"/>
    <mergeCell ref="AH546:AK546"/>
    <mergeCell ref="Q559:S561"/>
    <mergeCell ref="AC536:AF536"/>
    <mergeCell ref="Q564:S564"/>
    <mergeCell ref="M564:P564"/>
    <mergeCell ref="C567:L567"/>
    <mergeCell ref="B559:L561"/>
    <mergeCell ref="E429:AJ429"/>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D455:AF455"/>
    <mergeCell ref="W565:Y565"/>
    <mergeCell ref="AC534:AF534"/>
    <mergeCell ref="AE565:AH565"/>
    <mergeCell ref="D458:AF458"/>
    <mergeCell ref="Q562:S562"/>
    <mergeCell ref="AC518:AF518"/>
    <mergeCell ref="AH522:AK522"/>
    <mergeCell ref="AH510:AK510"/>
    <mergeCell ref="C562:L562"/>
    <mergeCell ref="AC541:AF541"/>
    <mergeCell ref="AC527:AF527"/>
    <mergeCell ref="AC531:AF531"/>
    <mergeCell ref="AH524:AK524"/>
    <mergeCell ref="Q566:S566"/>
    <mergeCell ref="AI401:AJ401"/>
    <mergeCell ref="AG403:AJ403"/>
    <mergeCell ref="V390:W390"/>
    <mergeCell ref="Z443:AA443"/>
    <mergeCell ref="T408:AJ408"/>
    <mergeCell ref="D481:V481"/>
    <mergeCell ref="D478:V478"/>
    <mergeCell ref="H423:AE424"/>
    <mergeCell ref="AE434:AF434"/>
    <mergeCell ref="AC528:AF528"/>
    <mergeCell ref="W570:Y570"/>
    <mergeCell ref="T567:V567"/>
    <mergeCell ref="AC529:AF529"/>
    <mergeCell ref="AH535:AK535"/>
    <mergeCell ref="M565:P565"/>
    <mergeCell ref="AH528:AK528"/>
    <mergeCell ref="T570:V570"/>
    <mergeCell ref="AH511:AK511"/>
    <mergeCell ref="AC508:AF508"/>
    <mergeCell ref="AG459:AJ459"/>
    <mergeCell ref="D475:V475"/>
    <mergeCell ref="AG450:AJ450"/>
    <mergeCell ref="P433:Q433"/>
    <mergeCell ref="B528:H550"/>
    <mergeCell ref="Q495:AK495"/>
    <mergeCell ref="Q494:AK494"/>
    <mergeCell ref="Z564:AD564"/>
    <mergeCell ref="AI563:AL563"/>
    <mergeCell ref="T566:V566"/>
    <mergeCell ref="AI564:AL564"/>
    <mergeCell ref="T565:V565"/>
    <mergeCell ref="M566:P566"/>
    <mergeCell ref="V228:W228"/>
    <mergeCell ref="V229:W229"/>
    <mergeCell ref="O159:T159"/>
    <mergeCell ref="P205:U205"/>
    <mergeCell ref="U175:V175"/>
    <mergeCell ref="AG386:AH386"/>
    <mergeCell ref="E427:G427"/>
    <mergeCell ref="AD420:AE420"/>
    <mergeCell ref="F436:AH437"/>
    <mergeCell ref="J396:U396"/>
    <mergeCell ref="AA344:AK344"/>
    <mergeCell ref="AC356:AE356"/>
    <mergeCell ref="P352:AE352"/>
    <mergeCell ref="AA349:AF349"/>
    <mergeCell ref="P353:AE353"/>
    <mergeCell ref="AA347:AK347"/>
    <mergeCell ref="P354:AE354"/>
    <mergeCell ref="R421:S421"/>
    <mergeCell ref="S414:AJ414"/>
    <mergeCell ref="AC394:AJ394"/>
    <mergeCell ref="S411:U411"/>
    <mergeCell ref="AE411:AJ411"/>
    <mergeCell ref="AG388:AH388"/>
    <mergeCell ref="S401:U401"/>
    <mergeCell ref="AG399:AJ399"/>
    <mergeCell ref="Q400:U400"/>
    <mergeCell ref="AA345:AK345"/>
    <mergeCell ref="H346:R346"/>
    <mergeCell ref="H345:R345"/>
    <mergeCell ref="Q403:U403"/>
    <mergeCell ref="AD421:AE421"/>
    <mergeCell ref="P356:Z356"/>
    <mergeCell ref="N191:AE192"/>
    <mergeCell ref="D211:M211"/>
    <mergeCell ref="AI237:AJ237"/>
    <mergeCell ref="M244:AE244"/>
    <mergeCell ref="I185:AE185"/>
    <mergeCell ref="U245:W245"/>
    <mergeCell ref="T189:AE189"/>
    <mergeCell ref="Y120:AK120"/>
    <mergeCell ref="O160:T160"/>
    <mergeCell ref="AI178:AK178"/>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M246:AE246"/>
    <mergeCell ref="AA258:AK258"/>
    <mergeCell ref="M257:AE257"/>
    <mergeCell ref="P113:S113"/>
    <mergeCell ref="AF252:AK252"/>
    <mergeCell ref="M243:T243"/>
    <mergeCell ref="W243:X243"/>
    <mergeCell ref="T212:U212"/>
    <mergeCell ref="F150:T150"/>
    <mergeCell ref="AH255:AK255"/>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M252:AE252"/>
    <mergeCell ref="D204:M204"/>
    <mergeCell ref="M247:T247"/>
    <mergeCell ref="T197:U197"/>
    <mergeCell ref="M261:AE261"/>
    <mergeCell ref="AF260:AK260"/>
    <mergeCell ref="AC262:AE262"/>
    <mergeCell ref="M262:T262"/>
    <mergeCell ref="L283:AJ283"/>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63:AE263"/>
    <mergeCell ref="AA299:AK299"/>
    <mergeCell ref="AH271:AK271"/>
    <mergeCell ref="T276:X276"/>
    <mergeCell ref="AA328:AK328"/>
    <mergeCell ref="AA300:AF300"/>
    <mergeCell ref="AI300:AK300"/>
    <mergeCell ref="AA332:AF332"/>
    <mergeCell ref="H329:R329"/>
    <mergeCell ref="H305:R3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71:AE271"/>
    <mergeCell ref="M265:AE265"/>
    <mergeCell ref="M253:AE253"/>
    <mergeCell ref="M256:R256"/>
    <mergeCell ref="T287:V287"/>
    <mergeCell ref="H298:R298"/>
    <mergeCell ref="H300:M300"/>
    <mergeCell ref="H308:M308"/>
    <mergeCell ref="H309:M309"/>
    <mergeCell ref="H339:R339"/>
    <mergeCell ref="P340:R340"/>
    <mergeCell ref="AA333:AF333"/>
    <mergeCell ref="H337:R337"/>
    <mergeCell ref="H340:M340"/>
    <mergeCell ref="AA342:AK342"/>
    <mergeCell ref="H334:R334"/>
    <mergeCell ref="AH263:AK263"/>
    <mergeCell ref="M268:AE268"/>
    <mergeCell ref="AA302:AK302"/>
    <mergeCell ref="L289:AD289"/>
    <mergeCell ref="L284:AD284"/>
    <mergeCell ref="H299:R299"/>
    <mergeCell ref="V285:W285"/>
    <mergeCell ref="AI332:AK332"/>
    <mergeCell ref="AA305:AK305"/>
    <mergeCell ref="H310:R310"/>
    <mergeCell ref="L286:AD286"/>
    <mergeCell ref="Z272:AE272"/>
    <mergeCell ref="AA340:AF340"/>
    <mergeCell ref="P324:R324"/>
    <mergeCell ref="H320:R320"/>
    <mergeCell ref="AA320:AK320"/>
    <mergeCell ref="U264:W264"/>
    <mergeCell ref="P308:R308"/>
    <mergeCell ref="H302:R302"/>
    <mergeCell ref="H323:R323"/>
    <mergeCell ref="H325:M325"/>
    <mergeCell ref="AA266:AK266"/>
    <mergeCell ref="M269:AE269"/>
    <mergeCell ref="AA274:AK274"/>
    <mergeCell ref="H304:R304"/>
    <mergeCell ref="M270:T270"/>
    <mergeCell ref="H307:R307"/>
    <mergeCell ref="H321:R321"/>
    <mergeCell ref="AI316:AK316"/>
    <mergeCell ref="H313:R313"/>
    <mergeCell ref="H312:R312"/>
    <mergeCell ref="M273:AE273"/>
    <mergeCell ref="AB285:AD285"/>
    <mergeCell ref="Y287:AD287"/>
    <mergeCell ref="AA304:AK304"/>
    <mergeCell ref="AF268:AK268"/>
    <mergeCell ref="AA315:AK315"/>
    <mergeCell ref="AA312:AK312"/>
    <mergeCell ref="D279:H279"/>
    <mergeCell ref="X279:AC279"/>
    <mergeCell ref="AC270:AE270"/>
    <mergeCell ref="H317:M317"/>
    <mergeCell ref="P316:R316"/>
    <mergeCell ref="H314:R314"/>
    <mergeCell ref="AA297:AK297"/>
    <mergeCell ref="H296:R296"/>
    <mergeCell ref="AA321:AK321"/>
    <mergeCell ref="AA307:AK307"/>
    <mergeCell ref="AA301:AF301"/>
    <mergeCell ref="H315:R315"/>
    <mergeCell ref="AA313:AK313"/>
    <mergeCell ref="AA318:AK318"/>
    <mergeCell ref="AA316:AF316"/>
    <mergeCell ref="W262:X262"/>
    <mergeCell ref="AA317:AF317"/>
    <mergeCell ref="P300:R300"/>
    <mergeCell ref="AA296:AK296"/>
    <mergeCell ref="AA310:AK310"/>
    <mergeCell ref="AA308:AF308"/>
    <mergeCell ref="AI308:AK308"/>
    <mergeCell ref="H306:R306"/>
    <mergeCell ref="AA309:AF309"/>
    <mergeCell ref="W270:X270"/>
    <mergeCell ref="U272:W272"/>
    <mergeCell ref="M266:T266"/>
    <mergeCell ref="H322:R322"/>
    <mergeCell ref="AC465:AF465"/>
    <mergeCell ref="M272:R272"/>
    <mergeCell ref="M274:T274"/>
    <mergeCell ref="AA323:AK323"/>
    <mergeCell ref="AA322:AK322"/>
    <mergeCell ref="H328:R328"/>
    <mergeCell ref="AA325:AF325"/>
    <mergeCell ref="AA306:AK306"/>
    <mergeCell ref="H297:R297"/>
    <mergeCell ref="D447:AF447"/>
    <mergeCell ref="AA334:AK334"/>
    <mergeCell ref="H324:M324"/>
    <mergeCell ref="H330:R330"/>
    <mergeCell ref="H331:R331"/>
    <mergeCell ref="L285:S285"/>
    <mergeCell ref="L287:Q287"/>
    <mergeCell ref="AA298:AK298"/>
    <mergeCell ref="H316:M316"/>
    <mergeCell ref="H338:R338"/>
    <mergeCell ref="H301:M301"/>
    <mergeCell ref="H318:R318"/>
    <mergeCell ref="I427:K427"/>
    <mergeCell ref="S422:T422"/>
    <mergeCell ref="AG402:AJ402"/>
    <mergeCell ref="AG400:AJ400"/>
    <mergeCell ref="K413:AJ413"/>
    <mergeCell ref="AC395:AJ395"/>
    <mergeCell ref="K412:AJ412"/>
    <mergeCell ref="P355:AE355"/>
    <mergeCell ref="M367:N367"/>
    <mergeCell ref="AG449:AJ449"/>
    <mergeCell ref="H341:M341"/>
    <mergeCell ref="AI324:AK324"/>
    <mergeCell ref="AA338:AK338"/>
    <mergeCell ref="AA330:AK330"/>
    <mergeCell ref="M365:N365"/>
    <mergeCell ref="Z441:AA441"/>
    <mergeCell ref="N379:Q379"/>
    <mergeCell ref="H332:M332"/>
    <mergeCell ref="AA339:AK339"/>
    <mergeCell ref="H333:M333"/>
    <mergeCell ref="AA346:AK346"/>
    <mergeCell ref="H336:R336"/>
    <mergeCell ref="AA314:AK314"/>
    <mergeCell ref="AA326:AK326"/>
    <mergeCell ref="AA341:AF341"/>
    <mergeCell ref="AA337:AK337"/>
    <mergeCell ref="AA336:AK336"/>
    <mergeCell ref="Q438:R438"/>
    <mergeCell ref="J395:U395"/>
    <mergeCell ref="T407:AJ407"/>
    <mergeCell ref="AA324:AF324"/>
    <mergeCell ref="P358:AE358"/>
    <mergeCell ref="AJ366:AK366"/>
    <mergeCell ref="D453:AF453"/>
    <mergeCell ref="R420:S420"/>
    <mergeCell ref="W473:Y473"/>
    <mergeCell ref="H344:R344"/>
    <mergeCell ref="AA331:AK331"/>
    <mergeCell ref="D459:AF45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Q402:U402"/>
    <mergeCell ref="P430:R430"/>
    <mergeCell ref="Q398:U398"/>
    <mergeCell ref="G594:R594"/>
    <mergeCell ref="H347:R347"/>
    <mergeCell ref="H350:R350"/>
    <mergeCell ref="AI348:AK348"/>
    <mergeCell ref="P357:Z357"/>
    <mergeCell ref="N382:AF383"/>
    <mergeCell ref="AG457:AJ457"/>
    <mergeCell ref="AC511:AF511"/>
    <mergeCell ref="AC521:AF521"/>
    <mergeCell ref="W477:Y477"/>
    <mergeCell ref="Q500:AK500"/>
    <mergeCell ref="N372:O372"/>
    <mergeCell ref="AA329:AK329"/>
    <mergeCell ref="H326:R326"/>
    <mergeCell ref="P332:R332"/>
    <mergeCell ref="J376:K376"/>
    <mergeCell ref="AG389:AH389"/>
    <mergeCell ref="M364:N364"/>
    <mergeCell ref="D448:AF448"/>
    <mergeCell ref="AI406:AJ406"/>
    <mergeCell ref="J397:U397"/>
    <mergeCell ref="P427:R427"/>
    <mergeCell ref="AI398:AJ398"/>
    <mergeCell ref="D446:AF446"/>
    <mergeCell ref="AG447:AJ447"/>
    <mergeCell ref="N381:Q381"/>
    <mergeCell ref="Q399:U399"/>
    <mergeCell ref="I419:AE419"/>
    <mergeCell ref="AG404:AJ404"/>
    <mergeCell ref="C570:L570"/>
    <mergeCell ref="G611:R611"/>
    <mergeCell ref="Z594:AK594"/>
    <mergeCell ref="Z593:AK593"/>
    <mergeCell ref="B730:F730"/>
    <mergeCell ref="N697:O697"/>
    <mergeCell ref="AA696:AK696"/>
    <mergeCell ref="AE710:AF710"/>
    <mergeCell ref="T734:W734"/>
    <mergeCell ref="AK737:AO737"/>
    <mergeCell ref="X738:AB738"/>
    <mergeCell ref="G738:J738"/>
    <mergeCell ref="O782:S782"/>
    <mergeCell ref="H348:M348"/>
    <mergeCell ref="D477:V477"/>
    <mergeCell ref="W481:Y481"/>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AJ364:AK364"/>
    <mergeCell ref="AG451:AJ451"/>
    <mergeCell ref="AF427:AH427"/>
    <mergeCell ref="N689:O689"/>
    <mergeCell ref="X727:AB727"/>
    <mergeCell ref="G694:R694"/>
    <mergeCell ref="C643:L643"/>
    <mergeCell ref="W645:Y645"/>
    <mergeCell ref="AG665:AH665"/>
    <mergeCell ref="W568:Y568"/>
    <mergeCell ref="P580:R580"/>
    <mergeCell ref="AI613:AK613"/>
    <mergeCell ref="G612:R612"/>
    <mergeCell ref="G585:R585"/>
    <mergeCell ref="C569:L569"/>
    <mergeCell ref="W571:Y571"/>
    <mergeCell ref="W572:Y572"/>
    <mergeCell ref="W573:Y573"/>
    <mergeCell ref="AF582:AK582"/>
    <mergeCell ref="M569:P569"/>
    <mergeCell ref="H590:R590"/>
    <mergeCell ref="Z587:AK587"/>
    <mergeCell ref="G609:R609"/>
    <mergeCell ref="AA581:AK581"/>
    <mergeCell ref="AG607:AH607"/>
    <mergeCell ref="G603:R603"/>
    <mergeCell ref="G604:R604"/>
    <mergeCell ref="Z585:AK585"/>
    <mergeCell ref="M582:R582"/>
    <mergeCell ref="Z572:AD572"/>
    <mergeCell ref="Z573:AD573"/>
    <mergeCell ref="Q568:S568"/>
    <mergeCell ref="Q573:S573"/>
    <mergeCell ref="G579:R579"/>
    <mergeCell ref="G576:R576"/>
    <mergeCell ref="G728:J728"/>
    <mergeCell ref="B729:F729"/>
    <mergeCell ref="B761:F761"/>
    <mergeCell ref="Y809:AC809"/>
    <mergeCell ref="G621:L621"/>
    <mergeCell ref="U834:X834"/>
    <mergeCell ref="X802:AB802"/>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T749:W749"/>
    <mergeCell ref="B737:F737"/>
    <mergeCell ref="B739:F739"/>
    <mergeCell ref="B738:F738"/>
    <mergeCell ref="G691:R691"/>
    <mergeCell ref="T727:W727"/>
    <mergeCell ref="O728:S728"/>
    <mergeCell ref="K727:N727"/>
    <mergeCell ref="O731:S731"/>
    <mergeCell ref="G733:J733"/>
    <mergeCell ref="AH726:AJ726"/>
    <mergeCell ref="AC726:AG726"/>
    <mergeCell ref="AC732:AG732"/>
    <mergeCell ref="AC731:AG731"/>
    <mergeCell ref="X799:AB799"/>
    <mergeCell ref="AC796:AG796"/>
    <mergeCell ref="X751:AB751"/>
    <mergeCell ref="T803:W80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O802:S802"/>
    <mergeCell ref="X777:AB780"/>
    <mergeCell ref="T777:W780"/>
    <mergeCell ref="O735:S735"/>
    <mergeCell ref="G730:J730"/>
    <mergeCell ref="X726:AB726"/>
    <mergeCell ref="K733:N733"/>
    <mergeCell ref="X728:AB728"/>
    <mergeCell ref="T730:W730"/>
    <mergeCell ref="AH727:AJ727"/>
    <mergeCell ref="G687:L687"/>
    <mergeCell ref="O727:S727"/>
    <mergeCell ref="K732:N732"/>
    <mergeCell ref="W714:AK714"/>
    <mergeCell ref="X729:AB729"/>
    <mergeCell ref="K728:N728"/>
    <mergeCell ref="AC727:AG727"/>
    <mergeCell ref="X731:AB731"/>
    <mergeCell ref="B742:F742"/>
    <mergeCell ref="B736:F736"/>
    <mergeCell ref="K745:N745"/>
    <mergeCell ref="T736:W736"/>
    <mergeCell ref="AC804:AG804"/>
    <mergeCell ref="AH757:AJ757"/>
    <mergeCell ref="G732:J732"/>
    <mergeCell ref="T737:W737"/>
    <mergeCell ref="X733:AB733"/>
    <mergeCell ref="X735:AB735"/>
    <mergeCell ref="T735:W735"/>
    <mergeCell ref="O732:S732"/>
    <mergeCell ref="T733:W733"/>
    <mergeCell ref="K746:N746"/>
    <mergeCell ref="T752:W752"/>
    <mergeCell ref="AC801:AG801"/>
    <mergeCell ref="X783:AB783"/>
    <mergeCell ref="X784:AB784"/>
    <mergeCell ref="O755:S755"/>
    <mergeCell ref="T755:W755"/>
    <mergeCell ref="T738:W738"/>
    <mergeCell ref="O798:S798"/>
    <mergeCell ref="AH732:AJ732"/>
    <mergeCell ref="J801:N801"/>
    <mergeCell ref="X801:AB801"/>
    <mergeCell ref="T791:W794"/>
    <mergeCell ref="X781:AB781"/>
    <mergeCell ref="O797:S797"/>
    <mergeCell ref="J783:N783"/>
    <mergeCell ref="AC784:AG784"/>
    <mergeCell ref="O791:S794"/>
    <mergeCell ref="AH739:AJ739"/>
    <mergeCell ref="AH752:AJ752"/>
    <mergeCell ref="Q836:T8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M833:P833"/>
    <mergeCell ref="Y808:AC808"/>
    <mergeCell ref="U833:X833"/>
    <mergeCell ref="AC756:AG756"/>
    <mergeCell ref="T750:W750"/>
    <mergeCell ref="AC835:AF835"/>
    <mergeCell ref="X795:AB795"/>
    <mergeCell ref="X797:AB797"/>
    <mergeCell ref="AA941:AF941"/>
    <mergeCell ref="W875:AC875"/>
    <mergeCell ref="W867:AC867"/>
    <mergeCell ref="Z815:AE815"/>
    <mergeCell ref="AC797:AG797"/>
    <mergeCell ref="AC798:AG798"/>
    <mergeCell ref="Z826:AE82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BD911:BE911"/>
    <mergeCell ref="BD909:BE909"/>
    <mergeCell ref="BD908:BE908"/>
    <mergeCell ref="BD910:BE910"/>
    <mergeCell ref="AC836:AF836"/>
    <mergeCell ref="AG837:AJ837"/>
    <mergeCell ref="AG834:AJ834"/>
    <mergeCell ref="AG833:AJ833"/>
    <mergeCell ref="O805:S805"/>
    <mergeCell ref="AZ859:BA859"/>
    <mergeCell ref="W853:AC853"/>
    <mergeCell ref="AC902:AH902"/>
    <mergeCell ref="W857:AC857"/>
    <mergeCell ref="M886:V886"/>
    <mergeCell ref="W878:AC878"/>
    <mergeCell ref="AC893:AH893"/>
    <mergeCell ref="W886:AC886"/>
    <mergeCell ref="AC895:AH895"/>
    <mergeCell ref="AA940:AF940"/>
    <mergeCell ref="AA937:AF937"/>
    <mergeCell ref="M854:V854"/>
    <mergeCell ref="AA932:AF932"/>
    <mergeCell ref="AA934:AF934"/>
    <mergeCell ref="J857:V857"/>
    <mergeCell ref="W854:AC854"/>
    <mergeCell ref="C904:AB904"/>
    <mergeCell ref="F935:T935"/>
    <mergeCell ref="F936:T936"/>
    <mergeCell ref="AB926:AE926"/>
    <mergeCell ref="AA931:AF931"/>
    <mergeCell ref="C901:AB901"/>
    <mergeCell ref="U932:Z932"/>
    <mergeCell ref="G675:R675"/>
    <mergeCell ref="K722:N725"/>
    <mergeCell ref="K729:N729"/>
    <mergeCell ref="AE701:AF701"/>
    <mergeCell ref="AH735:AJ735"/>
    <mergeCell ref="AH736:AJ736"/>
    <mergeCell ref="T728:W728"/>
    <mergeCell ref="AC744:AG744"/>
    <mergeCell ref="AW927:AY927"/>
    <mergeCell ref="C840:L840"/>
    <mergeCell ref="W865:AC865"/>
    <mergeCell ref="M883:V883"/>
    <mergeCell ref="Y839:AB839"/>
    <mergeCell ref="M834:P834"/>
    <mergeCell ref="M880:V880"/>
    <mergeCell ref="Q833:T833"/>
    <mergeCell ref="W879:AC879"/>
    <mergeCell ref="AC894:AH894"/>
    <mergeCell ref="M885:V885"/>
    <mergeCell ref="W877:AC877"/>
    <mergeCell ref="W881:AC881"/>
    <mergeCell ref="Q839:T839"/>
    <mergeCell ref="M884:V884"/>
    <mergeCell ref="G736:J736"/>
    <mergeCell ref="AK738:AO738"/>
    <mergeCell ref="AC738:AG738"/>
    <mergeCell ref="O737:S737"/>
    <mergeCell ref="K739:N739"/>
    <mergeCell ref="O736:S736"/>
    <mergeCell ref="K738:N738"/>
    <mergeCell ref="AH737:AJ737"/>
    <mergeCell ref="O738:S738"/>
    <mergeCell ref="J713:O713"/>
    <mergeCell ref="G684:R684"/>
    <mergeCell ref="O730:S730"/>
    <mergeCell ref="CM728:CN728"/>
    <mergeCell ref="CG745:CH745"/>
    <mergeCell ref="AK736:AO736"/>
    <mergeCell ref="Z684:AK684"/>
    <mergeCell ref="Z691:AK691"/>
    <mergeCell ref="AC737:AG737"/>
    <mergeCell ref="P695:R695"/>
    <mergeCell ref="R713:T713"/>
    <mergeCell ref="O739:S739"/>
    <mergeCell ref="T726:W726"/>
    <mergeCell ref="O729:S729"/>
    <mergeCell ref="K730:N730"/>
    <mergeCell ref="K731:N731"/>
    <mergeCell ref="T731:W731"/>
    <mergeCell ref="CG730:CH730"/>
    <mergeCell ref="CM744:CN744"/>
    <mergeCell ref="X739:AB739"/>
    <mergeCell ref="K737:N737"/>
    <mergeCell ref="K736:N736"/>
    <mergeCell ref="AC739:AG739"/>
    <mergeCell ref="X736:AB736"/>
    <mergeCell ref="AC740:AG740"/>
    <mergeCell ref="X741:AB741"/>
    <mergeCell ref="G740:J740"/>
    <mergeCell ref="AK735:AO735"/>
    <mergeCell ref="K735:N735"/>
    <mergeCell ref="K734:N734"/>
    <mergeCell ref="AH734:AJ734"/>
    <mergeCell ref="G741:J741"/>
    <mergeCell ref="W711:AK711"/>
    <mergeCell ref="M644:P644"/>
    <mergeCell ref="AA672:AK672"/>
    <mergeCell ref="CI730:CJ730"/>
    <mergeCell ref="CZ746:DD746"/>
    <mergeCell ref="CM747:CN747"/>
    <mergeCell ref="CI745:CJ745"/>
    <mergeCell ref="CI746:CJ746"/>
    <mergeCell ref="CU735:CY735"/>
    <mergeCell ref="CK732:CL732"/>
    <mergeCell ref="CM738:CN738"/>
    <mergeCell ref="CK735:CL735"/>
    <mergeCell ref="CK743:CL743"/>
    <mergeCell ref="CP740:CT740"/>
    <mergeCell ref="CM737:CN737"/>
    <mergeCell ref="CM731:CN731"/>
    <mergeCell ref="CM733:CN733"/>
    <mergeCell ref="CZ731:DD731"/>
    <mergeCell ref="CI732:CJ732"/>
    <mergeCell ref="CG737:CH737"/>
    <mergeCell ref="CM741:CN741"/>
    <mergeCell ref="CM743:CN743"/>
    <mergeCell ref="CI740:CJ740"/>
    <mergeCell ref="CI741:CJ741"/>
    <mergeCell ref="CK739:CL739"/>
    <mergeCell ref="CK737:CL737"/>
    <mergeCell ref="CU732:CY732"/>
    <mergeCell ref="CU733:CY733"/>
    <mergeCell ref="CP738:CT738"/>
    <mergeCell ref="CU739:CY739"/>
    <mergeCell ref="CM740:CN740"/>
    <mergeCell ref="CZ735:DD735"/>
    <mergeCell ref="AG689:AH689"/>
    <mergeCell ref="AI695:AK695"/>
    <mergeCell ref="AK722:AO725"/>
    <mergeCell ref="CZ732:DD732"/>
    <mergeCell ref="CZ733:DD733"/>
    <mergeCell ref="CP736:CT736"/>
    <mergeCell ref="AO640:AS640"/>
    <mergeCell ref="Z643:AB643"/>
    <mergeCell ref="G677:R677"/>
    <mergeCell ref="G685:R685"/>
    <mergeCell ref="Z686:AK686"/>
    <mergeCell ref="Z692:AK692"/>
    <mergeCell ref="Z683:AK683"/>
    <mergeCell ref="CP731:CT731"/>
    <mergeCell ref="CU731:CY731"/>
    <mergeCell ref="CP732:CT732"/>
    <mergeCell ref="T729:W729"/>
    <mergeCell ref="AE703:AI703"/>
    <mergeCell ref="Z667:AK667"/>
    <mergeCell ref="AI679:AK679"/>
    <mergeCell ref="AO644:AS644"/>
    <mergeCell ref="CZ726:DD726"/>
    <mergeCell ref="AC729:AG729"/>
    <mergeCell ref="AH728:AJ728"/>
    <mergeCell ref="AH729:AJ729"/>
    <mergeCell ref="AK727:AO727"/>
    <mergeCell ref="AO649:AS649"/>
    <mergeCell ref="CM725:CN725"/>
    <mergeCell ref="CM727:CN727"/>
    <mergeCell ref="CG731:CH731"/>
    <mergeCell ref="AC735:AG735"/>
    <mergeCell ref="X732:AB732"/>
    <mergeCell ref="C642:L642"/>
    <mergeCell ref="T573:V573"/>
    <mergeCell ref="C568:L568"/>
    <mergeCell ref="Z568:AD568"/>
    <mergeCell ref="T644:V644"/>
    <mergeCell ref="T645:V645"/>
    <mergeCell ref="CG728:CH728"/>
    <mergeCell ref="AI663:AK663"/>
    <mergeCell ref="CM726:CN726"/>
    <mergeCell ref="Z687:AE687"/>
    <mergeCell ref="Z678:AK678"/>
    <mergeCell ref="AC728:AG728"/>
    <mergeCell ref="J712:X712"/>
    <mergeCell ref="T722:W725"/>
    <mergeCell ref="H672:R672"/>
    <mergeCell ref="G686:R686"/>
    <mergeCell ref="AK726:AO726"/>
    <mergeCell ref="W708:AK708"/>
    <mergeCell ref="G679:L679"/>
    <mergeCell ref="Z695:AE695"/>
    <mergeCell ref="G727:J727"/>
    <mergeCell ref="O726:S726"/>
    <mergeCell ref="G669:R669"/>
    <mergeCell ref="Z675:AK675"/>
    <mergeCell ref="AC646:AE646"/>
    <mergeCell ref="Z659:AK659"/>
    <mergeCell ref="AK646:AN646"/>
    <mergeCell ref="AF644:AJ644"/>
    <mergeCell ref="AF645:AJ645"/>
    <mergeCell ref="AC644:AE644"/>
    <mergeCell ref="Z655:AE655"/>
    <mergeCell ref="G670:R670"/>
    <mergeCell ref="T571:V571"/>
    <mergeCell ref="G613:L613"/>
    <mergeCell ref="P613:R613"/>
    <mergeCell ref="Z611:AK611"/>
    <mergeCell ref="W637:Y637"/>
    <mergeCell ref="AA614:AK614"/>
    <mergeCell ref="Z619:AK619"/>
    <mergeCell ref="AI605:AK605"/>
    <mergeCell ref="M573:P573"/>
    <mergeCell ref="C565:L565"/>
    <mergeCell ref="Q567:S567"/>
    <mergeCell ref="AC640:AE640"/>
    <mergeCell ref="Z661:AK661"/>
    <mergeCell ref="AF641:AJ641"/>
    <mergeCell ref="AK636:AN636"/>
    <mergeCell ref="W636:Y636"/>
    <mergeCell ref="T643:V643"/>
    <mergeCell ref="T642:V642"/>
    <mergeCell ref="AF642:AJ642"/>
    <mergeCell ref="T637:V637"/>
    <mergeCell ref="AC639:AE639"/>
    <mergeCell ref="AC642:AE642"/>
    <mergeCell ref="G659:R659"/>
    <mergeCell ref="G660:R660"/>
    <mergeCell ref="Q638:S638"/>
    <mergeCell ref="Z651:AK651"/>
    <mergeCell ref="Z639:AB639"/>
    <mergeCell ref="Z653:AK653"/>
    <mergeCell ref="Z637:AB637"/>
    <mergeCell ref="Z641:AB641"/>
    <mergeCell ref="AC638:AE638"/>
    <mergeCell ref="Z642:AB642"/>
    <mergeCell ref="W632:Y634"/>
    <mergeCell ref="AK632:AN634"/>
    <mergeCell ref="AM569:AS569"/>
    <mergeCell ref="AF632:AJ634"/>
    <mergeCell ref="M632:P634"/>
    <mergeCell ref="Z586:AK586"/>
    <mergeCell ref="M567:P567"/>
    <mergeCell ref="C572:L572"/>
    <mergeCell ref="M572:P572"/>
    <mergeCell ref="W562:Y562"/>
    <mergeCell ref="W563:Y563"/>
    <mergeCell ref="Z566:AD566"/>
    <mergeCell ref="M570:P570"/>
    <mergeCell ref="M571:P571"/>
    <mergeCell ref="AI569:AL569"/>
    <mergeCell ref="Q572:S572"/>
    <mergeCell ref="C573:L573"/>
    <mergeCell ref="G577:R577"/>
    <mergeCell ref="H614:R614"/>
    <mergeCell ref="G618:R618"/>
    <mergeCell ref="G587:R587"/>
    <mergeCell ref="G602:R602"/>
    <mergeCell ref="Z602:AK602"/>
    <mergeCell ref="AG599:AH599"/>
    <mergeCell ref="AE569:AH569"/>
    <mergeCell ref="M568:P568"/>
    <mergeCell ref="Q571:S571"/>
    <mergeCell ref="AI573:AL573"/>
    <mergeCell ref="AI571:AL571"/>
    <mergeCell ref="Z571:AD571"/>
    <mergeCell ref="T568:V568"/>
    <mergeCell ref="G578:R578"/>
    <mergeCell ref="T639:V639"/>
    <mergeCell ref="C637:L637"/>
    <mergeCell ref="AO632:AS634"/>
    <mergeCell ref="AC637:AE637"/>
    <mergeCell ref="C635:L635"/>
    <mergeCell ref="Z609:AK609"/>
    <mergeCell ref="AI621:AK621"/>
    <mergeCell ref="AA622:AK622"/>
    <mergeCell ref="AC632:AE634"/>
    <mergeCell ref="Q570:S570"/>
    <mergeCell ref="AC538:AF538"/>
    <mergeCell ref="T564:V564"/>
    <mergeCell ref="W559:Y561"/>
    <mergeCell ref="AC546:AF546"/>
    <mergeCell ref="Z562:AD562"/>
    <mergeCell ref="AH539:AK539"/>
    <mergeCell ref="AH548:AK548"/>
    <mergeCell ref="AI567:AL567"/>
    <mergeCell ref="Z597:AE597"/>
    <mergeCell ref="G593:R593"/>
    <mergeCell ref="AG583:AH583"/>
    <mergeCell ref="P597:R597"/>
    <mergeCell ref="Z596:AK596"/>
    <mergeCell ref="AA606:AK606"/>
    <mergeCell ref="Z618:AK618"/>
    <mergeCell ref="N607:O607"/>
    <mergeCell ref="AA598:AK598"/>
    <mergeCell ref="AI597:AK597"/>
    <mergeCell ref="Z604:AK604"/>
    <mergeCell ref="H606:R606"/>
    <mergeCell ref="AG591:AH591"/>
    <mergeCell ref="H598:R598"/>
    <mergeCell ref="G651:R651"/>
    <mergeCell ref="M642:P642"/>
    <mergeCell ref="Z669:AK669"/>
    <mergeCell ref="Q642:S642"/>
    <mergeCell ref="AK644:AN644"/>
    <mergeCell ref="AF639:AJ639"/>
    <mergeCell ref="Z621:AE621"/>
    <mergeCell ref="N623:O623"/>
    <mergeCell ref="H622:R622"/>
    <mergeCell ref="M635:P635"/>
    <mergeCell ref="M637:P637"/>
    <mergeCell ref="T641:V641"/>
    <mergeCell ref="N665:O665"/>
    <mergeCell ref="Z668:AK668"/>
    <mergeCell ref="G671:L671"/>
    <mergeCell ref="N657:O657"/>
    <mergeCell ref="G668:R668"/>
    <mergeCell ref="G655:L655"/>
    <mergeCell ref="Z652:AK652"/>
    <mergeCell ref="C636:L636"/>
    <mergeCell ref="AF636:AJ636"/>
    <mergeCell ref="AC636:AE636"/>
    <mergeCell ref="A625:AT626"/>
    <mergeCell ref="B632:L634"/>
    <mergeCell ref="C638:L638"/>
    <mergeCell ref="C639:L639"/>
    <mergeCell ref="M641:P641"/>
    <mergeCell ref="G652:R652"/>
    <mergeCell ref="P663:R663"/>
    <mergeCell ref="W641:Y641"/>
    <mergeCell ref="Z638:AB638"/>
    <mergeCell ref="T638:V638"/>
    <mergeCell ref="M640:P640"/>
    <mergeCell ref="Q641:S641"/>
    <mergeCell ref="P671:R671"/>
    <mergeCell ref="AO648:AS648"/>
    <mergeCell ref="W644:Y644"/>
    <mergeCell ref="AM564:AS564"/>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AO639:AS639"/>
    <mergeCell ref="AI671:AK671"/>
    <mergeCell ref="B649:AN649"/>
    <mergeCell ref="CI733:CJ733"/>
    <mergeCell ref="CG733:CH733"/>
    <mergeCell ref="CZ734:DD734"/>
    <mergeCell ref="CP734:CT734"/>
    <mergeCell ref="CI731:CJ731"/>
    <mergeCell ref="CP733:CT733"/>
    <mergeCell ref="DE730:DI730"/>
    <mergeCell ref="CU729:CY729"/>
    <mergeCell ref="CM732:CN732"/>
    <mergeCell ref="CP728:CT728"/>
    <mergeCell ref="Z679:AE679"/>
    <mergeCell ref="T640:V640"/>
    <mergeCell ref="H696:R696"/>
    <mergeCell ref="G653:R653"/>
    <mergeCell ref="H680:R680"/>
    <mergeCell ref="P687:R687"/>
    <mergeCell ref="Z663:AE663"/>
    <mergeCell ref="AG673:AH673"/>
    <mergeCell ref="Z685:AK685"/>
    <mergeCell ref="G683:R683"/>
    <mergeCell ref="O722:S725"/>
    <mergeCell ref="AI687:AK687"/>
    <mergeCell ref="Z671:AE671"/>
    <mergeCell ref="AO641:AS641"/>
    <mergeCell ref="AC730:AG730"/>
    <mergeCell ref="AK730:AO730"/>
    <mergeCell ref="AK729:AO729"/>
    <mergeCell ref="C640:L640"/>
    <mergeCell ref="AK640:AN640"/>
    <mergeCell ref="AF640:AJ640"/>
    <mergeCell ref="C645:L645"/>
    <mergeCell ref="H664:R664"/>
    <mergeCell ref="EC649:EG649"/>
    <mergeCell ref="DJ726:DN726"/>
    <mergeCell ref="CG726:CH726"/>
    <mergeCell ref="Z670:AK670"/>
    <mergeCell ref="EH677:EL677"/>
    <mergeCell ref="EC651:EG651"/>
    <mergeCell ref="EC650:EG650"/>
    <mergeCell ref="AF646:AJ646"/>
    <mergeCell ref="DX672:EB672"/>
    <mergeCell ref="CI734:CJ734"/>
    <mergeCell ref="CG734:CH734"/>
    <mergeCell ref="CM735:CN735"/>
    <mergeCell ref="CK734:CL734"/>
    <mergeCell ref="AK728:AO728"/>
    <mergeCell ref="CG727:CH727"/>
    <mergeCell ref="CI729:CJ729"/>
    <mergeCell ref="DJ732:DN732"/>
    <mergeCell ref="DE728:DI728"/>
    <mergeCell ref="DE732:DI732"/>
    <mergeCell ref="DE735:DI735"/>
    <mergeCell ref="CU728:CY728"/>
    <mergeCell ref="DE729:DI729"/>
    <mergeCell ref="DE731:DI731"/>
    <mergeCell ref="CK731:CL731"/>
    <mergeCell ref="CK729:CL729"/>
    <mergeCell ref="CU730:CY730"/>
    <mergeCell ref="CZ730:DD730"/>
    <mergeCell ref="AK733:AO733"/>
    <mergeCell ref="AK734:AO734"/>
    <mergeCell ref="CZ727:DD727"/>
    <mergeCell ref="CP729:CT729"/>
    <mergeCell ref="CM729:CN729"/>
    <mergeCell ref="EO761:ES761"/>
    <mergeCell ref="DE745:DI745"/>
    <mergeCell ref="EJ745:EN745"/>
    <mergeCell ref="DZ744:ED744"/>
    <mergeCell ref="CZ753:DD753"/>
    <mergeCell ref="DZ731:ED731"/>
    <mergeCell ref="EE732:EI732"/>
    <mergeCell ref="EJ727:EN727"/>
    <mergeCell ref="DZ727:ED727"/>
    <mergeCell ref="EC654:EG654"/>
    <mergeCell ref="DX656:EB656"/>
    <mergeCell ref="DO726:DS726"/>
    <mergeCell ref="AA656:AK656"/>
    <mergeCell ref="AK645:AN645"/>
    <mergeCell ref="DX677:EB677"/>
    <mergeCell ref="EC678:EG678"/>
    <mergeCell ref="DX657:EB657"/>
    <mergeCell ref="DX663:EB663"/>
    <mergeCell ref="AE707:AI707"/>
    <mergeCell ref="CZ725:DD725"/>
    <mergeCell ref="EC667:EG667"/>
    <mergeCell ref="EE725:EI725"/>
    <mergeCell ref="EH659:EL659"/>
    <mergeCell ref="EH658:EL658"/>
    <mergeCell ref="CI725:CJ725"/>
    <mergeCell ref="AA688:AK688"/>
    <mergeCell ref="EC672:EG672"/>
    <mergeCell ref="CU726:CY726"/>
    <mergeCell ref="CP725:CT725"/>
    <mergeCell ref="DX658:EB658"/>
    <mergeCell ref="EC658:EG658"/>
    <mergeCell ref="EC663:EG663"/>
    <mergeCell ref="EO757:ES757"/>
    <mergeCell ref="EE755:EI755"/>
    <mergeCell ref="EJ755:EN755"/>
    <mergeCell ref="EE750:EI750"/>
    <mergeCell ref="EJ750:EN750"/>
    <mergeCell ref="EO750:ES750"/>
    <mergeCell ref="DO749:DS749"/>
    <mergeCell ref="EJ752:EN752"/>
    <mergeCell ref="EO752:ES752"/>
    <mergeCell ref="CZ756:DD756"/>
    <mergeCell ref="ET744:EX744"/>
    <mergeCell ref="EJ742:EN742"/>
    <mergeCell ref="EE741:EI741"/>
    <mergeCell ref="ET740:EX740"/>
    <mergeCell ref="DU739:DY739"/>
    <mergeCell ref="DZ742:ED742"/>
    <mergeCell ref="DO739:DS739"/>
    <mergeCell ref="DJ753:DN753"/>
    <mergeCell ref="DO753:DS753"/>
    <mergeCell ref="CZ750:DD750"/>
    <mergeCell ref="DE754:DI754"/>
    <mergeCell ref="DO750:DS750"/>
    <mergeCell ref="CZ751:DD751"/>
    <mergeCell ref="DE751:DI751"/>
    <mergeCell ref="DJ755:DN755"/>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AC736:AG736"/>
    <mergeCell ref="CI728:CJ728"/>
    <mergeCell ref="CP727:CT727"/>
    <mergeCell ref="DJ731:DN731"/>
    <mergeCell ref="CM730:CN730"/>
    <mergeCell ref="DJ733:DN733"/>
    <mergeCell ref="C834:H834"/>
    <mergeCell ref="K760:N760"/>
    <mergeCell ref="O796:S796"/>
    <mergeCell ref="J800:N800"/>
    <mergeCell ref="Z814:AE814"/>
    <mergeCell ref="AK754:AO754"/>
    <mergeCell ref="CM750:CN750"/>
    <mergeCell ref="CK744:CL744"/>
    <mergeCell ref="Z822:AE822"/>
    <mergeCell ref="AC802:AG802"/>
    <mergeCell ref="EO753:ES753"/>
    <mergeCell ref="DE752:DI752"/>
    <mergeCell ref="CP810:CT810"/>
    <mergeCell ref="CP796:CT796"/>
    <mergeCell ref="O744:S744"/>
    <mergeCell ref="O795:S795"/>
    <mergeCell ref="CU744:CY744"/>
    <mergeCell ref="CG746:CH746"/>
    <mergeCell ref="CK747:CL747"/>
    <mergeCell ref="T784:W784"/>
    <mergeCell ref="T782:W782"/>
    <mergeCell ref="B749:F749"/>
    <mergeCell ref="Z825:AE825"/>
    <mergeCell ref="P824:Y824"/>
    <mergeCell ref="Z821:AE821"/>
    <mergeCell ref="C806:AN807"/>
    <mergeCell ref="CK760:CL760"/>
    <mergeCell ref="CP755:CT755"/>
    <mergeCell ref="CM760:CN760"/>
    <mergeCell ref="EO759:ES759"/>
    <mergeCell ref="CZ760:DD760"/>
    <mergeCell ref="EE757:EI757"/>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O804:S804"/>
    <mergeCell ref="AC837:AF837"/>
    <mergeCell ref="Y834:AB834"/>
    <mergeCell ref="X742:AB742"/>
    <mergeCell ref="O747:S747"/>
    <mergeCell ref="X804:AB804"/>
    <mergeCell ref="Y837:AB837"/>
    <mergeCell ref="AC800:AG800"/>
    <mergeCell ref="Q834:T834"/>
    <mergeCell ref="Y831:AB832"/>
    <mergeCell ref="M837:P837"/>
    <mergeCell ref="Q835:T835"/>
    <mergeCell ref="M836:P836"/>
    <mergeCell ref="M835:P835"/>
    <mergeCell ref="J805:N805"/>
    <mergeCell ref="J803:N803"/>
    <mergeCell ref="AC782:AG782"/>
    <mergeCell ref="X785:AB785"/>
    <mergeCell ref="U837:X837"/>
    <mergeCell ref="X760:AB760"/>
    <mergeCell ref="T740:W740"/>
    <mergeCell ref="T739:W739"/>
    <mergeCell ref="W859:AC859"/>
    <mergeCell ref="W863:AC863"/>
    <mergeCell ref="W860:AC860"/>
    <mergeCell ref="W862:AC862"/>
    <mergeCell ref="W883:AC883"/>
    <mergeCell ref="C845:AJ845"/>
    <mergeCell ref="W884:AC884"/>
    <mergeCell ref="T866:V866"/>
    <mergeCell ref="T868:V868"/>
    <mergeCell ref="W876:AC876"/>
    <mergeCell ref="K743:N743"/>
    <mergeCell ref="K744:N744"/>
    <mergeCell ref="C835:H835"/>
    <mergeCell ref="B745:F745"/>
    <mergeCell ref="O745:S745"/>
    <mergeCell ref="O740:S740"/>
    <mergeCell ref="G745:J745"/>
    <mergeCell ref="G743:J743"/>
    <mergeCell ref="AH749:AJ749"/>
    <mergeCell ref="T759:W759"/>
    <mergeCell ref="K756:N756"/>
    <mergeCell ref="O749:S749"/>
    <mergeCell ref="O758:S758"/>
    <mergeCell ref="K753:N753"/>
    <mergeCell ref="X753:AB753"/>
    <mergeCell ref="AC747:AG747"/>
    <mergeCell ref="Z823:AE823"/>
    <mergeCell ref="B744:F744"/>
    <mergeCell ref="Q837:T837"/>
    <mergeCell ref="T799:W799"/>
    <mergeCell ref="B741:F741"/>
    <mergeCell ref="M887:V887"/>
    <mergeCell ref="A1134:B1134"/>
    <mergeCell ref="B740:F740"/>
    <mergeCell ref="T753:W753"/>
    <mergeCell ref="AJ1000:AQ1000"/>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J785:N785"/>
    <mergeCell ref="Z816:AE816"/>
    <mergeCell ref="AC785:AG785"/>
    <mergeCell ref="T802:W802"/>
    <mergeCell ref="T800:W800"/>
    <mergeCell ref="O785:S785"/>
    <mergeCell ref="X796:AB796"/>
    <mergeCell ref="B762:AH763"/>
    <mergeCell ref="X782:AB782"/>
    <mergeCell ref="T781:W781"/>
    <mergeCell ref="J781:N781"/>
    <mergeCell ref="D1134:AK1136"/>
    <mergeCell ref="A1106:B1106"/>
    <mergeCell ref="A1109:B1109"/>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77:AG977"/>
    <mergeCell ref="M965:S965"/>
    <mergeCell ref="AA980:AG980"/>
    <mergeCell ref="T981:Z981"/>
    <mergeCell ref="BG856:BL856"/>
    <mergeCell ref="AC899:AH899"/>
    <mergeCell ref="W887:AC887"/>
    <mergeCell ref="U940:Z940"/>
    <mergeCell ref="F924:T924"/>
    <mergeCell ref="AA935:AF935"/>
    <mergeCell ref="U936:Z936"/>
    <mergeCell ref="G734:J734"/>
    <mergeCell ref="K741:N741"/>
    <mergeCell ref="F946:T946"/>
    <mergeCell ref="M969:S969"/>
    <mergeCell ref="Z910:AE910"/>
    <mergeCell ref="J782:N782"/>
    <mergeCell ref="O764:R764"/>
    <mergeCell ref="X758:AB758"/>
    <mergeCell ref="AC757:AG757"/>
    <mergeCell ref="AC783:AG783"/>
    <mergeCell ref="AC791:AG794"/>
    <mergeCell ref="I955:T955"/>
    <mergeCell ref="G742:J742"/>
    <mergeCell ref="O743:S743"/>
    <mergeCell ref="U952:Z952"/>
    <mergeCell ref="C774:AR776"/>
    <mergeCell ref="AE967:AK967"/>
    <mergeCell ref="F925:T926"/>
    <mergeCell ref="F948:T948"/>
    <mergeCell ref="AE965:AK965"/>
    <mergeCell ref="U947:Z947"/>
    <mergeCell ref="M968:S968"/>
    <mergeCell ref="J966:S966"/>
    <mergeCell ref="AE968:AK968"/>
    <mergeCell ref="B743:F743"/>
    <mergeCell ref="B746:F746"/>
    <mergeCell ref="K757:N757"/>
    <mergeCell ref="AC803:AG803"/>
    <mergeCell ref="K740:N740"/>
    <mergeCell ref="AH759:AJ759"/>
    <mergeCell ref="K754:N754"/>
    <mergeCell ref="T754:W754"/>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AH738:AJ738"/>
    <mergeCell ref="AE969:AK969"/>
    <mergeCell ref="G761:J761"/>
    <mergeCell ref="AD767:AF767"/>
    <mergeCell ref="O754:S754"/>
    <mergeCell ref="O751:S751"/>
    <mergeCell ref="T751:W751"/>
    <mergeCell ref="K752:N752"/>
    <mergeCell ref="AA952:AF952"/>
    <mergeCell ref="F951:T951"/>
    <mergeCell ref="O741:S741"/>
    <mergeCell ref="AH744:AJ744"/>
    <mergeCell ref="I956:T956"/>
    <mergeCell ref="AK746:AO746"/>
    <mergeCell ref="U955:Z955"/>
    <mergeCell ref="F955:H955"/>
    <mergeCell ref="AA976:AG976"/>
    <mergeCell ref="F937:T937"/>
    <mergeCell ref="K751:N751"/>
    <mergeCell ref="M971:S971"/>
    <mergeCell ref="U951:Z951"/>
    <mergeCell ref="AE970:AK970"/>
    <mergeCell ref="AA957:AF957"/>
    <mergeCell ref="M976:S976"/>
    <mergeCell ref="AA953:AF953"/>
    <mergeCell ref="W851:AC851"/>
    <mergeCell ref="Y833:AB833"/>
    <mergeCell ref="AC833:AF833"/>
    <mergeCell ref="C838:H838"/>
    <mergeCell ref="F839:L839"/>
    <mergeCell ref="U835:X835"/>
    <mergeCell ref="U953:Z953"/>
    <mergeCell ref="AG838:AJ838"/>
    <mergeCell ref="F941:T941"/>
    <mergeCell ref="AA948:AF948"/>
    <mergeCell ref="AA949:AF949"/>
    <mergeCell ref="W861:AC861"/>
    <mergeCell ref="M964:S964"/>
    <mergeCell ref="AA945:AF945"/>
    <mergeCell ref="AA951:AF951"/>
    <mergeCell ref="T804:W804"/>
    <mergeCell ref="W874:AC874"/>
    <mergeCell ref="W888:AC888"/>
    <mergeCell ref="AK753:AO753"/>
    <mergeCell ref="Q840:T840"/>
    <mergeCell ref="M839:P839"/>
    <mergeCell ref="AK758:AO758"/>
    <mergeCell ref="O784:S784"/>
    <mergeCell ref="AC746:AG746"/>
    <mergeCell ref="G747:J747"/>
    <mergeCell ref="U840:X840"/>
    <mergeCell ref="M840:P840"/>
    <mergeCell ref="U948:Z948"/>
    <mergeCell ref="U949:Z949"/>
    <mergeCell ref="AA947:AF947"/>
    <mergeCell ref="U831:X832"/>
    <mergeCell ref="Q831:T832"/>
    <mergeCell ref="Z817:AE817"/>
    <mergeCell ref="F947:T947"/>
    <mergeCell ref="P954:T954"/>
    <mergeCell ref="F953:T953"/>
    <mergeCell ref="U950:Z950"/>
    <mergeCell ref="O746:S746"/>
    <mergeCell ref="X749:AB749"/>
    <mergeCell ref="J796:N796"/>
    <mergeCell ref="G746:J746"/>
    <mergeCell ref="T747:W747"/>
    <mergeCell ref="U942:Z942"/>
    <mergeCell ref="U943:Z943"/>
    <mergeCell ref="F939:T939"/>
    <mergeCell ref="F940:T940"/>
    <mergeCell ref="U945:Z945"/>
    <mergeCell ref="F949:T949"/>
    <mergeCell ref="K759:N759"/>
    <mergeCell ref="O759:S759"/>
    <mergeCell ref="O752:S752"/>
    <mergeCell ref="M831:P832"/>
    <mergeCell ref="T795:W795"/>
    <mergeCell ref="AH748:AJ748"/>
    <mergeCell ref="AB966:AK966"/>
    <mergeCell ref="I957:T957"/>
    <mergeCell ref="AC904:AH904"/>
    <mergeCell ref="AA942:AF942"/>
    <mergeCell ref="Z909:AE909"/>
    <mergeCell ref="AA950:AF950"/>
    <mergeCell ref="AA938:AF938"/>
    <mergeCell ref="U939:Z939"/>
    <mergeCell ref="AA939:AF939"/>
    <mergeCell ref="U958:Z958"/>
    <mergeCell ref="I958:T958"/>
    <mergeCell ref="U941:Z941"/>
    <mergeCell ref="U946:Z946"/>
    <mergeCell ref="AA955:AF955"/>
    <mergeCell ref="AA946:AF946"/>
    <mergeCell ref="E894:AB894"/>
    <mergeCell ref="U838:X838"/>
    <mergeCell ref="J804:N804"/>
    <mergeCell ref="U933:Z933"/>
    <mergeCell ref="U924:Z926"/>
    <mergeCell ref="U959:Z959"/>
    <mergeCell ref="AA954:AF954"/>
    <mergeCell ref="U927:Z927"/>
    <mergeCell ref="K748:N748"/>
    <mergeCell ref="K755:N755"/>
    <mergeCell ref="AH758:AJ758"/>
    <mergeCell ref="B760:F760"/>
    <mergeCell ref="B759:F759"/>
    <mergeCell ref="B750:F750"/>
    <mergeCell ref="B751:F751"/>
    <mergeCell ref="AK748:AO748"/>
    <mergeCell ref="B1001:AI1001"/>
    <mergeCell ref="D1038:AE1038"/>
    <mergeCell ref="B1000:AA1000"/>
    <mergeCell ref="AG1020:AH1020"/>
    <mergeCell ref="AG1022:AH1022"/>
    <mergeCell ref="D1042:AE1044"/>
    <mergeCell ref="D1029:AE1030"/>
    <mergeCell ref="AB1000:AI1000"/>
    <mergeCell ref="D1034:AE1034"/>
    <mergeCell ref="AF1035:AI1035"/>
    <mergeCell ref="AJ1002:AQ1002"/>
    <mergeCell ref="D1004:AE1007"/>
    <mergeCell ref="AK760:AO760"/>
    <mergeCell ref="R997:AA997"/>
    <mergeCell ref="D999:Q999"/>
    <mergeCell ref="AB998:AI998"/>
    <mergeCell ref="O983:P983"/>
    <mergeCell ref="AH761:AJ761"/>
    <mergeCell ref="R995:AA995"/>
    <mergeCell ref="D1003:AE1003"/>
    <mergeCell ref="M977:S977"/>
    <mergeCell ref="M967:S967"/>
    <mergeCell ref="M981:S981"/>
    <mergeCell ref="O781:S781"/>
    <mergeCell ref="J784:N784"/>
    <mergeCell ref="C837:H837"/>
    <mergeCell ref="M838:P838"/>
    <mergeCell ref="AA936:AF936"/>
    <mergeCell ref="W850:AC850"/>
    <mergeCell ref="W855:AC855"/>
    <mergeCell ref="W885:AC885"/>
    <mergeCell ref="M869:V869"/>
    <mergeCell ref="AA979:AG979"/>
    <mergeCell ref="M979:S979"/>
    <mergeCell ref="D1010:AE1010"/>
    <mergeCell ref="AJ1034:AQ1037"/>
    <mergeCell ref="AF1036:AI1037"/>
    <mergeCell ref="D1009:AE1009"/>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AA984:AG984"/>
    <mergeCell ref="D1008:AE1008"/>
    <mergeCell ref="R996:AA996"/>
    <mergeCell ref="AB997:AI997"/>
    <mergeCell ref="AF1002:AI1002"/>
    <mergeCell ref="AG1003:AH1003"/>
    <mergeCell ref="AG1010:AH1010"/>
    <mergeCell ref="AG1016:AH1016"/>
    <mergeCell ref="AJ1050:AQ1053"/>
    <mergeCell ref="D1039:AE1040"/>
    <mergeCell ref="B1002:AE1002"/>
    <mergeCell ref="AJ1038:AQ1040"/>
    <mergeCell ref="R999:AA999"/>
    <mergeCell ref="AJ999:AQ999"/>
    <mergeCell ref="W983:AG983"/>
    <mergeCell ref="M982:S982"/>
    <mergeCell ref="AG1025:AH1025"/>
    <mergeCell ref="AG1029:AH1029"/>
    <mergeCell ref="D1025:AE1025"/>
    <mergeCell ref="D1017:AE1019"/>
    <mergeCell ref="AF1030:AI1031"/>
    <mergeCell ref="T982:Z982"/>
    <mergeCell ref="AF1032:AI1033"/>
    <mergeCell ref="M984:S984"/>
    <mergeCell ref="AJ1045:AQ1049"/>
    <mergeCell ref="D1050:AE1050"/>
    <mergeCell ref="D1051:AE1053"/>
    <mergeCell ref="F984:L984"/>
    <mergeCell ref="AB999:AI999"/>
    <mergeCell ref="J1033:AE1033"/>
    <mergeCell ref="AJ1001:AQ1001"/>
    <mergeCell ref="D1041:AE1041"/>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Y729:GC729"/>
    <mergeCell ref="EZ730:FD730"/>
    <mergeCell ref="FE730:FI730"/>
    <mergeCell ref="FJ730:FN730"/>
    <mergeCell ref="FO730:FS730"/>
    <mergeCell ref="FT730:FX730"/>
    <mergeCell ref="FY730:GC730"/>
    <mergeCell ref="EZ731:FD731"/>
    <mergeCell ref="FE731:FI731"/>
    <mergeCell ref="FJ731:FN731"/>
    <mergeCell ref="FO731:FS731"/>
    <mergeCell ref="FJ728:FN728"/>
    <mergeCell ref="FO728:FS728"/>
    <mergeCell ref="FY734:GC734"/>
    <mergeCell ref="ET735:EX735"/>
    <mergeCell ref="ET736:EX736"/>
    <mergeCell ref="DZ740:ED740"/>
    <mergeCell ref="EE740:EI740"/>
    <mergeCell ref="EJ740:EN740"/>
    <mergeCell ref="EO739:ES739"/>
    <mergeCell ref="EZ734:FD734"/>
    <mergeCell ref="EJ737:EN737"/>
    <mergeCell ref="ET737:EX737"/>
    <mergeCell ref="DZ739:ED739"/>
    <mergeCell ref="FT759:FX759"/>
    <mergeCell ref="FY758:GC758"/>
    <mergeCell ref="FY746:GC746"/>
    <mergeCell ref="FY738:GC738"/>
    <mergeCell ref="FY744:GC744"/>
    <mergeCell ref="FO745:FS745"/>
    <mergeCell ref="FJ742:FN742"/>
    <mergeCell ref="FO742:FS742"/>
    <mergeCell ref="FO738:FS738"/>
    <mergeCell ref="FY740:GC740"/>
    <mergeCell ref="FY736:GC736"/>
    <mergeCell ref="EZ737:FD737"/>
    <mergeCell ref="FE737:FI737"/>
    <mergeCell ref="FJ737:FN737"/>
    <mergeCell ref="FO737:FS737"/>
    <mergeCell ref="FT737:FX737"/>
    <mergeCell ref="FY737:GC737"/>
    <mergeCell ref="FY745:GC745"/>
    <mergeCell ref="FT754:FX754"/>
    <mergeCell ref="FY754:GC754"/>
    <mergeCell ref="FT752:FX752"/>
    <mergeCell ref="FT734:FX734"/>
    <mergeCell ref="EZ736:FD736"/>
    <mergeCell ref="FE736:FI736"/>
    <mergeCell ref="FJ736:FN736"/>
    <mergeCell ref="FO736:FS736"/>
    <mergeCell ref="FT757:FX757"/>
    <mergeCell ref="FJ755:FN755"/>
    <mergeCell ref="FO755:FS755"/>
    <mergeCell ref="FT755:FX755"/>
    <mergeCell ref="FT758:FX758"/>
    <mergeCell ref="EZ747:FD747"/>
    <mergeCell ref="FE734:FI734"/>
    <mergeCell ref="FT749:FX749"/>
    <mergeCell ref="EZ745:FD745"/>
    <mergeCell ref="FE745:FI745"/>
    <mergeCell ref="FJ745:FN745"/>
    <mergeCell ref="FT738:FX738"/>
    <mergeCell ref="FT740:FX740"/>
    <mergeCell ref="FO744:FS744"/>
    <mergeCell ref="FT744:FX744"/>
    <mergeCell ref="FJ748:FN748"/>
    <mergeCell ref="FE741:FI741"/>
    <mergeCell ref="FJ738:FN738"/>
    <mergeCell ref="FT735:FX735"/>
    <mergeCell ref="FJ734:FN734"/>
    <mergeCell ref="FT736:FX736"/>
    <mergeCell ref="EZ756:FD756"/>
    <mergeCell ref="FE755:FI755"/>
    <mergeCell ref="FT743:FX743"/>
    <mergeCell ref="FJ735:FN735"/>
    <mergeCell ref="FO735:FS735"/>
    <mergeCell ref="FO740:FS740"/>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J743:FN743"/>
    <mergeCell ref="FJ733:FN73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Y743:GC743"/>
    <mergeCell ref="EZ744:FD744"/>
    <mergeCell ref="FE744:FI744"/>
    <mergeCell ref="FJ744:FN744"/>
    <mergeCell ref="EW676:FA676"/>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Z740:FD740"/>
    <mergeCell ref="EJ732:EN732"/>
    <mergeCell ref="EE729:EI729"/>
    <mergeCell ref="FO734:FS734"/>
    <mergeCell ref="EE726:EI726"/>
    <mergeCell ref="FE728:FI728"/>
    <mergeCell ref="FE735:FI735"/>
    <mergeCell ref="EW646:FA646"/>
    <mergeCell ref="ER656:EV656"/>
    <mergeCell ref="ER655:EV655"/>
    <mergeCell ref="EH653:EL653"/>
    <mergeCell ref="EM653:EQ653"/>
    <mergeCell ref="EH648:EL648"/>
    <mergeCell ref="EM648:EQ648"/>
    <mergeCell ref="DX647:EB647"/>
    <mergeCell ref="EO727:ES727"/>
    <mergeCell ref="ET727:EX727"/>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R677:EV677"/>
    <mergeCell ref="EW652:FA652"/>
    <mergeCell ref="EO725:ES725"/>
    <mergeCell ref="EM650:EQ650"/>
    <mergeCell ref="EH678:EL678"/>
    <mergeCell ref="ER664:EV664"/>
    <mergeCell ref="EC677:EG677"/>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H650:EL650"/>
    <mergeCell ref="EH654:EL654"/>
    <mergeCell ref="EM649:EQ649"/>
    <mergeCell ref="EH656:EL656"/>
    <mergeCell ref="EH652:EL652"/>
    <mergeCell ref="DZ738:ED738"/>
    <mergeCell ref="EZ725:FD725"/>
    <mergeCell ref="FE725:FI725"/>
    <mergeCell ref="FJ725:FN725"/>
    <mergeCell ref="DU735:DY735"/>
    <mergeCell ref="DX655:EB655"/>
    <mergeCell ref="DX676:EB676"/>
    <mergeCell ref="EC676:EG676"/>
    <mergeCell ref="DX654:EB654"/>
    <mergeCell ref="EH664:EL664"/>
    <mergeCell ref="EM664:EQ664"/>
    <mergeCell ref="ER676:EV676"/>
    <mergeCell ref="EE733:EI733"/>
    <mergeCell ref="EE734:EI734"/>
    <mergeCell ref="EJ734:EN734"/>
    <mergeCell ref="ER678:EV678"/>
    <mergeCell ref="ER663:EV663"/>
    <mergeCell ref="EM656:EQ656"/>
    <mergeCell ref="EH663:EL663"/>
    <mergeCell ref="EM677:EQ677"/>
    <mergeCell ref="EJ730:EN730"/>
    <mergeCell ref="ER662:EV662"/>
    <mergeCell ref="EM660:EQ660"/>
    <mergeCell ref="EJ729:EN729"/>
    <mergeCell ref="DZ729:ED729"/>
    <mergeCell ref="DZ730:ED730"/>
    <mergeCell ref="DX664:EB664"/>
    <mergeCell ref="EC664:EG664"/>
    <mergeCell ref="EH660:EL660"/>
    <mergeCell ref="EO728:ES728"/>
    <mergeCell ref="DU726:DY726"/>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W677:FA677"/>
    <mergeCell ref="EH661:EL661"/>
    <mergeCell ref="EM661:EQ661"/>
    <mergeCell ref="EW663:FA663"/>
    <mergeCell ref="EM663:EQ663"/>
    <mergeCell ref="EW658:FA658"/>
    <mergeCell ref="EW672:FA672"/>
    <mergeCell ref="EW674:FA674"/>
    <mergeCell ref="EW659:FA659"/>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M657:EQ657"/>
    <mergeCell ref="ER657:EV657"/>
    <mergeCell ref="ER648:EV648"/>
    <mergeCell ref="EW655:FA655"/>
    <mergeCell ref="EW656:FA656"/>
    <mergeCell ref="EW649:FA649"/>
    <mergeCell ref="EW657:FA657"/>
    <mergeCell ref="ER650:EV650"/>
    <mergeCell ref="DX649:EB649"/>
    <mergeCell ref="EC652:EG652"/>
    <mergeCell ref="EM678:EQ678"/>
    <mergeCell ref="EW668:FA668"/>
    <mergeCell ref="DX669:EB669"/>
    <mergeCell ref="ER661:EV661"/>
    <mergeCell ref="ER674:EV674"/>
    <mergeCell ref="EW662:FA662"/>
    <mergeCell ref="ER669:EV669"/>
    <mergeCell ref="EM675:EQ675"/>
    <mergeCell ref="ER675:EV675"/>
    <mergeCell ref="DZ735:ED735"/>
    <mergeCell ref="EE735:EI735"/>
    <mergeCell ref="EE731:EI731"/>
    <mergeCell ref="EJ731:EN731"/>
    <mergeCell ref="DO733:DS733"/>
    <mergeCell ref="EO733:ES733"/>
    <mergeCell ref="EM662:EQ662"/>
    <mergeCell ref="DX675:EB675"/>
    <mergeCell ref="EW669:FA669"/>
    <mergeCell ref="EM670:EQ670"/>
    <mergeCell ref="ER670:EV670"/>
    <mergeCell ref="DU734:DY734"/>
    <mergeCell ref="EJ733:EN733"/>
    <mergeCell ref="DO730:DS730"/>
    <mergeCell ref="DO729:DS729"/>
    <mergeCell ref="DO727:DS727"/>
    <mergeCell ref="DZ726:ED726"/>
    <mergeCell ref="EO729:ES729"/>
    <mergeCell ref="DU727:DY727"/>
    <mergeCell ref="EJ728:EN728"/>
    <mergeCell ref="EO730:ES730"/>
    <mergeCell ref="EE727:EI727"/>
    <mergeCell ref="EE730:EI730"/>
    <mergeCell ref="ET745:EX745"/>
    <mergeCell ref="EJ761:EN761"/>
    <mergeCell ref="DO748:DS748"/>
    <mergeCell ref="DJ748:DN748"/>
    <mergeCell ref="DE759:DI759"/>
    <mergeCell ref="DO735:DS735"/>
    <mergeCell ref="DO736:DS736"/>
    <mergeCell ref="DO731:DS731"/>
    <mergeCell ref="DO732:DS732"/>
    <mergeCell ref="DO740:DS740"/>
    <mergeCell ref="DU730:DY730"/>
    <mergeCell ref="DO728:DS728"/>
    <mergeCell ref="EE738:EI738"/>
    <mergeCell ref="EJ738:EN738"/>
    <mergeCell ref="DU737:DY737"/>
    <mergeCell ref="DZ732:ED732"/>
    <mergeCell ref="DJ725:DN725"/>
    <mergeCell ref="DJ730:DN730"/>
    <mergeCell ref="DJ738:DN738"/>
    <mergeCell ref="DO741:DS741"/>
    <mergeCell ref="DO742:DS742"/>
    <mergeCell ref="DO738:DS738"/>
    <mergeCell ref="DU746:DY746"/>
    <mergeCell ref="EE744:EI744"/>
    <mergeCell ref="EJ744:EN744"/>
    <mergeCell ref="DJ728:DN728"/>
    <mergeCell ref="DJ740:DN740"/>
    <mergeCell ref="ET761:EX761"/>
    <mergeCell ref="DJ739:DN739"/>
    <mergeCell ref="DE739:DI739"/>
    <mergeCell ref="DE742:DI742"/>
    <mergeCell ref="EJ757:EN757"/>
    <mergeCell ref="DE783:DI783"/>
    <mergeCell ref="EE759:EI759"/>
    <mergeCell ref="DU759:DY759"/>
    <mergeCell ref="DZ759:ED759"/>
    <mergeCell ref="DU760:DY760"/>
    <mergeCell ref="DZ760:ED760"/>
    <mergeCell ref="DJ760:DN760"/>
    <mergeCell ref="DO762:DS762"/>
    <mergeCell ref="DE761:DI761"/>
    <mergeCell ref="DO759:DS759"/>
    <mergeCell ref="DO760:DS760"/>
    <mergeCell ref="DO782:DS782"/>
    <mergeCell ref="DO781:DS781"/>
    <mergeCell ref="DO784:DS784"/>
    <mergeCell ref="DO783:DS783"/>
    <mergeCell ref="DJ761:DN761"/>
    <mergeCell ref="EE761:EI761"/>
    <mergeCell ref="DE782:DI782"/>
    <mergeCell ref="EE760:EI760"/>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CG744:CH744"/>
    <mergeCell ref="DZ761:ED761"/>
    <mergeCell ref="DZ746:ED746"/>
    <mergeCell ref="EE746:EI746"/>
    <mergeCell ref="EJ746:EN746"/>
    <mergeCell ref="DO785:DS785"/>
    <mergeCell ref="DE781:DI781"/>
    <mergeCell ref="CZ785:DD785"/>
    <mergeCell ref="DO761:DS761"/>
    <mergeCell ref="DJ758:DN758"/>
    <mergeCell ref="DO757:DS757"/>
    <mergeCell ref="DE756:DI756"/>
    <mergeCell ref="DJ756:DN756"/>
    <mergeCell ref="DO756:DS756"/>
    <mergeCell ref="DE758:DI758"/>
    <mergeCell ref="DU761:DY761"/>
    <mergeCell ref="CU760:CY760"/>
    <mergeCell ref="CP781:CT781"/>
    <mergeCell ref="DU752:DY752"/>
    <mergeCell ref="DZ752:ED752"/>
    <mergeCell ref="EE752:EI752"/>
    <mergeCell ref="CZ747:DD747"/>
    <mergeCell ref="CP747:CT747"/>
    <mergeCell ref="EZ760:FD760"/>
    <mergeCell ref="EC645:EG645"/>
    <mergeCell ref="EH645:EL645"/>
    <mergeCell ref="EZ761:FD761"/>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EE753:EI753"/>
    <mergeCell ref="DU757:DY757"/>
    <mergeCell ref="DZ757:ED757"/>
    <mergeCell ref="DO754:DS754"/>
    <mergeCell ref="CZ754:DD754"/>
    <mergeCell ref="CP745:CT745"/>
    <mergeCell ref="DE737:DI737"/>
    <mergeCell ref="CP749:CT749"/>
    <mergeCell ref="DE747:DI747"/>
    <mergeCell ref="CZ749:DD749"/>
    <mergeCell ref="CZ748:DD748"/>
    <mergeCell ref="CU749:CY749"/>
    <mergeCell ref="DU743:DY743"/>
    <mergeCell ref="DO745:DS745"/>
    <mergeCell ref="CM734:CN734"/>
    <mergeCell ref="DZ734:ED734"/>
    <mergeCell ref="EE736:EI736"/>
    <mergeCell ref="DO737:DS737"/>
    <mergeCell ref="DE736:DI736"/>
    <mergeCell ref="CZ736:DD736"/>
    <mergeCell ref="DU736:DY736"/>
    <mergeCell ref="DZ736:ED736"/>
    <mergeCell ref="DO747:DS747"/>
    <mergeCell ref="DJ754:DN754"/>
    <mergeCell ref="DJ751:DN751"/>
    <mergeCell ref="DO751:DS751"/>
    <mergeCell ref="DO752:DS752"/>
    <mergeCell ref="EE747:EI747"/>
    <mergeCell ref="DZ743:ED743"/>
    <mergeCell ref="CU740:CY740"/>
    <mergeCell ref="CU746:CY746"/>
    <mergeCell ref="CM746:CN746"/>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CP735:CT735"/>
    <mergeCell ref="CI735:CJ735"/>
    <mergeCell ref="CU742:CY742"/>
    <mergeCell ref="CP744:CT744"/>
    <mergeCell ref="CP746:CT746"/>
    <mergeCell ref="DE746:DI746"/>
    <mergeCell ref="DO746:DS746"/>
    <mergeCell ref="DE743:DI743"/>
    <mergeCell ref="CZ743:DD743"/>
    <mergeCell ref="DJ745:DN745"/>
    <mergeCell ref="DJ743:DN743"/>
    <mergeCell ref="CK741:CL741"/>
    <mergeCell ref="CI748:CJ748"/>
    <mergeCell ref="CZ742:DD742"/>
    <mergeCell ref="CM739:CN739"/>
    <mergeCell ref="CI738:CJ738"/>
    <mergeCell ref="CI754:CJ754"/>
    <mergeCell ref="DO758:DS758"/>
    <mergeCell ref="CI752:CJ752"/>
    <mergeCell ref="CU750:CY750"/>
    <mergeCell ref="CG735:CH735"/>
    <mergeCell ref="CU741:CY741"/>
    <mergeCell ref="CI739:CJ739"/>
    <mergeCell ref="CK738:CL738"/>
    <mergeCell ref="CP739:CT739"/>
    <mergeCell ref="CI737:CJ737"/>
    <mergeCell ref="CP737:CT737"/>
    <mergeCell ref="CU737:CY737"/>
    <mergeCell ref="CU738:CY738"/>
    <mergeCell ref="CK736:CL736"/>
    <mergeCell ref="CM736:CN736"/>
    <mergeCell ref="CZ738:DD738"/>
    <mergeCell ref="CZ737:DD737"/>
    <mergeCell ref="CZ739:DD739"/>
    <mergeCell ref="CK740:CL740"/>
    <mergeCell ref="CI736:CJ736"/>
    <mergeCell ref="CP802:CT802"/>
    <mergeCell ref="CK742:CL742"/>
    <mergeCell ref="CM742:CN742"/>
    <mergeCell ref="CK750:CL750"/>
    <mergeCell ref="CP761:CT761"/>
    <mergeCell ref="CZ783:DD783"/>
    <mergeCell ref="CP760:CT760"/>
    <mergeCell ref="CP782:CT782"/>
    <mergeCell ref="CG759:CH759"/>
    <mergeCell ref="CG749:CH749"/>
    <mergeCell ref="CG743:CH743"/>
    <mergeCell ref="CG752:CH752"/>
    <mergeCell ref="CG758:CH758"/>
    <mergeCell ref="CU751:CY751"/>
    <mergeCell ref="CG753:CH753"/>
    <mergeCell ref="CI753:CJ753"/>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DJ735:DN735"/>
    <mergeCell ref="DJ734:DN734"/>
    <mergeCell ref="CZ740:DD740"/>
    <mergeCell ref="DJ759:DN759"/>
    <mergeCell ref="CP785:CT785"/>
    <mergeCell ref="DE748:DI748"/>
    <mergeCell ref="DJ746:DN746"/>
    <mergeCell ref="CZ784:DD784"/>
    <mergeCell ref="DE784:DI784"/>
    <mergeCell ref="DE802:DI802"/>
    <mergeCell ref="CU783:CY783"/>
    <mergeCell ref="CU734:CY734"/>
    <mergeCell ref="DE740:DI740"/>
    <mergeCell ref="DE738:DI738"/>
    <mergeCell ref="DE734:DI734"/>
    <mergeCell ref="CU736:CY736"/>
    <mergeCell ref="CU785:CY785"/>
    <mergeCell ref="CU761:CY761"/>
    <mergeCell ref="DJ736:DN736"/>
    <mergeCell ref="DE785:DI785"/>
    <mergeCell ref="AM572:AS572"/>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G596:R596"/>
    <mergeCell ref="Z588:AK588"/>
    <mergeCell ref="Z603:AK603"/>
    <mergeCell ref="Q646:S646"/>
    <mergeCell ref="H656:R656"/>
    <mergeCell ref="Z640:AB640"/>
    <mergeCell ref="M638:P638"/>
    <mergeCell ref="M639:P639"/>
    <mergeCell ref="G601:R601"/>
    <mergeCell ref="P589:R589"/>
    <mergeCell ref="N599:O599"/>
    <mergeCell ref="Q640:S640"/>
    <mergeCell ref="P605:R605"/>
    <mergeCell ref="G605:L605"/>
    <mergeCell ref="Q639:S639"/>
    <mergeCell ref="Q632:S634"/>
    <mergeCell ref="AK639:AN639"/>
    <mergeCell ref="AM567:AS567"/>
    <mergeCell ref="AK638:AN638"/>
    <mergeCell ref="AM570:AS570"/>
    <mergeCell ref="CI761:CJ761"/>
    <mergeCell ref="CK759:CL759"/>
    <mergeCell ref="CP783:CT783"/>
    <mergeCell ref="CP784:CT784"/>
    <mergeCell ref="CU781:CY781"/>
    <mergeCell ref="DJ784:DN784"/>
    <mergeCell ref="AK749:AO749"/>
    <mergeCell ref="AE567:AH567"/>
    <mergeCell ref="AO638:AS638"/>
    <mergeCell ref="AC741:AG741"/>
    <mergeCell ref="AG657:AH657"/>
    <mergeCell ref="X740:AB740"/>
    <mergeCell ref="T563:V563"/>
    <mergeCell ref="W567:Y567"/>
    <mergeCell ref="Z654:AK654"/>
    <mergeCell ref="CI743:CJ743"/>
    <mergeCell ref="CP741:CT741"/>
    <mergeCell ref="CK749:CL749"/>
    <mergeCell ref="CM749:CN749"/>
    <mergeCell ref="CM745:CN745"/>
    <mergeCell ref="CU745:CY745"/>
    <mergeCell ref="CK746:CL746"/>
    <mergeCell ref="DJ737:DN737"/>
    <mergeCell ref="DE727:DI727"/>
    <mergeCell ref="CZ728:DD728"/>
    <mergeCell ref="DE733:DI733"/>
    <mergeCell ref="AK731:AO731"/>
    <mergeCell ref="AK732:AO732"/>
    <mergeCell ref="AG615:AH615"/>
    <mergeCell ref="EM644:EQ644"/>
    <mergeCell ref="DX645:EB645"/>
    <mergeCell ref="AC641:AE641"/>
    <mergeCell ref="B647:AN647"/>
    <mergeCell ref="B648:AN648"/>
    <mergeCell ref="B727:F727"/>
    <mergeCell ref="Z694:AK694"/>
    <mergeCell ref="DU744:DY744"/>
    <mergeCell ref="EE745:EI745"/>
    <mergeCell ref="DU748:DY748"/>
    <mergeCell ref="DU725:DY725"/>
    <mergeCell ref="DU747:DY747"/>
    <mergeCell ref="DZ747:ED747"/>
    <mergeCell ref="EJ725:EN725"/>
    <mergeCell ref="EO740:ES740"/>
    <mergeCell ref="EJ747:EN747"/>
    <mergeCell ref="DU729:DY729"/>
    <mergeCell ref="G731:J731"/>
    <mergeCell ref="O733:S733"/>
    <mergeCell ref="O734:S734"/>
    <mergeCell ref="AK745:AO745"/>
    <mergeCell ref="X743:AB743"/>
    <mergeCell ref="X744:AB744"/>
    <mergeCell ref="T743:W743"/>
    <mergeCell ref="T742:W742"/>
    <mergeCell ref="AO645:AS645"/>
    <mergeCell ref="T744:W744"/>
    <mergeCell ref="G667:R667"/>
    <mergeCell ref="P679:R679"/>
    <mergeCell ref="AK641:AN641"/>
    <mergeCell ref="G663:L663"/>
    <mergeCell ref="T746:W74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E564:AH564"/>
    <mergeCell ref="AH544:AK544"/>
    <mergeCell ref="Z580:AE580"/>
    <mergeCell ref="AE571:AH571"/>
    <mergeCell ref="AM571:AS571"/>
    <mergeCell ref="AO636:AS636"/>
    <mergeCell ref="AM566:AS566"/>
    <mergeCell ref="Z589:AE58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C548:AF548"/>
    <mergeCell ref="AC516:AF516"/>
    <mergeCell ref="AH545:AK545"/>
    <mergeCell ref="AC542:AF542"/>
    <mergeCell ref="AH550:AK550"/>
    <mergeCell ref="AH515:AK515"/>
    <mergeCell ref="AH534:AK534"/>
    <mergeCell ref="AI570:AL570"/>
    <mergeCell ref="Z576:AK576"/>
    <mergeCell ref="Z579:AK579"/>
    <mergeCell ref="AI572:AL572"/>
    <mergeCell ref="AE570:AH570"/>
    <mergeCell ref="AH520:AK520"/>
    <mergeCell ref="AC523:AF523"/>
    <mergeCell ref="AH525:AK525"/>
    <mergeCell ref="AH540:AK540"/>
    <mergeCell ref="AH542:AK542"/>
    <mergeCell ref="AH547:AK547"/>
    <mergeCell ref="AH549:AK549"/>
    <mergeCell ref="AC543:AF543"/>
    <mergeCell ref="AH538:AK538"/>
    <mergeCell ref="AC549:AF549"/>
    <mergeCell ref="AC520:AF520"/>
    <mergeCell ref="AC550:AF550"/>
    <mergeCell ref="Z569:AD569"/>
    <mergeCell ref="O537:AA537"/>
    <mergeCell ref="AH541:AK541"/>
    <mergeCell ref="AH536:AK536"/>
    <mergeCell ref="AH543:AK543"/>
    <mergeCell ref="AC540:AF540"/>
    <mergeCell ref="AC539:AF539"/>
    <mergeCell ref="AC547:AF547"/>
    <mergeCell ref="AM573:AS573"/>
    <mergeCell ref="AM574:AS574"/>
    <mergeCell ref="AC526:AF526"/>
    <mergeCell ref="AH512:AK512"/>
    <mergeCell ref="O531:AA531"/>
    <mergeCell ref="M562:P562"/>
    <mergeCell ref="W566:Y566"/>
    <mergeCell ref="AE566:AH566"/>
    <mergeCell ref="AC524:AF524"/>
    <mergeCell ref="AJ1058:AQ1061"/>
    <mergeCell ref="U938:Z938"/>
    <mergeCell ref="B754:F754"/>
    <mergeCell ref="K742:N742"/>
    <mergeCell ref="AH740:AJ740"/>
    <mergeCell ref="G744:J744"/>
    <mergeCell ref="AB996:AI996"/>
    <mergeCell ref="D996:Q996"/>
    <mergeCell ref="R998:AA998"/>
    <mergeCell ref="AJ998:AQ998"/>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B722:F725"/>
    <mergeCell ref="G737:J737"/>
    <mergeCell ref="B734:F734"/>
    <mergeCell ref="B748:F748"/>
    <mergeCell ref="AH745:AJ745"/>
    <mergeCell ref="AH746:AJ746"/>
    <mergeCell ref="AK744:AO744"/>
    <mergeCell ref="AK759:AO759"/>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AC755:AG755"/>
    <mergeCell ref="T760:W760"/>
    <mergeCell ref="O748:S748"/>
    <mergeCell ref="K749:N749"/>
    <mergeCell ref="X748:AB748"/>
    <mergeCell ref="O757:S757"/>
    <mergeCell ref="X759:AB759"/>
    <mergeCell ref="D994:Q994"/>
    <mergeCell ref="AB994:AI994"/>
    <mergeCell ref="U935:Z935"/>
    <mergeCell ref="Y835:AB835"/>
    <mergeCell ref="AG835:AJ835"/>
    <mergeCell ref="C1078:D1078"/>
    <mergeCell ref="C1079:D1079"/>
    <mergeCell ref="C1080:D1080"/>
    <mergeCell ref="C1081:D1081"/>
    <mergeCell ref="C1082:D1082"/>
    <mergeCell ref="C1083:D1083"/>
    <mergeCell ref="O777:S780"/>
    <mergeCell ref="O799:S799"/>
    <mergeCell ref="AE964:AK964"/>
    <mergeCell ref="I959:T959"/>
    <mergeCell ref="AG764:AJ764"/>
    <mergeCell ref="AK757:AO757"/>
    <mergeCell ref="A1079:B1079"/>
    <mergeCell ref="C1098:D1098"/>
    <mergeCell ref="C1092:D1092"/>
    <mergeCell ref="T748:W748"/>
    <mergeCell ref="G749:J749"/>
    <mergeCell ref="O750:S750"/>
    <mergeCell ref="U929:Z929"/>
    <mergeCell ref="W869:AC869"/>
    <mergeCell ref="I1057:J1057"/>
    <mergeCell ref="I1061:J1061"/>
    <mergeCell ref="AG1058:AH1058"/>
    <mergeCell ref="AG1034:AH1034"/>
    <mergeCell ref="AA982:AG982"/>
    <mergeCell ref="R994:AA994"/>
    <mergeCell ref="A988:AT990"/>
    <mergeCell ref="AJ994:AQ994"/>
    <mergeCell ref="AJ1022:AQ1024"/>
    <mergeCell ref="AJ1025:AQ1028"/>
    <mergeCell ref="D1055:AE1056"/>
    <mergeCell ref="D1016:AE1016"/>
    <mergeCell ref="D1022:AE1022"/>
    <mergeCell ref="A1103:B1103"/>
    <mergeCell ref="D1062:AI1062"/>
    <mergeCell ref="D1058:AE1058"/>
    <mergeCell ref="D1059:AE1060"/>
    <mergeCell ref="X1057:Y1057"/>
    <mergeCell ref="X1061:Y1061"/>
    <mergeCell ref="G758:J758"/>
    <mergeCell ref="G759:J759"/>
    <mergeCell ref="K750:N750"/>
    <mergeCell ref="B752:F752"/>
    <mergeCell ref="B753:F753"/>
    <mergeCell ref="AJ1054:AQ1057"/>
    <mergeCell ref="E1109:AR1110"/>
    <mergeCell ref="C1086:D1086"/>
    <mergeCell ref="C1087:D1087"/>
    <mergeCell ref="B755:F755"/>
    <mergeCell ref="B756:F756"/>
    <mergeCell ref="M980:S980"/>
    <mergeCell ref="D1011:AE1015"/>
    <mergeCell ref="D1020:AE1020"/>
    <mergeCell ref="D1021:AE1021"/>
    <mergeCell ref="C1091:D1091"/>
    <mergeCell ref="C1096:D1096"/>
    <mergeCell ref="C1097:D1097"/>
    <mergeCell ref="C1099:D1099"/>
    <mergeCell ref="C1100:D1100"/>
    <mergeCell ref="A1074:B1074"/>
    <mergeCell ref="A1076:B1076"/>
    <mergeCell ref="C1074:D1074"/>
    <mergeCell ref="C1075:D1075"/>
    <mergeCell ref="C1076:D107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C1084:D1084"/>
    <mergeCell ref="C1085:D1085"/>
    <mergeCell ref="A1098:B1098"/>
    <mergeCell ref="A1094:B1094"/>
    <mergeCell ref="A1090:B1090"/>
    <mergeCell ref="A1084:B1084"/>
    <mergeCell ref="C1088:D1088"/>
    <mergeCell ref="C1089:D1089"/>
    <mergeCell ref="C1090:D1090"/>
    <mergeCell ref="C1093:D1093"/>
    <mergeCell ref="C1094:D1094"/>
    <mergeCell ref="C1077:D107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workbookViewId="0">
      <selection activeCell="S97" sqref="S9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6" t="s">
        <v>621</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2)Stephen Siller Tunnel to Tower Foundation</v>
      </c>
      <c r="H2" s="139" t="str">
        <f>Application!B637&amp;Application!C637</f>
        <v>3)Stephen Siller Tunnel to Tower Foundation</v>
      </c>
      <c r="I2" s="139" t="str">
        <f>Application!B638&amp;Application!C638</f>
        <v>4)The Home Depot Foundation</v>
      </c>
      <c r="J2" s="139" t="str">
        <f>Application!B639&amp;Application!C639</f>
        <v>5)R4 Capital - Historic Tax Credits</v>
      </c>
      <c r="K2" s="139" t="str">
        <f>Application!B640&amp;Application!C640</f>
        <v>6)U.S.VETS Housing Corporation</v>
      </c>
      <c r="L2" s="139" t="str">
        <f>Application!B641&amp;Application!C641</f>
        <v>7)Commercial Income Loan</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f>C29</f>
        <v>0</v>
      </c>
      <c r="T29" s="147"/>
      <c r="U29" s="143"/>
    </row>
    <row r="30" spans="1:21" s="144" customFormat="1">
      <c r="A30" s="145" t="s">
        <v>599</v>
      </c>
      <c r="B30" s="146">
        <f t="shared" si="6"/>
        <v>13831846</v>
      </c>
      <c r="C30" s="147">
        <f>13654308+177538</f>
        <v>13831846</v>
      </c>
      <c r="D30" s="147"/>
      <c r="E30" s="147">
        <f t="shared" ref="E30:E36" si="8">C30-SUM(F30:P30)</f>
        <v>975834</v>
      </c>
      <c r="F30" s="147"/>
      <c r="G30" s="147">
        <v>3000000</v>
      </c>
      <c r="H30" s="147">
        <f>H108</f>
        <v>875000</v>
      </c>
      <c r="I30" s="147">
        <f>I108</f>
        <v>875000</v>
      </c>
      <c r="J30" s="147">
        <f>J108</f>
        <v>8106012</v>
      </c>
      <c r="K30" s="147"/>
      <c r="L30" s="147"/>
      <c r="M30" s="147"/>
      <c r="N30" s="147"/>
      <c r="O30" s="147"/>
      <c r="P30" s="147"/>
      <c r="Q30" s="147"/>
      <c r="R30" s="516">
        <f t="shared" si="7"/>
        <v>13831846</v>
      </c>
      <c r="S30" s="147">
        <f>13654308+177538</f>
        <v>13831846</v>
      </c>
      <c r="T30" s="147"/>
      <c r="U30" s="143"/>
    </row>
    <row r="31" spans="1:21" s="144" customFormat="1">
      <c r="A31" s="145" t="s">
        <v>600</v>
      </c>
      <c r="B31" s="146">
        <f t="shared" si="6"/>
        <v>749870</v>
      </c>
      <c r="C31" s="147">
        <v>749870</v>
      </c>
      <c r="D31" s="147"/>
      <c r="E31" s="147">
        <f t="shared" si="8"/>
        <v>749870</v>
      </c>
      <c r="F31" s="147"/>
      <c r="G31" s="147"/>
      <c r="H31" s="147"/>
      <c r="I31" s="147"/>
      <c r="J31" s="147"/>
      <c r="K31" s="147"/>
      <c r="L31" s="147"/>
      <c r="M31" s="147"/>
      <c r="N31" s="147"/>
      <c r="O31" s="147"/>
      <c r="P31" s="147"/>
      <c r="Q31" s="147"/>
      <c r="R31" s="516">
        <f t="shared" si="7"/>
        <v>749870</v>
      </c>
      <c r="S31" s="147">
        <f>C31</f>
        <v>749870</v>
      </c>
      <c r="T31" s="147"/>
      <c r="U31" s="143"/>
    </row>
    <row r="32" spans="1:21" s="144" customFormat="1">
      <c r="A32" s="145" t="s">
        <v>137</v>
      </c>
      <c r="B32" s="146">
        <f t="shared" si="6"/>
        <v>257577</v>
      </c>
      <c r="C32" s="147">
        <v>257577</v>
      </c>
      <c r="D32" s="147"/>
      <c r="E32" s="147">
        <f t="shared" si="8"/>
        <v>257577</v>
      </c>
      <c r="F32" s="147"/>
      <c r="G32" s="147"/>
      <c r="H32" s="147"/>
      <c r="I32" s="147"/>
      <c r="J32" s="147"/>
      <c r="K32" s="147"/>
      <c r="L32" s="147"/>
      <c r="M32" s="147"/>
      <c r="N32" s="147"/>
      <c r="O32" s="147"/>
      <c r="P32" s="147"/>
      <c r="Q32" s="147"/>
      <c r="R32" s="516">
        <f t="shared" si="7"/>
        <v>257577</v>
      </c>
      <c r="S32" s="147">
        <f>C32</f>
        <v>257577</v>
      </c>
      <c r="T32" s="147"/>
      <c r="U32" s="143"/>
    </row>
    <row r="33" spans="1:21" s="144" customFormat="1">
      <c r="A33" s="145" t="s">
        <v>138</v>
      </c>
      <c r="B33" s="146">
        <f t="shared" si="6"/>
        <v>648149</v>
      </c>
      <c r="C33" s="147">
        <f>905726-C32</f>
        <v>648149</v>
      </c>
      <c r="D33" s="147"/>
      <c r="E33" s="147">
        <f t="shared" si="8"/>
        <v>648149</v>
      </c>
      <c r="F33" s="147"/>
      <c r="G33" s="147"/>
      <c r="H33" s="147"/>
      <c r="I33" s="147"/>
      <c r="J33" s="147"/>
      <c r="K33" s="147"/>
      <c r="L33" s="147"/>
      <c r="M33" s="147"/>
      <c r="N33" s="147"/>
      <c r="O33" s="147"/>
      <c r="P33" s="147"/>
      <c r="Q33" s="147"/>
      <c r="R33" s="516">
        <f t="shared" si="7"/>
        <v>648149</v>
      </c>
      <c r="S33" s="147">
        <f>C33</f>
        <v>648149</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215063</v>
      </c>
      <c r="C35" s="147">
        <v>215063</v>
      </c>
      <c r="D35" s="147"/>
      <c r="E35" s="147">
        <f t="shared" si="8"/>
        <v>215063</v>
      </c>
      <c r="F35" s="147"/>
      <c r="G35" s="147"/>
      <c r="H35" s="147"/>
      <c r="I35" s="147"/>
      <c r="J35" s="147"/>
      <c r="K35" s="147"/>
      <c r="L35" s="147"/>
      <c r="M35" s="147"/>
      <c r="N35" s="147"/>
      <c r="O35" s="147"/>
      <c r="P35" s="147"/>
      <c r="Q35" s="147"/>
      <c r="R35" s="516">
        <f t="shared" si="7"/>
        <v>215063</v>
      </c>
      <c r="S35" s="147">
        <f>C35</f>
        <v>215063</v>
      </c>
      <c r="T35" s="147"/>
      <c r="U35" s="143"/>
    </row>
    <row r="36" spans="1:21" s="144" customFormat="1">
      <c r="A36" s="283" t="s">
        <v>1629</v>
      </c>
      <c r="B36" s="146">
        <f t="shared" si="6"/>
        <v>250000</v>
      </c>
      <c r="C36" s="147">
        <v>250000</v>
      </c>
      <c r="D36" s="147"/>
      <c r="E36" s="147">
        <f t="shared" si="8"/>
        <v>250000</v>
      </c>
      <c r="F36" s="147"/>
      <c r="G36" s="147"/>
      <c r="H36" s="147"/>
      <c r="I36" s="147"/>
      <c r="J36" s="147"/>
      <c r="K36" s="147"/>
      <c r="L36" s="147"/>
      <c r="M36" s="147"/>
      <c r="N36" s="147"/>
      <c r="O36" s="147"/>
      <c r="P36" s="147"/>
      <c r="Q36" s="147"/>
      <c r="R36" s="516">
        <f t="shared" si="7"/>
        <v>250000</v>
      </c>
      <c r="S36" s="147">
        <f>C36</f>
        <v>250000</v>
      </c>
      <c r="T36" s="147"/>
      <c r="U36" s="143"/>
    </row>
    <row r="37" spans="1:21" s="144" customFormat="1">
      <c r="A37" s="1143" t="s">
        <v>2759</v>
      </c>
      <c r="B37" s="146">
        <f t="shared" si="6"/>
        <v>22144154</v>
      </c>
      <c r="C37" s="147"/>
      <c r="D37" s="147">
        <f>18634653+2795198+289303+250000+175000</f>
        <v>22144154</v>
      </c>
      <c r="E37" s="147"/>
      <c r="F37" s="147"/>
      <c r="G37" s="147"/>
      <c r="H37" s="147"/>
      <c r="I37" s="147"/>
      <c r="J37" s="147"/>
      <c r="K37" s="147"/>
      <c r="L37" s="147">
        <f>L108</f>
        <v>22144154</v>
      </c>
      <c r="M37" s="147"/>
      <c r="N37" s="147"/>
      <c r="O37" s="147"/>
      <c r="P37" s="147"/>
      <c r="Q37" s="147"/>
      <c r="R37" s="516">
        <f t="shared" si="7"/>
        <v>22144154</v>
      </c>
      <c r="S37" s="147"/>
      <c r="T37" s="147"/>
      <c r="U37" s="143"/>
    </row>
    <row r="38" spans="1:21" s="144" customFormat="1">
      <c r="A38" s="149" t="s">
        <v>143</v>
      </c>
      <c r="B38" s="146">
        <f t="shared" si="6"/>
        <v>38096659</v>
      </c>
      <c r="C38" s="146">
        <f>SUM(C29:C37)</f>
        <v>15952505</v>
      </c>
      <c r="D38" s="146">
        <f t="shared" ref="D38:Q38" si="9">SUM(D29:D37)</f>
        <v>22144154</v>
      </c>
      <c r="E38" s="146">
        <f t="shared" si="9"/>
        <v>3096493</v>
      </c>
      <c r="F38" s="146">
        <f t="shared" si="9"/>
        <v>0</v>
      </c>
      <c r="G38" s="146">
        <f t="shared" si="9"/>
        <v>3000000</v>
      </c>
      <c r="H38" s="146">
        <f t="shared" si="9"/>
        <v>875000</v>
      </c>
      <c r="I38" s="146">
        <f t="shared" si="9"/>
        <v>875000</v>
      </c>
      <c r="J38" s="146">
        <f t="shared" si="9"/>
        <v>8106012</v>
      </c>
      <c r="K38" s="146">
        <f t="shared" si="9"/>
        <v>0</v>
      </c>
      <c r="L38" s="146">
        <f t="shared" si="9"/>
        <v>22144154</v>
      </c>
      <c r="M38" s="146">
        <f t="shared" si="9"/>
        <v>0</v>
      </c>
      <c r="N38" s="146">
        <f t="shared" si="9"/>
        <v>0</v>
      </c>
      <c r="O38" s="146">
        <f t="shared" si="9"/>
        <v>0</v>
      </c>
      <c r="P38" s="146">
        <f t="shared" si="9"/>
        <v>0</v>
      </c>
      <c r="Q38" s="146">
        <f t="shared" si="9"/>
        <v>0</v>
      </c>
      <c r="R38" s="342">
        <f>SUM(R29:R37)</f>
        <v>38096659</v>
      </c>
      <c r="S38" s="150">
        <f>SUM(S29:S37)</f>
        <v>15952505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f t="shared" ref="E40:E41" si="10">C40-SUM(F40:P40)</f>
        <v>700000</v>
      </c>
      <c r="F40" s="147"/>
      <c r="G40" s="147"/>
      <c r="H40" s="147"/>
      <c r="I40" s="147"/>
      <c r="J40" s="147"/>
      <c r="K40" s="147"/>
      <c r="L40" s="147"/>
      <c r="M40" s="147"/>
      <c r="N40" s="147"/>
      <c r="O40" s="147"/>
      <c r="P40" s="147"/>
      <c r="Q40" s="147"/>
      <c r="R40" s="516">
        <f>SUM(E40:Q40)</f>
        <v>700000</v>
      </c>
      <c r="S40" s="147">
        <f>C40</f>
        <v>700000</v>
      </c>
      <c r="T40" s="147"/>
      <c r="U40" s="143"/>
    </row>
    <row r="41" spans="1:21" s="144" customFormat="1">
      <c r="A41" s="145" t="s">
        <v>146</v>
      </c>
      <c r="B41" s="146">
        <f>SUM(C41+D41)</f>
        <v>250000</v>
      </c>
      <c r="C41" s="147">
        <v>250000</v>
      </c>
      <c r="D41" s="147"/>
      <c r="E41" s="147">
        <f t="shared" si="10"/>
        <v>250000</v>
      </c>
      <c r="F41" s="147"/>
      <c r="G41" s="147"/>
      <c r="H41" s="147"/>
      <c r="I41" s="147"/>
      <c r="J41" s="147"/>
      <c r="K41" s="147"/>
      <c r="L41" s="147"/>
      <c r="M41" s="147"/>
      <c r="N41" s="147"/>
      <c r="O41" s="147"/>
      <c r="P41" s="147"/>
      <c r="Q41" s="147"/>
      <c r="R41" s="516">
        <f>SUM(E41:Q41)</f>
        <v>250000</v>
      </c>
      <c r="S41" s="147">
        <f>C41</f>
        <v>250000</v>
      </c>
      <c r="T41" s="147"/>
      <c r="U41" s="143"/>
    </row>
    <row r="42" spans="1:21" s="144" customFormat="1">
      <c r="A42" s="149" t="s">
        <v>147</v>
      </c>
      <c r="B42" s="146">
        <f>SUM(C42:D42)</f>
        <v>950000</v>
      </c>
      <c r="C42" s="146">
        <f>SUM(C39:C41)</f>
        <v>950000</v>
      </c>
      <c r="D42" s="146">
        <f>SUM(D39:D41)</f>
        <v>0</v>
      </c>
      <c r="E42" s="146">
        <f t="shared" ref="E42:T42" si="11">SUM(E40:E41)</f>
        <v>950000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950000</v>
      </c>
      <c r="S42" s="150">
        <f t="shared" si="11"/>
        <v>950000</v>
      </c>
      <c r="T42" s="150">
        <f t="shared" si="11"/>
        <v>0</v>
      </c>
      <c r="U42" s="143"/>
    </row>
    <row r="43" spans="1:21" s="144" customFormat="1">
      <c r="A43" s="149" t="s">
        <v>148</v>
      </c>
      <c r="B43" s="146">
        <f>SUM(C43:D43)</f>
        <v>2250000</v>
      </c>
      <c r="C43" s="147">
        <v>2250000</v>
      </c>
      <c r="D43" s="147"/>
      <c r="E43" s="147">
        <f>C43-SUM(F43:P43)</f>
        <v>500000</v>
      </c>
      <c r="F43" s="147">
        <v>250000</v>
      </c>
      <c r="G43" s="147">
        <v>1500000</v>
      </c>
      <c r="H43" s="147"/>
      <c r="I43" s="147"/>
      <c r="J43" s="147"/>
      <c r="K43" s="147"/>
      <c r="L43" s="147"/>
      <c r="M43" s="147"/>
      <c r="N43" s="147"/>
      <c r="O43" s="147"/>
      <c r="P43" s="147"/>
      <c r="Q43" s="147"/>
      <c r="R43" s="516">
        <f>SUM(E43:Q43)</f>
        <v>2250000</v>
      </c>
      <c r="S43" s="147">
        <f>C43</f>
        <v>2250000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2005601</v>
      </c>
      <c r="C45" s="147">
        <v>2005601</v>
      </c>
      <c r="D45" s="147"/>
      <c r="E45" s="147">
        <f t="shared" ref="E45:E50" si="13">C45-SUM(F45:P45)</f>
        <v>5601</v>
      </c>
      <c r="F45" s="147">
        <v>2000000</v>
      </c>
      <c r="G45" s="147"/>
      <c r="H45" s="147"/>
      <c r="I45" s="147"/>
      <c r="J45" s="147"/>
      <c r="K45" s="147"/>
      <c r="L45" s="147"/>
      <c r="M45" s="147"/>
      <c r="N45" s="147"/>
      <c r="O45" s="147"/>
      <c r="P45" s="147"/>
      <c r="Q45" s="147"/>
      <c r="R45" s="516">
        <f t="shared" ref="R45:R53" si="14">SUM(E45:Q45)</f>
        <v>2005601</v>
      </c>
      <c r="S45" s="147">
        <f>1387855+1</f>
        <v>1387856</v>
      </c>
      <c r="T45" s="147"/>
      <c r="U45" s="143"/>
    </row>
    <row r="46" spans="1:21" s="144" customFormat="1">
      <c r="A46" s="145" t="s">
        <v>151</v>
      </c>
      <c r="B46" s="146">
        <f t="shared" si="12"/>
        <v>237267</v>
      </c>
      <c r="C46" s="147">
        <v>237267</v>
      </c>
      <c r="D46" s="147"/>
      <c r="E46" s="147">
        <f t="shared" si="13"/>
        <v>237267</v>
      </c>
      <c r="F46" s="147"/>
      <c r="G46" s="147"/>
      <c r="H46" s="147"/>
      <c r="I46" s="147"/>
      <c r="J46" s="147"/>
      <c r="K46" s="147"/>
      <c r="L46" s="147"/>
      <c r="M46" s="147"/>
      <c r="N46" s="147"/>
      <c r="O46" s="147"/>
      <c r="P46" s="147"/>
      <c r="Q46" s="147"/>
      <c r="R46" s="516">
        <f t="shared" si="14"/>
        <v>237267</v>
      </c>
      <c r="S46" s="147">
        <v>164186</v>
      </c>
      <c r="T46" s="147"/>
      <c r="U46" s="143"/>
    </row>
    <row r="47" spans="1:21" s="144" customFormat="1">
      <c r="A47" s="186" t="s">
        <v>152</v>
      </c>
      <c r="B47" s="146">
        <f t="shared" si="12"/>
        <v>0</v>
      </c>
      <c r="C47" s="147"/>
      <c r="D47" s="147"/>
      <c r="E47" s="147">
        <f t="shared" si="13"/>
        <v>0</v>
      </c>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274156</v>
      </c>
      <c r="C48" s="147">
        <v>274156</v>
      </c>
      <c r="D48" s="147"/>
      <c r="E48" s="147">
        <f t="shared" si="13"/>
        <v>274156</v>
      </c>
      <c r="F48" s="147"/>
      <c r="G48" s="147"/>
      <c r="H48" s="147"/>
      <c r="I48" s="147"/>
      <c r="J48" s="147"/>
      <c r="K48" s="147"/>
      <c r="L48" s="147"/>
      <c r="M48" s="147"/>
      <c r="N48" s="147"/>
      <c r="O48" s="147"/>
      <c r="P48" s="147"/>
      <c r="Q48" s="147"/>
      <c r="R48" s="516">
        <f t="shared" si="14"/>
        <v>274156</v>
      </c>
      <c r="S48" s="147">
        <f>C48</f>
        <v>274156</v>
      </c>
      <c r="T48" s="147"/>
      <c r="U48" s="143"/>
    </row>
    <row r="49" spans="1:21" s="144" customFormat="1">
      <c r="A49" s="145" t="s">
        <v>57</v>
      </c>
      <c r="B49" s="146">
        <f t="shared" si="12"/>
        <v>290000</v>
      </c>
      <c r="C49" s="147">
        <f>50000+40000+200000</f>
        <v>290000</v>
      </c>
      <c r="D49" s="147"/>
      <c r="E49" s="147">
        <f t="shared" si="13"/>
        <v>290000</v>
      </c>
      <c r="F49" s="147"/>
      <c r="G49" s="147"/>
      <c r="H49" s="147"/>
      <c r="I49" s="147"/>
      <c r="J49" s="147"/>
      <c r="K49" s="147"/>
      <c r="L49" s="147"/>
      <c r="M49" s="147"/>
      <c r="N49" s="147"/>
      <c r="O49" s="147"/>
      <c r="P49" s="147"/>
      <c r="Q49" s="147"/>
      <c r="R49" s="516">
        <f t="shared" si="14"/>
        <v>290000</v>
      </c>
      <c r="S49" s="147"/>
      <c r="T49" s="147"/>
      <c r="U49" s="143"/>
    </row>
    <row r="50" spans="1:21" s="144" customFormat="1">
      <c r="A50" s="145" t="s">
        <v>156</v>
      </c>
      <c r="B50" s="146">
        <f t="shared" si="12"/>
        <v>50000</v>
      </c>
      <c r="C50" s="147">
        <v>50000</v>
      </c>
      <c r="D50" s="147"/>
      <c r="E50" s="147">
        <f t="shared" si="13"/>
        <v>50000</v>
      </c>
      <c r="F50" s="147"/>
      <c r="G50" s="147"/>
      <c r="H50" s="147"/>
      <c r="I50" s="147"/>
      <c r="J50" s="147"/>
      <c r="K50" s="147"/>
      <c r="L50" s="147"/>
      <c r="M50" s="147"/>
      <c r="N50" s="147"/>
      <c r="O50" s="147"/>
      <c r="P50" s="147"/>
      <c r="Q50" s="147"/>
      <c r="R50" s="516">
        <f t="shared" si="14"/>
        <v>50000</v>
      </c>
      <c r="S50" s="147">
        <v>25000</v>
      </c>
      <c r="T50" s="147"/>
      <c r="U50" s="143"/>
    </row>
    <row r="51" spans="1:21" s="144" customFormat="1">
      <c r="A51" s="283" t="s">
        <v>154</v>
      </c>
      <c r="B51" s="146">
        <f t="shared" si="12"/>
        <v>0</v>
      </c>
      <c r="C51" s="147"/>
      <c r="D51" s="147"/>
      <c r="E51" s="147"/>
      <c r="F51" s="147"/>
      <c r="G51" s="147"/>
      <c r="H51" s="147"/>
      <c r="I51" s="147"/>
      <c r="J51" s="147"/>
      <c r="K51" s="147"/>
      <c r="L51" s="147"/>
      <c r="M51" s="147"/>
      <c r="N51" s="147"/>
      <c r="O51" s="147"/>
      <c r="P51" s="147"/>
      <c r="Q51" s="147"/>
      <c r="R51" s="516">
        <f t="shared" si="14"/>
        <v>0</v>
      </c>
      <c r="S51" s="147"/>
      <c r="T51" s="147"/>
      <c r="U51" s="143"/>
    </row>
    <row r="52" spans="1:21" s="144" customFormat="1">
      <c r="A52" s="145" t="s">
        <v>155</v>
      </c>
      <c r="B52" s="146">
        <f t="shared" si="12"/>
        <v>314050</v>
      </c>
      <c r="C52" s="147">
        <f>289303*0+314050</f>
        <v>314050</v>
      </c>
      <c r="D52" s="147"/>
      <c r="E52" s="147">
        <f>C52-SUM(F52:P52)</f>
        <v>314050</v>
      </c>
      <c r="F52" s="147"/>
      <c r="G52" s="147"/>
      <c r="H52" s="147"/>
      <c r="I52" s="147"/>
      <c r="J52" s="147"/>
      <c r="K52" s="147"/>
      <c r="L52" s="147"/>
      <c r="M52" s="147"/>
      <c r="N52" s="147"/>
      <c r="O52" s="147"/>
      <c r="P52" s="147"/>
      <c r="Q52" s="147"/>
      <c r="R52" s="516">
        <f t="shared" si="14"/>
        <v>314050</v>
      </c>
      <c r="S52" s="147">
        <v>314050</v>
      </c>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c r="A54" s="149" t="s">
        <v>157</v>
      </c>
      <c r="B54" s="150">
        <f>SUM(C54:D54)</f>
        <v>3171074</v>
      </c>
      <c r="C54" s="150">
        <f t="shared" ref="C54:T54" si="15">SUM(C45:C53)</f>
        <v>3171074</v>
      </c>
      <c r="D54" s="150">
        <f t="shared" si="15"/>
        <v>0</v>
      </c>
      <c r="E54" s="150">
        <f t="shared" si="15"/>
        <v>1171074</v>
      </c>
      <c r="F54" s="150">
        <f t="shared" si="15"/>
        <v>2000000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3171074</v>
      </c>
      <c r="S54" s="150">
        <f t="shared" si="15"/>
        <v>2165248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39239</v>
      </c>
      <c r="C56" s="147">
        <v>39239</v>
      </c>
      <c r="D56" s="147"/>
      <c r="E56" s="147">
        <f>C56-SUM(F56:P56)</f>
        <v>39239</v>
      </c>
      <c r="F56" s="147"/>
      <c r="G56" s="147"/>
      <c r="H56" s="147"/>
      <c r="I56" s="147"/>
      <c r="J56" s="147"/>
      <c r="K56" s="147"/>
      <c r="L56" s="147"/>
      <c r="M56" s="147"/>
      <c r="N56" s="147"/>
      <c r="O56" s="147"/>
      <c r="P56" s="147"/>
      <c r="Q56" s="147"/>
      <c r="R56" s="516">
        <f t="shared" ref="R56:R61" si="17">SUM(E56:Q56)</f>
        <v>39239</v>
      </c>
      <c r="S56" s="148"/>
      <c r="T56" s="148"/>
      <c r="U56" s="143"/>
    </row>
    <row r="57" spans="1:21" s="192" customFormat="1">
      <c r="A57" s="186" t="s">
        <v>152</v>
      </c>
      <c r="B57" s="193">
        <f t="shared" si="16"/>
        <v>25000</v>
      </c>
      <c r="C57" s="190">
        <v>25000</v>
      </c>
      <c r="D57" s="190"/>
      <c r="E57" s="190">
        <f>C57-SUM(F57:P57)</f>
        <v>25000</v>
      </c>
      <c r="F57" s="190"/>
      <c r="G57" s="190"/>
      <c r="H57" s="190"/>
      <c r="I57" s="190"/>
      <c r="J57" s="190"/>
      <c r="K57" s="190"/>
      <c r="L57" s="190"/>
      <c r="M57" s="190"/>
      <c r="N57" s="190"/>
      <c r="O57" s="190"/>
      <c r="P57" s="190"/>
      <c r="Q57" s="190"/>
      <c r="R57" s="516">
        <f t="shared" si="17"/>
        <v>25000</v>
      </c>
      <c r="S57" s="194"/>
      <c r="T57" s="194"/>
      <c r="U57" s="191"/>
    </row>
    <row r="58" spans="1:21" s="144" customFormat="1">
      <c r="A58" s="145" t="s">
        <v>156</v>
      </c>
      <c r="B58" s="146">
        <f t="shared" si="16"/>
        <v>10000</v>
      </c>
      <c r="C58" s="147">
        <v>10000</v>
      </c>
      <c r="D58" s="147"/>
      <c r="E58" s="147">
        <f>C58-SUM(F58:P58)</f>
        <v>10000</v>
      </c>
      <c r="F58" s="147"/>
      <c r="G58" s="147"/>
      <c r="H58" s="147"/>
      <c r="I58" s="147"/>
      <c r="J58" s="147"/>
      <c r="K58" s="147"/>
      <c r="L58" s="147"/>
      <c r="M58" s="147"/>
      <c r="N58" s="147"/>
      <c r="O58" s="147"/>
      <c r="P58" s="147"/>
      <c r="Q58" s="147"/>
      <c r="R58" s="516">
        <f t="shared" si="17"/>
        <v>10000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2749</v>
      </c>
      <c r="B61" s="146">
        <f t="shared" si="16"/>
        <v>196875</v>
      </c>
      <c r="C61" s="147">
        <v>196875</v>
      </c>
      <c r="D61" s="147"/>
      <c r="E61" s="147">
        <f>C61-SUM(F61:P61)</f>
        <v>196875</v>
      </c>
      <c r="F61" s="147"/>
      <c r="G61" s="147"/>
      <c r="H61" s="147"/>
      <c r="I61" s="147"/>
      <c r="J61" s="147"/>
      <c r="K61" s="147"/>
      <c r="L61" s="147"/>
      <c r="M61" s="147"/>
      <c r="N61" s="147"/>
      <c r="O61" s="147"/>
      <c r="P61" s="147"/>
      <c r="Q61" s="147"/>
      <c r="R61" s="516">
        <f t="shared" si="17"/>
        <v>196875</v>
      </c>
      <c r="S61" s="148"/>
      <c r="T61" s="148"/>
      <c r="U61" s="143"/>
    </row>
    <row r="62" spans="1:21" s="144" customFormat="1" ht="13.7" customHeight="1">
      <c r="A62" s="149" t="s">
        <v>301</v>
      </c>
      <c r="B62" s="146">
        <f>SUM(C62:D62)</f>
        <v>271114</v>
      </c>
      <c r="C62" s="146">
        <f t="shared" ref="C62:R62" si="18">SUM(C56:C61)</f>
        <v>271114</v>
      </c>
      <c r="D62" s="146">
        <f t="shared" si="18"/>
        <v>0</v>
      </c>
      <c r="E62" s="146">
        <f t="shared" si="18"/>
        <v>271114</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271114</v>
      </c>
      <c r="S62" s="148"/>
      <c r="T62" s="148"/>
      <c r="U62" s="143"/>
    </row>
    <row r="63" spans="1:21" s="144" customFormat="1">
      <c r="A63" s="154" t="s">
        <v>302</v>
      </c>
      <c r="B63" s="146">
        <f t="shared" ref="B63:R63" si="19">SUM(B8+B11+B13+B14+B15+B26+B27+B38+B42+B43+B54+B62)</f>
        <v>44738847</v>
      </c>
      <c r="C63" s="146">
        <f t="shared" si="19"/>
        <v>22594693</v>
      </c>
      <c r="D63" s="146">
        <f t="shared" si="19"/>
        <v>22144154</v>
      </c>
      <c r="E63" s="146">
        <f t="shared" si="19"/>
        <v>5988681</v>
      </c>
      <c r="F63" s="146">
        <f t="shared" si="19"/>
        <v>2250000</v>
      </c>
      <c r="G63" s="146">
        <f t="shared" si="19"/>
        <v>4500000</v>
      </c>
      <c r="H63" s="146">
        <f t="shared" si="19"/>
        <v>875000</v>
      </c>
      <c r="I63" s="146">
        <f t="shared" si="19"/>
        <v>875000</v>
      </c>
      <c r="J63" s="146">
        <f t="shared" si="19"/>
        <v>8106012</v>
      </c>
      <c r="K63" s="146">
        <f t="shared" si="19"/>
        <v>0</v>
      </c>
      <c r="L63" s="146">
        <f t="shared" si="19"/>
        <v>22144154</v>
      </c>
      <c r="M63" s="146">
        <f t="shared" si="19"/>
        <v>0</v>
      </c>
      <c r="N63" s="146">
        <f t="shared" si="19"/>
        <v>0</v>
      </c>
      <c r="O63" s="146">
        <f t="shared" si="19"/>
        <v>0</v>
      </c>
      <c r="P63" s="146">
        <f t="shared" si="19"/>
        <v>0</v>
      </c>
      <c r="Q63" s="146">
        <f t="shared" si="19"/>
        <v>0</v>
      </c>
      <c r="R63" s="342">
        <f t="shared" si="19"/>
        <v>44738847</v>
      </c>
      <c r="S63" s="146">
        <f>SUM(S10+S13+S14+S15+S26+S27+S38+S42+S43+S54)</f>
        <v>21317753</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260000</v>
      </c>
      <c r="C65" s="147">
        <f>80000+15000+60000+55000+20000+30000</f>
        <v>260000</v>
      </c>
      <c r="D65" s="147"/>
      <c r="E65" s="147">
        <f t="shared" ref="E65:E66" si="20">C65-SUM(F65:P65)</f>
        <v>260000</v>
      </c>
      <c r="F65" s="147"/>
      <c r="G65" s="147"/>
      <c r="H65" s="147"/>
      <c r="I65" s="147"/>
      <c r="J65" s="147"/>
      <c r="K65" s="147"/>
      <c r="L65" s="147"/>
      <c r="M65" s="147"/>
      <c r="N65" s="147"/>
      <c r="O65" s="147"/>
      <c r="P65" s="147"/>
      <c r="Q65" s="147"/>
      <c r="R65" s="516">
        <f>SUM(E65:Q65)</f>
        <v>260000</v>
      </c>
      <c r="S65" s="147">
        <f>55000+20000+55359</f>
        <v>130359</v>
      </c>
      <c r="T65" s="147"/>
      <c r="U65" s="143"/>
    </row>
    <row r="66" spans="1:21" s="144" customFormat="1" ht="24" customHeight="1">
      <c r="A66" s="283" t="s">
        <v>1630</v>
      </c>
      <c r="B66" s="146">
        <f>SUM(C66+D66)</f>
        <v>250000</v>
      </c>
      <c r="C66" s="147">
        <v>250000</v>
      </c>
      <c r="D66" s="147"/>
      <c r="E66" s="147">
        <f t="shared" si="20"/>
        <v>250000</v>
      </c>
      <c r="F66" s="147"/>
      <c r="G66" s="147"/>
      <c r="H66" s="147"/>
      <c r="I66" s="147"/>
      <c r="J66" s="147"/>
      <c r="K66" s="147"/>
      <c r="L66" s="147"/>
      <c r="M66" s="147"/>
      <c r="N66" s="147"/>
      <c r="O66" s="147"/>
      <c r="P66" s="147"/>
      <c r="Q66" s="147"/>
      <c r="R66" s="516">
        <f>SUM(E66:Q66)</f>
        <v>250000</v>
      </c>
      <c r="S66" s="147">
        <f>C66</f>
        <v>250000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510000</v>
      </c>
      <c r="C70" s="146">
        <f>SUM(C65:C69)</f>
        <v>510000</v>
      </c>
      <c r="D70" s="146">
        <f>SUM(D65:D69)</f>
        <v>0</v>
      </c>
      <c r="E70" s="146">
        <f t="shared" ref="E70:T70" si="21">SUM(E65:E69)</f>
        <v>510000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510000</v>
      </c>
      <c r="S70" s="150">
        <f t="shared" si="21"/>
        <v>380359</v>
      </c>
      <c r="T70" s="150">
        <f t="shared" si="21"/>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129965</v>
      </c>
      <c r="C75" s="147">
        <v>129965</v>
      </c>
      <c r="D75" s="147"/>
      <c r="E75" s="147">
        <f>C75-SUM(F75:P75)</f>
        <v>129965</v>
      </c>
      <c r="F75" s="147"/>
      <c r="G75" s="147"/>
      <c r="H75" s="147"/>
      <c r="I75" s="147"/>
      <c r="J75" s="147"/>
      <c r="K75" s="147"/>
      <c r="L75" s="147"/>
      <c r="M75" s="147"/>
      <c r="N75" s="147"/>
      <c r="O75" s="147"/>
      <c r="P75" s="147"/>
      <c r="Q75" s="147"/>
      <c r="R75" s="516">
        <f>SUM(E75:Q75)</f>
        <v>129965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129965</v>
      </c>
      <c r="C77" s="146">
        <f>SUM(C72:C76)</f>
        <v>129965</v>
      </c>
      <c r="D77" s="146">
        <f>SUM(D72:D76)</f>
        <v>0</v>
      </c>
      <c r="E77" s="146">
        <f t="shared" ref="E77:Q77" si="22">SUM(E72:E76)</f>
        <v>129965</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129965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1597666</v>
      </c>
      <c r="C79" s="147">
        <v>1597666</v>
      </c>
      <c r="D79" s="147"/>
      <c r="E79" s="147">
        <f t="shared" ref="E79:E80" si="23">C79-SUM(F79:P79)</f>
        <v>97666</v>
      </c>
      <c r="F79" s="147"/>
      <c r="G79" s="147">
        <v>1500000</v>
      </c>
      <c r="H79" s="147"/>
      <c r="I79" s="147"/>
      <c r="J79" s="147"/>
      <c r="K79" s="147"/>
      <c r="L79" s="147"/>
      <c r="M79" s="147"/>
      <c r="N79" s="147"/>
      <c r="O79" s="147"/>
      <c r="P79" s="147"/>
      <c r="Q79" s="147"/>
      <c r="R79" s="516">
        <f>SUM(E79:Q79)</f>
        <v>1597666</v>
      </c>
      <c r="S79" s="147">
        <f>C79</f>
        <v>1597666</v>
      </c>
      <c r="T79" s="147"/>
      <c r="U79" s="143"/>
    </row>
    <row r="80" spans="1:21" s="144" customFormat="1">
      <c r="A80" s="283" t="s">
        <v>58</v>
      </c>
      <c r="B80" s="146">
        <f>SUM(C80:D80)</f>
        <v>300000</v>
      </c>
      <c r="C80" s="147">
        <v>300000</v>
      </c>
      <c r="D80" s="147"/>
      <c r="E80" s="147">
        <f t="shared" si="23"/>
        <v>300000</v>
      </c>
      <c r="F80" s="147"/>
      <c r="G80" s="147"/>
      <c r="H80" s="147"/>
      <c r="I80" s="147"/>
      <c r="J80" s="147"/>
      <c r="K80" s="147"/>
      <c r="L80" s="147"/>
      <c r="M80" s="147"/>
      <c r="N80" s="147"/>
      <c r="O80" s="147"/>
      <c r="P80" s="147"/>
      <c r="Q80" s="147"/>
      <c r="R80" s="516">
        <f>SUM(E80:Q80)</f>
        <v>300000</v>
      </c>
      <c r="S80" s="147">
        <v>150000</v>
      </c>
      <c r="T80" s="147"/>
      <c r="U80" s="143"/>
    </row>
    <row r="81" spans="1:21" s="144" customFormat="1">
      <c r="A81" s="149" t="s">
        <v>1209</v>
      </c>
      <c r="B81" s="146">
        <f>SUM(C81:D81)</f>
        <v>1897666</v>
      </c>
      <c r="C81" s="509">
        <f>SUM(C79:C80)</f>
        <v>1897666</v>
      </c>
      <c r="D81" s="509">
        <f t="shared" ref="D81:T81" si="24">SUM(D79:D80)</f>
        <v>0</v>
      </c>
      <c r="E81" s="509">
        <f t="shared" si="24"/>
        <v>397666</v>
      </c>
      <c r="F81" s="509">
        <f t="shared" si="24"/>
        <v>0</v>
      </c>
      <c r="G81" s="509">
        <f t="shared" si="24"/>
        <v>1500000</v>
      </c>
      <c r="H81" s="509">
        <f t="shared" si="24"/>
        <v>0</v>
      </c>
      <c r="I81" s="509">
        <f t="shared" si="24"/>
        <v>0</v>
      </c>
      <c r="J81" s="509">
        <f t="shared" si="24"/>
        <v>0</v>
      </c>
      <c r="K81" s="509">
        <f t="shared" si="24"/>
        <v>0</v>
      </c>
      <c r="L81" s="509">
        <f t="shared" si="24"/>
        <v>0</v>
      </c>
      <c r="M81" s="509">
        <f t="shared" si="24"/>
        <v>0</v>
      </c>
      <c r="N81" s="509">
        <f t="shared" si="24"/>
        <v>0</v>
      </c>
      <c r="O81" s="509">
        <f t="shared" si="24"/>
        <v>0</v>
      </c>
      <c r="P81" s="509">
        <f t="shared" si="24"/>
        <v>0</v>
      </c>
      <c r="Q81" s="509">
        <f t="shared" si="24"/>
        <v>0</v>
      </c>
      <c r="R81" s="509">
        <f t="shared" si="24"/>
        <v>1897666</v>
      </c>
      <c r="S81" s="509">
        <f t="shared" si="24"/>
        <v>1747666</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5">SUM(C83+D83)</f>
        <v>102312</v>
      </c>
      <c r="C83" s="147">
        <f>1500+9812+33367+16100+70000+1200+3700-33367</f>
        <v>102312</v>
      </c>
      <c r="D83" s="147"/>
      <c r="E83" s="147">
        <f>C83-SUM(F83:P83)</f>
        <v>102312</v>
      </c>
      <c r="F83" s="147"/>
      <c r="G83" s="147"/>
      <c r="H83" s="147"/>
      <c r="I83" s="147"/>
      <c r="J83" s="147"/>
      <c r="K83" s="147"/>
      <c r="L83" s="147"/>
      <c r="M83" s="147"/>
      <c r="N83" s="147"/>
      <c r="O83" s="147"/>
      <c r="P83" s="147"/>
      <c r="Q83" s="147"/>
      <c r="R83" s="516">
        <f t="shared" ref="R83:R95" si="26">SUM(E83:Q83)</f>
        <v>102312</v>
      </c>
      <c r="S83" s="148"/>
      <c r="T83" s="148"/>
      <c r="U83" s="143"/>
    </row>
    <row r="84" spans="1:21" s="144" customFormat="1">
      <c r="A84" s="145" t="s">
        <v>767</v>
      </c>
      <c r="B84" s="146">
        <f t="shared" si="25"/>
        <v>0</v>
      </c>
      <c r="C84" s="147"/>
      <c r="D84" s="147"/>
      <c r="E84" s="147"/>
      <c r="F84" s="147"/>
      <c r="G84" s="147"/>
      <c r="H84" s="147"/>
      <c r="I84" s="147"/>
      <c r="J84" s="147"/>
      <c r="K84" s="147"/>
      <c r="L84" s="147"/>
      <c r="M84" s="147"/>
      <c r="N84" s="147"/>
      <c r="O84" s="147"/>
      <c r="P84" s="147"/>
      <c r="Q84" s="147"/>
      <c r="R84" s="516">
        <f t="shared" si="26"/>
        <v>0</v>
      </c>
      <c r="S84" s="147"/>
      <c r="T84" s="147"/>
      <c r="U84" s="143"/>
    </row>
    <row r="85" spans="1:21" s="144" customFormat="1">
      <c r="A85" s="145" t="s">
        <v>768</v>
      </c>
      <c r="B85" s="146">
        <f t="shared" si="25"/>
        <v>332478</v>
      </c>
      <c r="C85" s="147">
        <v>332478</v>
      </c>
      <c r="D85" s="147"/>
      <c r="E85" s="147">
        <f t="shared" ref="E85:E92" si="27">C85-SUM(F85:P85)</f>
        <v>332478</v>
      </c>
      <c r="F85" s="147"/>
      <c r="G85" s="147"/>
      <c r="H85" s="147"/>
      <c r="I85" s="147"/>
      <c r="J85" s="147"/>
      <c r="K85" s="147"/>
      <c r="L85" s="147"/>
      <c r="M85" s="147"/>
      <c r="N85" s="147"/>
      <c r="O85" s="147"/>
      <c r="P85" s="147"/>
      <c r="Q85" s="147"/>
      <c r="R85" s="516">
        <f t="shared" si="26"/>
        <v>332478</v>
      </c>
      <c r="S85" s="147">
        <f>C85</f>
        <v>332478</v>
      </c>
      <c r="T85" s="147"/>
      <c r="U85" s="143"/>
    </row>
    <row r="86" spans="1:21" s="144" customFormat="1">
      <c r="A86" s="145" t="s">
        <v>769</v>
      </c>
      <c r="B86" s="146">
        <f t="shared" si="25"/>
        <v>332000</v>
      </c>
      <c r="C86" s="147">
        <f>175000*0+132000+200000</f>
        <v>332000</v>
      </c>
      <c r="D86" s="147"/>
      <c r="E86" s="147">
        <f t="shared" si="27"/>
        <v>332000</v>
      </c>
      <c r="F86" s="147"/>
      <c r="G86" s="147"/>
      <c r="H86" s="147"/>
      <c r="I86" s="147"/>
      <c r="J86" s="147"/>
      <c r="K86" s="147"/>
      <c r="L86" s="147"/>
      <c r="M86" s="147"/>
      <c r="N86" s="147"/>
      <c r="O86" s="147"/>
      <c r="P86" s="147"/>
      <c r="Q86" s="147"/>
      <c r="R86" s="516">
        <f t="shared" si="26"/>
        <v>332000</v>
      </c>
      <c r="S86" s="147">
        <f>132000+200000</f>
        <v>332000</v>
      </c>
      <c r="T86" s="147"/>
      <c r="U86" s="143"/>
    </row>
    <row r="87" spans="1:21" s="144" customFormat="1">
      <c r="A87" s="145" t="s">
        <v>770</v>
      </c>
      <c r="B87" s="146">
        <f t="shared" si="25"/>
        <v>146400</v>
      </c>
      <c r="C87" s="147">
        <v>146400</v>
      </c>
      <c r="D87" s="147"/>
      <c r="E87" s="147">
        <f t="shared" si="27"/>
        <v>146400</v>
      </c>
      <c r="F87" s="147"/>
      <c r="G87" s="147"/>
      <c r="H87" s="147"/>
      <c r="I87" s="147"/>
      <c r="J87" s="147"/>
      <c r="K87" s="147"/>
      <c r="L87" s="147"/>
      <c r="M87" s="147"/>
      <c r="N87" s="147"/>
      <c r="O87" s="147"/>
      <c r="P87" s="147"/>
      <c r="Q87" s="147"/>
      <c r="R87" s="516">
        <f t="shared" si="26"/>
        <v>146400</v>
      </c>
      <c r="S87" s="147">
        <f>C87</f>
        <v>146400</v>
      </c>
      <c r="T87" s="147"/>
      <c r="U87" s="143"/>
    </row>
    <row r="88" spans="1:21" s="144" customFormat="1">
      <c r="A88" s="145" t="s">
        <v>771</v>
      </c>
      <c r="B88" s="146">
        <f t="shared" si="25"/>
        <v>75000</v>
      </c>
      <c r="C88" s="147">
        <f>50000+25000</f>
        <v>75000</v>
      </c>
      <c r="D88" s="147"/>
      <c r="E88" s="147">
        <f t="shared" si="27"/>
        <v>75000</v>
      </c>
      <c r="F88" s="147"/>
      <c r="G88" s="147"/>
      <c r="H88" s="147"/>
      <c r="I88" s="147"/>
      <c r="J88" s="147"/>
      <c r="K88" s="147"/>
      <c r="L88" s="147"/>
      <c r="M88" s="147"/>
      <c r="N88" s="147"/>
      <c r="O88" s="147"/>
      <c r="P88" s="147"/>
      <c r="Q88" s="147"/>
      <c r="R88" s="516">
        <f t="shared" si="26"/>
        <v>75000</v>
      </c>
      <c r="S88" s="148"/>
      <c r="T88" s="148"/>
      <c r="U88" s="143"/>
    </row>
    <row r="89" spans="1:21" s="144" customFormat="1">
      <c r="A89" s="145" t="s">
        <v>772</v>
      </c>
      <c r="B89" s="146">
        <f t="shared" si="25"/>
        <v>204000</v>
      </c>
      <c r="C89" s="147">
        <f>204000+250000*0</f>
        <v>204000</v>
      </c>
      <c r="D89" s="147"/>
      <c r="E89" s="147">
        <f t="shared" si="27"/>
        <v>204000</v>
      </c>
      <c r="F89" s="147"/>
      <c r="G89" s="147"/>
      <c r="H89" s="147"/>
      <c r="I89" s="147"/>
      <c r="J89" s="147"/>
      <c r="K89" s="147"/>
      <c r="L89" s="147"/>
      <c r="M89" s="147"/>
      <c r="N89" s="147"/>
      <c r="O89" s="147"/>
      <c r="P89" s="147"/>
      <c r="Q89" s="147"/>
      <c r="R89" s="516">
        <f t="shared" si="26"/>
        <v>204000</v>
      </c>
      <c r="S89" s="147">
        <v>204000</v>
      </c>
      <c r="T89" s="147"/>
      <c r="U89" s="143"/>
    </row>
    <row r="90" spans="1:21" s="144" customFormat="1">
      <c r="A90" s="145" t="s">
        <v>773</v>
      </c>
      <c r="B90" s="146">
        <f t="shared" si="25"/>
        <v>15000</v>
      </c>
      <c r="C90" s="147">
        <v>15000</v>
      </c>
      <c r="D90" s="147"/>
      <c r="E90" s="147">
        <f t="shared" si="27"/>
        <v>15000</v>
      </c>
      <c r="F90" s="147"/>
      <c r="G90" s="147"/>
      <c r="H90" s="147"/>
      <c r="I90" s="147"/>
      <c r="J90" s="147"/>
      <c r="K90" s="147"/>
      <c r="L90" s="147"/>
      <c r="M90" s="147"/>
      <c r="N90" s="147"/>
      <c r="O90" s="147"/>
      <c r="P90" s="147"/>
      <c r="Q90" s="147"/>
      <c r="R90" s="516">
        <f t="shared" si="26"/>
        <v>15000</v>
      </c>
      <c r="S90" s="147">
        <f>C90</f>
        <v>15000</v>
      </c>
      <c r="T90" s="147"/>
      <c r="U90" s="143"/>
    </row>
    <row r="91" spans="1:21" s="144" customFormat="1">
      <c r="A91" s="145" t="s">
        <v>372</v>
      </c>
      <c r="B91" s="146">
        <f t="shared" si="25"/>
        <v>55000</v>
      </c>
      <c r="C91" s="147">
        <f>20000+20000+15000</f>
        <v>55000</v>
      </c>
      <c r="D91" s="147"/>
      <c r="E91" s="147">
        <f t="shared" si="27"/>
        <v>55000</v>
      </c>
      <c r="F91" s="147"/>
      <c r="G91" s="147"/>
      <c r="H91" s="147"/>
      <c r="I91" s="147"/>
      <c r="J91" s="147"/>
      <c r="K91" s="147"/>
      <c r="L91" s="147"/>
      <c r="M91" s="147"/>
      <c r="N91" s="147"/>
      <c r="O91" s="147"/>
      <c r="P91" s="147"/>
      <c r="Q91" s="147"/>
      <c r="R91" s="516">
        <f t="shared" si="26"/>
        <v>55000</v>
      </c>
      <c r="S91" s="147">
        <f>20000+15000</f>
        <v>35000</v>
      </c>
      <c r="T91" s="147"/>
      <c r="U91" s="143"/>
    </row>
    <row r="92" spans="1:21" s="144" customFormat="1">
      <c r="A92" s="283" t="s">
        <v>1211</v>
      </c>
      <c r="B92" s="146">
        <f t="shared" si="25"/>
        <v>15000</v>
      </c>
      <c r="C92" s="147">
        <v>15000</v>
      </c>
      <c r="D92" s="147"/>
      <c r="E92" s="147">
        <f t="shared" si="27"/>
        <v>15000</v>
      </c>
      <c r="F92" s="147"/>
      <c r="G92" s="147"/>
      <c r="H92" s="147"/>
      <c r="I92" s="147"/>
      <c r="J92" s="147"/>
      <c r="K92" s="147"/>
      <c r="L92" s="147"/>
      <c r="M92" s="147"/>
      <c r="N92" s="147"/>
      <c r="O92" s="147"/>
      <c r="P92" s="147"/>
      <c r="Q92" s="147"/>
      <c r="R92" s="516">
        <f t="shared" si="26"/>
        <v>15000</v>
      </c>
      <c r="S92" s="147"/>
      <c r="T92" s="147"/>
      <c r="U92" s="143"/>
    </row>
    <row r="93" spans="1:21" s="144" customFormat="1">
      <c r="A93" s="1143" t="s">
        <v>34</v>
      </c>
      <c r="B93" s="146">
        <f t="shared" si="25"/>
        <v>0</v>
      </c>
      <c r="C93" s="147"/>
      <c r="D93" s="147"/>
      <c r="E93" s="147"/>
      <c r="F93" s="147"/>
      <c r="G93" s="147"/>
      <c r="H93" s="147"/>
      <c r="I93" s="147"/>
      <c r="J93" s="147"/>
      <c r="K93" s="147"/>
      <c r="L93" s="147"/>
      <c r="M93" s="147"/>
      <c r="N93" s="147"/>
      <c r="O93" s="147"/>
      <c r="P93" s="147"/>
      <c r="Q93" s="147"/>
      <c r="R93" s="516">
        <f t="shared" si="26"/>
        <v>0</v>
      </c>
      <c r="S93" s="147"/>
      <c r="T93" s="147"/>
      <c r="U93" s="143"/>
    </row>
    <row r="94" spans="1:21" s="144" customFormat="1">
      <c r="A94" s="1143" t="s">
        <v>34</v>
      </c>
      <c r="B94" s="146">
        <f t="shared" si="25"/>
        <v>0</v>
      </c>
      <c r="C94" s="147"/>
      <c r="D94" s="147"/>
      <c r="E94" s="147"/>
      <c r="F94" s="147"/>
      <c r="G94" s="147"/>
      <c r="H94" s="147"/>
      <c r="I94" s="147"/>
      <c r="J94" s="147"/>
      <c r="K94" s="147"/>
      <c r="L94" s="147"/>
      <c r="M94" s="147"/>
      <c r="N94" s="147"/>
      <c r="O94" s="147"/>
      <c r="P94" s="147"/>
      <c r="Q94" s="147"/>
      <c r="R94" s="516">
        <f t="shared" si="26"/>
        <v>0</v>
      </c>
      <c r="S94" s="147"/>
      <c r="T94" s="147"/>
      <c r="U94" s="143"/>
    </row>
    <row r="95" spans="1:21" s="144" customFormat="1">
      <c r="A95" s="1143" t="s">
        <v>34</v>
      </c>
      <c r="B95" s="146">
        <f t="shared" si="25"/>
        <v>0</v>
      </c>
      <c r="C95" s="147"/>
      <c r="D95" s="147"/>
      <c r="E95" s="147"/>
      <c r="F95" s="147"/>
      <c r="G95" s="147"/>
      <c r="H95" s="147"/>
      <c r="I95" s="147"/>
      <c r="J95" s="147"/>
      <c r="K95" s="147"/>
      <c r="L95" s="147"/>
      <c r="M95" s="147"/>
      <c r="N95" s="147"/>
      <c r="O95" s="147"/>
      <c r="P95" s="147"/>
      <c r="Q95" s="147"/>
      <c r="R95" s="516">
        <f t="shared" si="26"/>
        <v>0</v>
      </c>
      <c r="S95" s="147"/>
      <c r="T95" s="147"/>
      <c r="U95" s="143"/>
    </row>
    <row r="96" spans="1:21" s="144" customFormat="1">
      <c r="A96" s="149" t="s">
        <v>774</v>
      </c>
      <c r="B96" s="146">
        <f>SUM(C96:D96)</f>
        <v>1277190</v>
      </c>
      <c r="C96" s="146">
        <f t="shared" ref="C96:R96" si="28">SUM(C83:C95)</f>
        <v>1277190</v>
      </c>
      <c r="D96" s="146">
        <f t="shared" si="28"/>
        <v>0</v>
      </c>
      <c r="E96" s="146">
        <f t="shared" si="28"/>
        <v>1277190</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1277190</v>
      </c>
      <c r="S96" s="150">
        <f>SUM(S84:S87,S89:S95)</f>
        <v>1064878</v>
      </c>
      <c r="T96" s="146">
        <f>SUM(T84:T87,T89:T95)</f>
        <v>0</v>
      </c>
      <c r="U96" s="143"/>
    </row>
    <row r="97" spans="1:21" s="144" customFormat="1">
      <c r="A97" s="149" t="s">
        <v>775</v>
      </c>
      <c r="B97" s="146">
        <f>SUM(C97:D97)</f>
        <v>48553668</v>
      </c>
      <c r="C97" s="146">
        <f t="shared" ref="C97:R97" si="29">SUM(C63+C70+C77+C81+C96)</f>
        <v>26409514</v>
      </c>
      <c r="D97" s="146">
        <f t="shared" si="29"/>
        <v>22144154</v>
      </c>
      <c r="E97" s="146">
        <f t="shared" si="29"/>
        <v>8303502</v>
      </c>
      <c r="F97" s="146">
        <f t="shared" si="29"/>
        <v>2250000</v>
      </c>
      <c r="G97" s="146">
        <f t="shared" si="29"/>
        <v>6000000</v>
      </c>
      <c r="H97" s="146">
        <f t="shared" si="29"/>
        <v>875000</v>
      </c>
      <c r="I97" s="146">
        <f t="shared" si="29"/>
        <v>875000</v>
      </c>
      <c r="J97" s="146">
        <f t="shared" si="29"/>
        <v>8106012</v>
      </c>
      <c r="K97" s="146">
        <f t="shared" si="29"/>
        <v>0</v>
      </c>
      <c r="L97" s="146">
        <f t="shared" si="29"/>
        <v>22144154</v>
      </c>
      <c r="M97" s="146">
        <f t="shared" si="29"/>
        <v>0</v>
      </c>
      <c r="N97" s="146">
        <f t="shared" si="29"/>
        <v>0</v>
      </c>
      <c r="O97" s="146">
        <f t="shared" si="29"/>
        <v>0</v>
      </c>
      <c r="P97" s="146">
        <f t="shared" si="29"/>
        <v>0</v>
      </c>
      <c r="Q97" s="146">
        <f t="shared" si="29"/>
        <v>0</v>
      </c>
      <c r="R97" s="146">
        <f t="shared" si="29"/>
        <v>48553668</v>
      </c>
      <c r="S97" s="146">
        <f>SUM(S63+S70+S81+S96)</f>
        <v>24510656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3676598</v>
      </c>
      <c r="C99" s="974">
        <v>3676598</v>
      </c>
      <c r="D99" s="974"/>
      <c r="E99" s="974">
        <f>C99-SUM(F99:P99)</f>
        <v>232006</v>
      </c>
      <c r="F99" s="147">
        <f>F108-2250000</f>
        <v>1322514</v>
      </c>
      <c r="G99" s="147">
        <v>1000000</v>
      </c>
      <c r="H99" s="147"/>
      <c r="I99" s="147"/>
      <c r="J99" s="147"/>
      <c r="K99" s="147">
        <f>K108</f>
        <v>1122078</v>
      </c>
      <c r="L99" s="147"/>
      <c r="M99" s="147"/>
      <c r="N99" s="147"/>
      <c r="O99" s="147"/>
      <c r="P99" s="147"/>
      <c r="Q99" s="147"/>
      <c r="R99" s="516">
        <f>SUM(E99:Q99)</f>
        <v>3676598</v>
      </c>
      <c r="S99" s="147">
        <f>C99</f>
        <v>3676598</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3676598</v>
      </c>
      <c r="C104" s="146">
        <f>SUM(C99:C103)</f>
        <v>3676598</v>
      </c>
      <c r="D104" s="146">
        <f t="shared" ref="D104:T104" si="30">SUM(D99:D103)</f>
        <v>0</v>
      </c>
      <c r="E104" s="146">
        <f t="shared" si="30"/>
        <v>232006</v>
      </c>
      <c r="F104" s="146">
        <f t="shared" si="30"/>
        <v>1322514</v>
      </c>
      <c r="G104" s="146">
        <f t="shared" si="30"/>
        <v>1000000</v>
      </c>
      <c r="H104" s="146">
        <f t="shared" si="30"/>
        <v>0</v>
      </c>
      <c r="I104" s="146">
        <f t="shared" si="30"/>
        <v>0</v>
      </c>
      <c r="J104" s="146">
        <f t="shared" si="30"/>
        <v>0</v>
      </c>
      <c r="K104" s="146">
        <f t="shared" si="30"/>
        <v>1122078</v>
      </c>
      <c r="L104" s="146">
        <f t="shared" si="30"/>
        <v>0</v>
      </c>
      <c r="M104" s="146">
        <f t="shared" si="30"/>
        <v>0</v>
      </c>
      <c r="N104" s="146">
        <f t="shared" si="30"/>
        <v>0</v>
      </c>
      <c r="O104" s="146">
        <f t="shared" si="30"/>
        <v>0</v>
      </c>
      <c r="P104" s="146">
        <f t="shared" si="30"/>
        <v>0</v>
      </c>
      <c r="Q104" s="146">
        <f t="shared" si="30"/>
        <v>0</v>
      </c>
      <c r="R104" s="342">
        <f t="shared" si="30"/>
        <v>3676598</v>
      </c>
      <c r="S104" s="150">
        <f t="shared" si="30"/>
        <v>3676598</v>
      </c>
      <c r="T104" s="150">
        <f t="shared" si="30"/>
        <v>0</v>
      </c>
      <c r="U104" s="143"/>
    </row>
    <row r="105" spans="1:21" s="144" customFormat="1">
      <c r="A105" s="149" t="s">
        <v>780</v>
      </c>
      <c r="B105" s="150">
        <f>SUM(C105:D105)</f>
        <v>52230266</v>
      </c>
      <c r="C105" s="150">
        <f t="shared" ref="C105:R105" si="31">SUM(C97+C104)</f>
        <v>30086112</v>
      </c>
      <c r="D105" s="150">
        <f t="shared" si="31"/>
        <v>22144154</v>
      </c>
      <c r="E105" s="150">
        <f t="shared" si="31"/>
        <v>8535508</v>
      </c>
      <c r="F105" s="150">
        <f t="shared" si="31"/>
        <v>3572514</v>
      </c>
      <c r="G105" s="150">
        <f t="shared" si="31"/>
        <v>7000000</v>
      </c>
      <c r="H105" s="150">
        <f t="shared" si="31"/>
        <v>875000</v>
      </c>
      <c r="I105" s="150">
        <f t="shared" si="31"/>
        <v>875000</v>
      </c>
      <c r="J105" s="150">
        <f t="shared" si="31"/>
        <v>8106012</v>
      </c>
      <c r="K105" s="150">
        <f t="shared" si="31"/>
        <v>1122078</v>
      </c>
      <c r="L105" s="150">
        <f t="shared" si="31"/>
        <v>22144154</v>
      </c>
      <c r="M105" s="150">
        <f t="shared" si="31"/>
        <v>0</v>
      </c>
      <c r="N105" s="150">
        <f t="shared" si="31"/>
        <v>0</v>
      </c>
      <c r="O105" s="150">
        <f t="shared" si="31"/>
        <v>0</v>
      </c>
      <c r="P105" s="150">
        <f t="shared" si="31"/>
        <v>0</v>
      </c>
      <c r="Q105" s="150">
        <f t="shared" si="31"/>
        <v>0</v>
      </c>
      <c r="R105" s="342">
        <f t="shared" si="31"/>
        <v>52230266</v>
      </c>
      <c r="S105" s="150">
        <f>S97+S104</f>
        <v>28187254</v>
      </c>
      <c r="T105" s="150">
        <f>T97+T104</f>
        <v>0</v>
      </c>
      <c r="U105" s="143"/>
    </row>
    <row r="106" spans="1:21">
      <c r="A106" s="514" t="s">
        <v>1020</v>
      </c>
      <c r="B106" s="157"/>
      <c r="C106" s="157"/>
      <c r="D106" s="157"/>
      <c r="H106" s="159" t="s">
        <v>92</v>
      </c>
      <c r="I106" s="159"/>
      <c r="J106" s="159"/>
      <c r="R106" s="160" t="s">
        <v>93</v>
      </c>
      <c r="S106" s="147"/>
      <c r="T106" s="1266"/>
    </row>
    <row r="107" spans="1:21">
      <c r="A107" s="157" t="s">
        <v>184</v>
      </c>
      <c r="C107" s="157"/>
      <c r="D107" s="157"/>
      <c r="I107" s="162" t="s">
        <v>350</v>
      </c>
      <c r="J107" s="162"/>
      <c r="R107" s="160" t="s">
        <v>94</v>
      </c>
      <c r="S107" s="150">
        <f>S105+S106</f>
        <v>28187254</v>
      </c>
      <c r="T107" s="150">
        <f>T105+H75</f>
        <v>0</v>
      </c>
    </row>
    <row r="108" spans="1:21" s="189" customFormat="1">
      <c r="A108" s="162" t="s">
        <v>879</v>
      </c>
      <c r="B108" s="157"/>
      <c r="C108" s="157"/>
      <c r="D108" s="157"/>
      <c r="E108" s="301">
        <f>Application!AO648</f>
        <v>8535508</v>
      </c>
      <c r="F108" s="301">
        <f>Application!AO635</f>
        <v>3572514</v>
      </c>
      <c r="G108" s="301">
        <f>Application!AO636</f>
        <v>7000000</v>
      </c>
      <c r="H108" s="301">
        <f>Application!AO637</f>
        <v>875000</v>
      </c>
      <c r="I108" s="301">
        <f>Application!AO638</f>
        <v>875000</v>
      </c>
      <c r="J108" s="301">
        <f>Application!AO639</f>
        <v>8106012</v>
      </c>
      <c r="K108" s="301">
        <f>Application!AO640</f>
        <v>1122078</v>
      </c>
      <c r="L108" s="301">
        <f>Application!AO641</f>
        <v>22144154</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4" t="s">
        <v>1224</v>
      </c>
      <c r="E123" s="1796"/>
      <c r="F123" s="1796"/>
      <c r="G123" s="1796"/>
      <c r="H123" s="1796"/>
      <c r="I123" s="1796"/>
      <c r="J123" s="1796"/>
      <c r="K123" s="1796"/>
      <c r="L123" s="1796"/>
      <c r="M123" s="1796"/>
      <c r="N123" s="1796"/>
      <c r="O123" s="1796"/>
      <c r="P123" s="1796"/>
      <c r="Q123" s="1796"/>
      <c r="R123" s="1796"/>
      <c r="S123" s="1796"/>
      <c r="T123" s="324"/>
      <c r="U123" s="326"/>
    </row>
    <row r="124" spans="1:21" ht="12.75">
      <c r="A124" s="117" t="s">
        <v>992</v>
      </c>
      <c r="B124" s="333"/>
      <c r="C124" s="117"/>
      <c r="D124" s="1796"/>
      <c r="E124" s="1796"/>
      <c r="F124" s="1796"/>
      <c r="G124" s="1796"/>
      <c r="H124" s="1796"/>
      <c r="I124" s="1796"/>
      <c r="J124" s="1796"/>
      <c r="K124" s="1796"/>
      <c r="L124" s="1796"/>
      <c r="M124" s="1796"/>
      <c r="N124" s="1796"/>
      <c r="O124" s="1796"/>
      <c r="P124" s="1796"/>
      <c r="Q124" s="1796"/>
      <c r="R124" s="1796"/>
      <c r="S124" s="1796"/>
      <c r="T124" s="324"/>
      <c r="U124" s="326"/>
    </row>
    <row r="125" spans="1:21" ht="12.75">
      <c r="A125" s="117" t="s">
        <v>993</v>
      </c>
      <c r="B125" s="333"/>
      <c r="C125" s="117"/>
      <c r="D125" s="1796"/>
      <c r="E125" s="1796"/>
      <c r="F125" s="1796"/>
      <c r="G125" s="1796"/>
      <c r="H125" s="1796"/>
      <c r="I125" s="1796"/>
      <c r="J125" s="1796"/>
      <c r="K125" s="1796"/>
      <c r="L125" s="1796"/>
      <c r="M125" s="1796"/>
      <c r="N125" s="1796"/>
      <c r="O125" s="1796"/>
      <c r="P125" s="1796"/>
      <c r="Q125" s="1796"/>
      <c r="R125" s="1796"/>
      <c r="S125" s="179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769"/>
      <c r="E131" s="1769"/>
      <c r="F131" s="1769"/>
      <c r="G131" s="1769"/>
      <c r="H131" s="1769"/>
      <c r="I131" s="117"/>
      <c r="J131" s="1769"/>
      <c r="K131" s="1769"/>
      <c r="L131" s="1769"/>
      <c r="M131" s="1769"/>
      <c r="N131" s="117"/>
      <c r="O131" s="117"/>
      <c r="P131" s="117"/>
      <c r="Q131" s="117"/>
      <c r="R131" s="117"/>
      <c r="S131" s="117"/>
      <c r="T131" s="324"/>
      <c r="U131" s="326"/>
    </row>
    <row r="132" spans="1:21" ht="12" customHeight="1">
      <c r="A132" s="336"/>
      <c r="B132" s="117"/>
      <c r="C132" s="117"/>
      <c r="D132" s="1875" t="s">
        <v>1000</v>
      </c>
      <c r="E132" s="1875"/>
      <c r="F132" s="1875"/>
      <c r="G132" s="1875"/>
      <c r="H132" s="1875"/>
      <c r="I132" s="117"/>
      <c r="J132" s="1875" t="s">
        <v>1001</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1004</v>
      </c>
      <c r="B139" s="1873"/>
      <c r="C139" s="187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1:XFD105 B107:XFD1048576 B106:S106 U106:XFD10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6"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13831846</v>
      </c>
      <c r="C30" s="362"/>
      <c r="D30" s="362"/>
      <c r="E30" s="361">
        <f>'Sources and Uses Budget'!S30</f>
        <v>13831846</v>
      </c>
      <c r="F30" s="362"/>
      <c r="G30" s="362"/>
      <c r="H30" s="361">
        <f>'Sources and Uses Budget'!T30</f>
        <v>0</v>
      </c>
      <c r="I30" s="362"/>
      <c r="J30" s="362"/>
      <c r="K30" s="359"/>
    </row>
    <row r="31" spans="1:11" s="360" customFormat="1">
      <c r="A31" s="145" t="s">
        <v>600</v>
      </c>
      <c r="B31" s="361">
        <f>'Sources and Uses Budget'!C31</f>
        <v>749870</v>
      </c>
      <c r="C31" s="362"/>
      <c r="D31" s="362"/>
      <c r="E31" s="361">
        <f>'Sources and Uses Budget'!S31</f>
        <v>749870</v>
      </c>
      <c r="F31" s="362"/>
      <c r="G31" s="362"/>
      <c r="H31" s="361">
        <f>'Sources and Uses Budget'!T31</f>
        <v>0</v>
      </c>
      <c r="I31" s="362"/>
      <c r="J31" s="362"/>
      <c r="K31" s="359"/>
    </row>
    <row r="32" spans="1:11" s="360" customFormat="1">
      <c r="A32" s="145" t="s">
        <v>137</v>
      </c>
      <c r="B32" s="361">
        <f>'Sources and Uses Budget'!C32</f>
        <v>257577</v>
      </c>
      <c r="C32" s="362"/>
      <c r="D32" s="362"/>
      <c r="E32" s="361">
        <f>'Sources and Uses Budget'!S32</f>
        <v>257577</v>
      </c>
      <c r="F32" s="362"/>
      <c r="G32" s="362"/>
      <c r="H32" s="361">
        <f>'Sources and Uses Budget'!T32</f>
        <v>0</v>
      </c>
      <c r="I32" s="362"/>
      <c r="J32" s="362"/>
      <c r="K32" s="359"/>
    </row>
    <row r="33" spans="1:11" s="360" customFormat="1">
      <c r="A33" s="145" t="s">
        <v>138</v>
      </c>
      <c r="B33" s="361">
        <f>'Sources and Uses Budget'!C33</f>
        <v>648149</v>
      </c>
      <c r="C33" s="362"/>
      <c r="D33" s="362"/>
      <c r="E33" s="361">
        <f>'Sources and Uses Budget'!S33</f>
        <v>648149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215063</v>
      </c>
      <c r="C35" s="362"/>
      <c r="D35" s="362"/>
      <c r="E35" s="361">
        <f>'Sources and Uses Budget'!S35</f>
        <v>215063</v>
      </c>
      <c r="F35" s="362"/>
      <c r="G35" s="362"/>
      <c r="H35" s="361">
        <f>'Sources and Uses Budget'!T35</f>
        <v>0</v>
      </c>
      <c r="I35" s="362"/>
      <c r="J35" s="362"/>
      <c r="K35" s="359"/>
    </row>
    <row r="36" spans="1:11" s="360" customFormat="1">
      <c r="A36" s="508" t="s">
        <v>1629</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(Commercial Costs)</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15952505</v>
      </c>
      <c r="C38" s="361">
        <f>SUM(C29:C37)</f>
        <v>0</v>
      </c>
      <c r="D38" s="361">
        <f>SUM(D29:D37)</f>
        <v>0</v>
      </c>
      <c r="E38" s="361">
        <f>'Sources and Uses Budget'!S38</f>
        <v>15952505</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700000</v>
      </c>
      <c r="C40" s="362"/>
      <c r="D40" s="362"/>
      <c r="E40" s="361">
        <f>'Sources and Uses Budget'!S40</f>
        <v>700000</v>
      </c>
      <c r="F40" s="362"/>
      <c r="G40" s="362"/>
      <c r="H40" s="361">
        <f>'Sources and Uses Budget'!T40</f>
        <v>0</v>
      </c>
      <c r="I40" s="362"/>
      <c r="J40" s="362"/>
      <c r="K40" s="359"/>
    </row>
    <row r="41" spans="1:11" s="360" customFormat="1">
      <c r="A41" s="364" t="s">
        <v>146</v>
      </c>
      <c r="B41" s="361">
        <f>'Sources and Uses Budget'!C41</f>
        <v>250000</v>
      </c>
      <c r="C41" s="362"/>
      <c r="D41" s="362"/>
      <c r="E41" s="361">
        <f>'Sources and Uses Budget'!S41</f>
        <v>250000</v>
      </c>
      <c r="F41" s="362"/>
      <c r="G41" s="362"/>
      <c r="H41" s="361">
        <f>'Sources and Uses Budget'!T41</f>
        <v>0</v>
      </c>
      <c r="I41" s="362"/>
      <c r="J41" s="362"/>
      <c r="K41" s="359"/>
    </row>
    <row r="42" spans="1:11" s="360" customFormat="1">
      <c r="A42" s="365" t="s">
        <v>147</v>
      </c>
      <c r="B42" s="361">
        <f>'Sources and Uses Budget'!C42</f>
        <v>950000</v>
      </c>
      <c r="C42" s="361">
        <f>SUM(C39:C41)</f>
        <v>0</v>
      </c>
      <c r="D42" s="361">
        <f>SUM(D39:D41)</f>
        <v>0</v>
      </c>
      <c r="E42" s="361">
        <f>'Sources and Uses Budget'!S42</f>
        <v>950000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2250000</v>
      </c>
      <c r="C43" s="362"/>
      <c r="D43" s="362"/>
      <c r="E43" s="361">
        <f>'Sources and Uses Budget'!S43</f>
        <v>2250000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2005601</v>
      </c>
      <c r="C45" s="362"/>
      <c r="D45" s="362"/>
      <c r="E45" s="361">
        <f>'Sources and Uses Budget'!S45</f>
        <v>1387856</v>
      </c>
      <c r="F45" s="362"/>
      <c r="G45" s="362"/>
      <c r="H45" s="361">
        <f>'Sources and Uses Budget'!T45</f>
        <v>0</v>
      </c>
      <c r="I45" s="362"/>
      <c r="J45" s="362"/>
      <c r="K45" s="359"/>
    </row>
    <row r="46" spans="1:11" s="360" customFormat="1">
      <c r="A46" s="364" t="s">
        <v>151</v>
      </c>
      <c r="B46" s="361">
        <f>'Sources and Uses Budget'!C46</f>
        <v>237267</v>
      </c>
      <c r="C46" s="362"/>
      <c r="D46" s="362"/>
      <c r="E46" s="361">
        <f>'Sources and Uses Budget'!S46</f>
        <v>164186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274156</v>
      </c>
      <c r="C48" s="362"/>
      <c r="D48" s="362"/>
      <c r="E48" s="361">
        <f>'Sources and Uses Budget'!S48</f>
        <v>274156</v>
      </c>
      <c r="F48" s="362"/>
      <c r="G48" s="362"/>
      <c r="H48" s="361">
        <f>'Sources and Uses Budget'!T48</f>
        <v>0</v>
      </c>
      <c r="I48" s="362"/>
      <c r="J48" s="362"/>
      <c r="K48" s="359"/>
    </row>
    <row r="49" spans="1:11" s="360" customFormat="1">
      <c r="A49" s="283" t="s">
        <v>57</v>
      </c>
      <c r="B49" s="361">
        <f>'Sources and Uses Budget'!C49</f>
        <v>290000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314050</v>
      </c>
      <c r="C52" s="362"/>
      <c r="D52" s="362"/>
      <c r="E52" s="361">
        <f>'Sources and Uses Budget'!S52</f>
        <v>314050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3171074</v>
      </c>
      <c r="C54" s="367">
        <f>SUM(C45:C53)</f>
        <v>0</v>
      </c>
      <c r="D54" s="367">
        <f>SUM(D45:D53)</f>
        <v>0</v>
      </c>
      <c r="E54" s="361">
        <f>'Sources and Uses Budget'!S54</f>
        <v>2165248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39239</v>
      </c>
      <c r="C56" s="362"/>
      <c r="D56" s="362"/>
      <c r="E56" s="363"/>
      <c r="F56" s="363"/>
      <c r="G56" s="363"/>
      <c r="H56" s="363"/>
      <c r="I56" s="363"/>
      <c r="J56" s="363"/>
      <c r="K56" s="359"/>
    </row>
    <row r="57" spans="1:11" s="360" customFormat="1" ht="12" customHeight="1">
      <c r="A57" s="364" t="s">
        <v>152</v>
      </c>
      <c r="B57" s="361">
        <f>'Sources and Uses Budget'!C57</f>
        <v>25000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T2T Admin Fee</v>
      </c>
      <c r="B61" s="361">
        <f>'Sources and Uses Budget'!C61</f>
        <v>196875</v>
      </c>
      <c r="C61" s="362"/>
      <c r="D61" s="362"/>
      <c r="E61" s="363"/>
      <c r="F61" s="363"/>
      <c r="G61" s="363"/>
      <c r="H61" s="363"/>
      <c r="I61" s="363"/>
      <c r="J61" s="363"/>
      <c r="K61" s="359"/>
    </row>
    <row r="62" spans="1:11" s="360" customFormat="1" ht="13.7" customHeight="1">
      <c r="A62" s="365" t="s">
        <v>301</v>
      </c>
      <c r="B62" s="361">
        <f>'Sources and Uses Budget'!C62</f>
        <v>271114</v>
      </c>
      <c r="C62" s="361">
        <f>SUM(C56:C61)</f>
        <v>0</v>
      </c>
      <c r="D62" s="361">
        <f>SUM(D56:D61)</f>
        <v>0</v>
      </c>
      <c r="E62" s="363"/>
      <c r="F62" s="363"/>
      <c r="G62" s="363"/>
      <c r="H62" s="363"/>
      <c r="I62" s="363"/>
      <c r="J62" s="363"/>
      <c r="K62" s="359"/>
    </row>
    <row r="63" spans="1:11" s="360" customFormat="1">
      <c r="A63" s="370" t="s">
        <v>302</v>
      </c>
      <c r="B63" s="361">
        <f>'Sources and Uses Budget'!C63</f>
        <v>22594693</v>
      </c>
      <c r="C63" s="361">
        <f>SUM(C8+C11+C13+C14+C15+C26+C27+C38+C42+C43+C54+C62)</f>
        <v>0</v>
      </c>
      <c r="D63" s="361">
        <f>SUM(D8+D11+D13+D14+D15+D26+D27+D38+D42+D43+D54+D62)</f>
        <v>0</v>
      </c>
      <c r="E63" s="361">
        <f>'Sources and Uses Budget'!S63</f>
        <v>21317753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260000</v>
      </c>
      <c r="C65" s="362"/>
      <c r="D65" s="362"/>
      <c r="E65" s="361">
        <f>'Sources and Uses Budget'!S65</f>
        <v>130359</v>
      </c>
      <c r="F65" s="362"/>
      <c r="G65" s="362"/>
      <c r="H65" s="361">
        <f>'Sources and Uses Budget'!T65</f>
        <v>0</v>
      </c>
      <c r="I65" s="362"/>
      <c r="J65" s="362"/>
      <c r="K65" s="359"/>
    </row>
    <row r="66" spans="1:11" s="360" customFormat="1" ht="24">
      <c r="A66" s="283" t="s">
        <v>1630</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510000</v>
      </c>
      <c r="C70" s="361">
        <f>SUM(C64:C69)</f>
        <v>0</v>
      </c>
      <c r="D70" s="361">
        <f>SUM(D64:D69)</f>
        <v>0</v>
      </c>
      <c r="E70" s="361">
        <f>'Sources and Uses Budget'!S70</f>
        <v>380359</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129965</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129965</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1597666</v>
      </c>
      <c r="C79" s="362"/>
      <c r="D79" s="362"/>
      <c r="E79" s="361">
        <f>'Sources and Uses Budget'!S79</f>
        <v>1597666</v>
      </c>
      <c r="F79" s="362"/>
      <c r="G79" s="362"/>
      <c r="H79" s="361">
        <f>'Sources and Uses Budget'!T79</f>
        <v>0</v>
      </c>
      <c r="I79" s="362"/>
      <c r="J79" s="362"/>
      <c r="K79" s="359"/>
    </row>
    <row r="80" spans="1:11" s="360" customFormat="1">
      <c r="A80" s="364" t="s">
        <v>58</v>
      </c>
      <c r="B80" s="361">
        <f>'Sources and Uses Budget'!C80</f>
        <v>300000</v>
      </c>
      <c r="C80" s="362"/>
      <c r="D80" s="362"/>
      <c r="E80" s="361">
        <f>'Sources and Uses Budget'!S80</f>
        <v>150000</v>
      </c>
      <c r="F80" s="362"/>
      <c r="G80" s="362"/>
      <c r="H80" s="361">
        <f>'Sources and Uses Budget'!T80</f>
        <v>0</v>
      </c>
      <c r="I80" s="362"/>
      <c r="J80" s="362"/>
      <c r="K80" s="359"/>
    </row>
    <row r="81" spans="1:11" s="360" customFormat="1">
      <c r="A81" s="365" t="s">
        <v>1209</v>
      </c>
      <c r="B81" s="361">
        <f>'Sources and Uses Budget'!C81</f>
        <v>1897666</v>
      </c>
      <c r="C81" s="361">
        <f>SUM(C79:C80)</f>
        <v>0</v>
      </c>
      <c r="D81" s="361">
        <f>SUM(D79:D80)</f>
        <v>0</v>
      </c>
      <c r="E81" s="361">
        <f>'Sources and Uses Budget'!S81</f>
        <v>1747666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102312</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332478</v>
      </c>
      <c r="C85" s="362"/>
      <c r="D85" s="362"/>
      <c r="E85" s="361">
        <f>'Sources and Uses Budget'!S85</f>
        <v>332478</v>
      </c>
      <c r="F85" s="362"/>
      <c r="G85" s="362"/>
      <c r="H85" s="361">
        <f>'Sources and Uses Budget'!T85</f>
        <v>0</v>
      </c>
      <c r="I85" s="362"/>
      <c r="J85" s="362"/>
      <c r="K85" s="359"/>
    </row>
    <row r="86" spans="1:11" s="360" customFormat="1">
      <c r="A86" s="145" t="s">
        <v>769</v>
      </c>
      <c r="B86" s="361">
        <f>'Sources and Uses Budget'!C86</f>
        <v>332000</v>
      </c>
      <c r="C86" s="362"/>
      <c r="D86" s="362"/>
      <c r="E86" s="361">
        <f>'Sources and Uses Budget'!S86</f>
        <v>332000</v>
      </c>
      <c r="F86" s="362"/>
      <c r="G86" s="362"/>
      <c r="H86" s="361">
        <f>'Sources and Uses Budget'!T86</f>
        <v>0</v>
      </c>
      <c r="I86" s="362"/>
      <c r="J86" s="362"/>
      <c r="K86" s="359"/>
    </row>
    <row r="87" spans="1:11" s="360" customFormat="1">
      <c r="A87" s="145" t="s">
        <v>770</v>
      </c>
      <c r="B87" s="361">
        <f>'Sources and Uses Budget'!C87</f>
        <v>146400</v>
      </c>
      <c r="C87" s="362"/>
      <c r="D87" s="362"/>
      <c r="E87" s="361">
        <f>'Sources and Uses Budget'!S87</f>
        <v>146400</v>
      </c>
      <c r="F87" s="362"/>
      <c r="G87" s="362"/>
      <c r="H87" s="361">
        <f>'Sources and Uses Budget'!T87</f>
        <v>0</v>
      </c>
      <c r="I87" s="362"/>
      <c r="J87" s="362"/>
      <c r="K87" s="359"/>
    </row>
    <row r="88" spans="1:11" s="360" customFormat="1">
      <c r="A88" s="145" t="s">
        <v>771</v>
      </c>
      <c r="B88" s="361">
        <f>'Sources and Uses Budget'!C88</f>
        <v>75000</v>
      </c>
      <c r="C88" s="362"/>
      <c r="D88" s="362"/>
      <c r="E88" s="363"/>
      <c r="F88" s="363"/>
      <c r="G88" s="363"/>
      <c r="H88" s="363"/>
      <c r="I88" s="363"/>
      <c r="J88" s="363"/>
      <c r="K88" s="359"/>
    </row>
    <row r="89" spans="1:11" s="360" customFormat="1">
      <c r="A89" s="145" t="s">
        <v>772</v>
      </c>
      <c r="B89" s="361">
        <f>'Sources and Uses Budget'!C89</f>
        <v>204000</v>
      </c>
      <c r="C89" s="362"/>
      <c r="D89" s="362"/>
      <c r="E89" s="361">
        <f>'Sources and Uses Budget'!S89</f>
        <v>204000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1277190</v>
      </c>
      <c r="C96" s="361">
        <f>SUM(C83:C95)</f>
        <v>0</v>
      </c>
      <c r="D96" s="361">
        <f>SUM(D83:D95)</f>
        <v>0</v>
      </c>
      <c r="E96" s="361">
        <f>'Sources and Uses Budget'!S96</f>
        <v>1064878</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26409514</v>
      </c>
      <c r="C97" s="361">
        <f>SUM(C63+C70+C77+C81+C96)</f>
        <v>0</v>
      </c>
      <c r="D97" s="361">
        <f>SUM(D63+D70+D77+D81+D96)</f>
        <v>0</v>
      </c>
      <c r="E97" s="361">
        <f>'Sources and Uses Budget'!S97</f>
        <v>24510656</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3676598</v>
      </c>
      <c r="C99" s="362"/>
      <c r="D99" s="362"/>
      <c r="E99" s="361">
        <f>'Sources and Uses Budget'!S99</f>
        <v>3676598</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3676598</v>
      </c>
      <c r="C104" s="361">
        <f>SUM(C99:C103)</f>
        <v>0</v>
      </c>
      <c r="D104" s="361">
        <f>SUM(D99:D103)</f>
        <v>0</v>
      </c>
      <c r="E104" s="361">
        <f>'Sources and Uses Budget'!S104</f>
        <v>3676598</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30086112</v>
      </c>
      <c r="C105" s="367">
        <f>SUM(C97+C104)</f>
        <v>0</v>
      </c>
      <c r="D105" s="367">
        <f>SUM(D97+D104)</f>
        <v>0</v>
      </c>
      <c r="E105" s="361">
        <f>'Sources and Uses Budget'!S105</f>
        <v>28187254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Budget'!H75</f>
        <v>0</v>
      </c>
      <c r="I106" s="362"/>
      <c r="J106" s="362"/>
      <c r="K106" s="359"/>
    </row>
    <row r="107" spans="1:11" s="360" customFormat="1">
      <c r="A107" s="373"/>
      <c r="B107" s="374"/>
      <c r="C107" s="372"/>
      <c r="D107" s="454" t="s">
        <v>375</v>
      </c>
      <c r="E107" s="361">
        <f>'Sources and Uses Budget'!S107</f>
        <v>28187254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24"/>
      <c r="F124" s="1324"/>
      <c r="G124" s="1324"/>
      <c r="H124" s="1324"/>
      <c r="I124" s="1324"/>
      <c r="J124" s="376"/>
      <c r="K124" s="359"/>
    </row>
    <row r="125" spans="1:11" s="360" customFormat="1" ht="12.75">
      <c r="A125" s="385"/>
      <c r="B125" s="384"/>
      <c r="C125" s="385"/>
      <c r="D125" s="1324"/>
      <c r="E125" s="1324"/>
      <c r="F125" s="1324"/>
      <c r="G125" s="1324"/>
      <c r="H125" s="1324"/>
      <c r="I125" s="1324"/>
      <c r="J125" s="376"/>
      <c r="K125" s="359"/>
    </row>
    <row r="126" spans="1:11" s="360" customFormat="1" ht="12.75">
      <c r="A126" s="385"/>
      <c r="B126" s="384"/>
      <c r="C126" s="385"/>
      <c r="D126" s="1324"/>
      <c r="E126" s="1324"/>
      <c r="F126" s="1324"/>
      <c r="G126" s="1324"/>
      <c r="H126" s="1324"/>
      <c r="I126" s="132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24"/>
      <c r="C139" s="1324"/>
      <c r="D139" s="356"/>
      <c r="E139" s="385"/>
      <c r="F139" s="385"/>
      <c r="G139" s="385"/>
    </row>
    <row r="140" spans="1:11" ht="12" customHeight="1">
      <c r="A140" s="1307"/>
      <c r="B140" s="1307"/>
      <c r="C140" s="130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J60" sqref="J60:AW60"/>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0" t="s">
        <v>2391</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2390</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2595</v>
      </c>
      <c r="AY3" s="1897"/>
      <c r="AZ3" s="1897"/>
      <c r="BA3" s="1898"/>
      <c r="BB3" s="1896" t="s">
        <v>2596</v>
      </c>
      <c r="BC3" s="1897"/>
      <c r="BD3" s="1897"/>
      <c r="BE3" s="1898"/>
    </row>
    <row r="4" spans="1:65" ht="15.75" customHeight="1" thickBot="1">
      <c r="A4" s="1207"/>
      <c r="B4" s="1209" t="s">
        <v>656</v>
      </c>
      <c r="C4" s="1209"/>
      <c r="D4" s="1209"/>
      <c r="E4" s="1209"/>
      <c r="F4" s="1209"/>
      <c r="G4" s="1208"/>
      <c r="H4" s="1208"/>
      <c r="I4" s="1208"/>
      <c r="J4" s="1208"/>
      <c r="K4" s="1208"/>
      <c r="L4" s="1885" t="str">
        <f>IF(Application!H18="","",Application!H18)</f>
        <v>U.S.VETS - WLAVA Buildling 13</v>
      </c>
      <c r="M4" s="1886"/>
      <c r="N4" s="1886"/>
      <c r="O4" s="1886"/>
      <c r="P4" s="1886"/>
      <c r="Q4" s="1886"/>
      <c r="R4" s="1886"/>
      <c r="S4" s="1886"/>
      <c r="T4" s="1886"/>
      <c r="U4" s="1886"/>
      <c r="V4" s="1886"/>
      <c r="W4" s="1886"/>
      <c r="X4" s="1886"/>
      <c r="Y4" s="1886"/>
      <c r="Z4" s="1886"/>
      <c r="AA4" s="1886"/>
      <c r="AB4" s="1886"/>
      <c r="AC4" s="1887"/>
      <c r="AD4" s="1208"/>
      <c r="AE4" s="1208"/>
      <c r="AF4" s="1899" t="s">
        <v>2389</v>
      </c>
      <c r="AG4" s="1899"/>
      <c r="AH4" s="1899"/>
      <c r="AI4" s="1899"/>
      <c r="AJ4" s="1899"/>
      <c r="AK4" s="1899"/>
      <c r="AL4" s="1899"/>
      <c r="AM4" s="1899"/>
      <c r="AN4" s="1899"/>
      <c r="AO4" s="1899"/>
      <c r="AP4" s="1900"/>
      <c r="AQ4" s="1901"/>
      <c r="AR4" s="1901"/>
      <c r="AS4" s="1901"/>
      <c r="AT4" s="1901"/>
      <c r="AU4" s="1901"/>
      <c r="AV4" s="1208"/>
      <c r="AW4" s="1208"/>
      <c r="AX4" s="1882" t="s">
        <v>2597</v>
      </c>
      <c r="AY4" s="1883"/>
      <c r="AZ4" s="1883"/>
      <c r="BA4" s="1884"/>
      <c r="BB4" s="1210">
        <f t="array" ref="BB4">ROUNDDOWN(SUM(IF((B19:I27&gt;0)*(B19:I27&lt;=30%),J19:O27,0))/J29,2)</f>
        <v>0.5</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2388</v>
      </c>
      <c r="AG5" s="1899"/>
      <c r="AH5" s="1899"/>
      <c r="AI5" s="1899"/>
      <c r="AJ5" s="1899"/>
      <c r="AK5" s="1899"/>
      <c r="AL5" s="1899"/>
      <c r="AM5" s="1899"/>
      <c r="AN5" s="1899"/>
      <c r="AO5" s="1899"/>
      <c r="AP5" s="1900"/>
      <c r="AQ5" s="1901"/>
      <c r="AR5" s="1901"/>
      <c r="AS5" s="1901"/>
      <c r="AT5" s="1901"/>
      <c r="AU5" s="1901"/>
      <c r="AV5" s="1208"/>
      <c r="AW5" s="1208"/>
      <c r="AX5" s="1882" t="s">
        <v>2598</v>
      </c>
      <c r="AY5" s="1883"/>
      <c r="AZ5" s="1883"/>
      <c r="BA5" s="1884"/>
      <c r="BB5" s="1210">
        <f t="array" ref="BB5">ROUNDDOWN(SUM(IF((B19:I27&gt;0%)*(B19:I27&lt;=50%),J19:O27,0))/J29,2)</f>
        <v>0.95</v>
      </c>
      <c r="BC5" s="1211"/>
      <c r="BD5" s="1211"/>
      <c r="BE5" s="1212"/>
    </row>
    <row r="6" spans="1:65" ht="15.75" customHeight="1" thickBot="1">
      <c r="A6" s="1207"/>
      <c r="B6" s="1209" t="s">
        <v>2387</v>
      </c>
      <c r="C6" s="1208"/>
      <c r="D6" s="1208"/>
      <c r="E6" s="1208"/>
      <c r="F6" s="1208"/>
      <c r="G6" s="1208"/>
      <c r="H6" s="1208"/>
      <c r="I6" s="1208"/>
      <c r="J6" s="1208"/>
      <c r="K6" s="1208"/>
      <c r="L6" s="1885" t="str">
        <f>IF(Application!H16="","",Application!H16)</f>
        <v>U.S.VETS Housing Corporation</v>
      </c>
      <c r="M6" s="1886"/>
      <c r="N6" s="1886"/>
      <c r="O6" s="1886"/>
      <c r="P6" s="1886"/>
      <c r="Q6" s="1886"/>
      <c r="R6" s="1886"/>
      <c r="S6" s="1886"/>
      <c r="T6" s="1886"/>
      <c r="U6" s="1886"/>
      <c r="V6" s="1886"/>
      <c r="W6" s="1886"/>
      <c r="X6" s="1886"/>
      <c r="Y6" s="1886"/>
      <c r="Z6" s="1886"/>
      <c r="AA6" s="1886"/>
      <c r="AB6" s="1886"/>
      <c r="AC6" s="1887"/>
      <c r="AD6" s="1208"/>
      <c r="AE6" s="1208"/>
      <c r="AF6" s="1888" t="s">
        <v>2386</v>
      </c>
      <c r="AG6" s="1888"/>
      <c r="AH6" s="1888"/>
      <c r="AI6" s="1888"/>
      <c r="AJ6" s="1888"/>
      <c r="AK6" s="1888"/>
      <c r="AL6" s="1888"/>
      <c r="AM6" s="1888"/>
      <c r="AN6" s="1888"/>
      <c r="AO6" s="1888"/>
      <c r="AP6" s="1889">
        <v>2</v>
      </c>
      <c r="AQ6" s="1889"/>
      <c r="AR6" s="1889"/>
      <c r="AS6" s="1889"/>
      <c r="AT6" s="1889"/>
      <c r="AU6" s="1889"/>
      <c r="AV6" s="1208"/>
      <c r="AW6" s="1208"/>
      <c r="AX6" s="1882" t="s">
        <v>2599</v>
      </c>
      <c r="AY6" s="1883"/>
      <c r="AZ6" s="1883"/>
      <c r="BA6" s="1884"/>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2385</v>
      </c>
      <c r="AG7" s="1888"/>
      <c r="AH7" s="1888"/>
      <c r="AI7" s="1888"/>
      <c r="AJ7" s="1888"/>
      <c r="AK7" s="1888"/>
      <c r="AL7" s="1888"/>
      <c r="AM7" s="1888"/>
      <c r="AN7" s="1888"/>
      <c r="AO7" s="1888"/>
      <c r="AP7" s="1889">
        <v>0</v>
      </c>
      <c r="AQ7" s="1889"/>
      <c r="AR7" s="1889"/>
      <c r="AS7" s="1889"/>
      <c r="AT7" s="1889"/>
      <c r="AU7" s="1889"/>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2384</v>
      </c>
      <c r="AG8" s="1888"/>
      <c r="AH8" s="1888"/>
      <c r="AI8" s="1888"/>
      <c r="AJ8" s="1888"/>
      <c r="AK8" s="1888"/>
      <c r="AL8" s="1888"/>
      <c r="AM8" s="1888"/>
      <c r="AN8" s="1888"/>
      <c r="AO8" s="1888"/>
      <c r="AP8" s="1889" t="s">
        <v>2055</v>
      </c>
      <c r="AQ8" s="1889"/>
      <c r="AR8" s="1889"/>
      <c r="AS8" s="1889"/>
      <c r="AT8" s="1889"/>
      <c r="AU8" s="1889"/>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2383</v>
      </c>
      <c r="AG9" s="1899"/>
      <c r="AH9" s="1899"/>
      <c r="AI9" s="1899"/>
      <c r="AJ9" s="1899"/>
      <c r="AK9" s="1899"/>
      <c r="AL9" s="1899"/>
      <c r="AM9" s="1899"/>
      <c r="AN9" s="1899"/>
      <c r="AO9" s="1899"/>
      <c r="AP9" s="1900">
        <v>47058</v>
      </c>
      <c r="AQ9" s="1901"/>
      <c r="AR9" s="1901"/>
      <c r="AS9" s="1901"/>
      <c r="AT9" s="1901"/>
      <c r="AU9" s="1901"/>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7">
        <f>Application!AO635</f>
        <v>3572514</v>
      </c>
      <c r="O10" s="1917"/>
      <c r="P10" s="1917"/>
      <c r="Q10" s="1917"/>
      <c r="R10" s="1917"/>
      <c r="S10" s="1917"/>
      <c r="T10" s="1917"/>
      <c r="U10" s="1208"/>
      <c r="V10" s="1208"/>
      <c r="W10" s="1208"/>
      <c r="X10" s="1214"/>
      <c r="Y10" s="1214"/>
      <c r="Z10" s="1214"/>
      <c r="AA10" s="1214"/>
      <c r="AB10" s="1214"/>
      <c r="AC10" s="1214"/>
      <c r="AD10" s="1214"/>
      <c r="AE10" s="1214"/>
      <c r="AF10" s="1899" t="s">
        <v>2380</v>
      </c>
      <c r="AG10" s="1899"/>
      <c r="AH10" s="1899"/>
      <c r="AI10" s="1899"/>
      <c r="AJ10" s="1899"/>
      <c r="AK10" s="1899"/>
      <c r="AL10" s="1899"/>
      <c r="AM10" s="1899"/>
      <c r="AN10" s="1899"/>
      <c r="AO10" s="1899"/>
      <c r="AP10" s="1900">
        <v>47088</v>
      </c>
      <c r="AQ10" s="1901"/>
      <c r="AR10" s="1901"/>
      <c r="AS10" s="1901"/>
      <c r="AT10" s="1901"/>
      <c r="AU10" s="1901"/>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2377</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5" t="s">
        <v>2375</v>
      </c>
      <c r="C13" s="1906"/>
      <c r="D13" s="1906"/>
      <c r="E13" s="1906"/>
      <c r="F13" s="1906"/>
      <c r="G13" s="1906"/>
      <c r="H13" s="1906"/>
      <c r="I13" s="1906"/>
      <c r="J13" s="1906"/>
      <c r="K13" s="1906"/>
      <c r="L13" s="1906"/>
      <c r="M13" s="1906"/>
      <c r="N13" s="1906"/>
      <c r="O13" s="1906"/>
      <c r="P13" s="1907"/>
      <c r="Q13" s="1908" t="s">
        <v>669</v>
      </c>
      <c r="R13" s="1909"/>
      <c r="S13" s="1909"/>
      <c r="T13" s="1910"/>
      <c r="U13" s="1214"/>
      <c r="V13" s="1208"/>
      <c r="W13" s="1208"/>
      <c r="X13" s="1208"/>
      <c r="Y13" s="1208"/>
      <c r="Z13" s="1208"/>
      <c r="AA13" s="1911" t="s">
        <v>2374</v>
      </c>
      <c r="AB13" s="1911"/>
      <c r="AC13" s="1911"/>
      <c r="AD13" s="1911"/>
      <c r="AE13" s="1911"/>
      <c r="AF13" s="1911"/>
      <c r="AG13" s="1911"/>
      <c r="AH13" s="1911"/>
      <c r="AI13" s="1911"/>
      <c r="AJ13" s="1911"/>
      <c r="AK13" s="1911"/>
      <c r="AL13" s="1911"/>
      <c r="AM13" s="1911"/>
      <c r="AN13" s="1911"/>
      <c r="AO13" s="1912">
        <f>Application!W481</f>
        <v>6</v>
      </c>
      <c r="AP13" s="1913"/>
      <c r="AQ13" s="1913"/>
      <c r="AR13" s="1913"/>
      <c r="AS13" s="1913"/>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2372</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thickBot="1">
      <c r="A15" s="1208"/>
      <c r="B15" s="1918" t="s">
        <v>2371</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2370</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3" t="s">
        <v>2369</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2368</v>
      </c>
      <c r="C18" s="1927"/>
      <c r="D18" s="1927"/>
      <c r="E18" s="1927"/>
      <c r="F18" s="1927"/>
      <c r="G18" s="1927"/>
      <c r="H18" s="1927"/>
      <c r="I18" s="1928"/>
      <c r="J18" s="1929" t="s">
        <v>1575</v>
      </c>
      <c r="K18" s="1930"/>
      <c r="L18" s="1930"/>
      <c r="M18" s="1930"/>
      <c r="N18" s="1930"/>
      <c r="O18" s="1931"/>
      <c r="P18" s="1929" t="s">
        <v>324</v>
      </c>
      <c r="Q18" s="1930"/>
      <c r="R18" s="1930"/>
      <c r="S18" s="1930"/>
      <c r="T18" s="1930"/>
      <c r="U18" s="1931"/>
      <c r="V18" s="1929" t="s">
        <v>325</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2367</v>
      </c>
      <c r="AU18" s="1930"/>
      <c r="AV18" s="1930"/>
      <c r="AW18" s="1930"/>
      <c r="AX18" s="1930"/>
      <c r="AY18" s="1932"/>
      <c r="AZ18" s="1208"/>
      <c r="BA18" s="1208"/>
      <c r="BB18" s="1208"/>
      <c r="BC18" s="1208"/>
      <c r="BD18" s="1208"/>
      <c r="BE18" s="1215"/>
    </row>
    <row r="19" spans="1:58" ht="15">
      <c r="A19" s="1208"/>
      <c r="B19" s="1933">
        <v>0.3</v>
      </c>
      <c r="C19" s="1934"/>
      <c r="D19" s="1934"/>
      <c r="E19" s="1934"/>
      <c r="F19" s="1934"/>
      <c r="G19" s="1934"/>
      <c r="H19" s="1934"/>
      <c r="I19" s="1935"/>
      <c r="J19" s="1936">
        <f t="shared" ref="J19:J24" si="0">SUM(P19:AS19)</f>
        <v>12</v>
      </c>
      <c r="K19" s="1937"/>
      <c r="L19" s="1937"/>
      <c r="M19" s="1937"/>
      <c r="N19" s="1937"/>
      <c r="O19" s="1938"/>
      <c r="P19" s="1936" cm="1">
        <f t="array" ref="P19">SUMPRODUCT((Application!$B$726:$B$760 = 'CalHFA Addendum'!P$18)*(Application!$AC$726:$AC$760 = 'CalHFA Addendum'!$B19),Application!$G$726:$G$760)</f>
        <v>1</v>
      </c>
      <c r="Q19" s="1937"/>
      <c r="R19" s="1937"/>
      <c r="S19" s="1937"/>
      <c r="T19" s="1937"/>
      <c r="U19" s="1938"/>
      <c r="V19" s="1936" cm="1">
        <f t="array" ref="V19">SUMPRODUCT((Application!$B$726:$B$760 = 'CalHFA Addendum'!V$18)*(Application!$AC$726:$AC$760 = 'CalHFA Addendum'!$B19),Application!$G$726:$G$760)</f>
        <v>10</v>
      </c>
      <c r="W19" s="1937"/>
      <c r="X19" s="1937"/>
      <c r="Y19" s="1937"/>
      <c r="Z19" s="1937"/>
      <c r="AA19" s="1938"/>
      <c r="AB19" s="1936" cm="1">
        <f t="array" ref="AB19">SUMPRODUCT((Application!$B$726:$B$760 = 'CalHFA Addendum'!AB$18)*(Application!$AC$726:$AC$760 = 'CalHFA Addendum'!$B19),Application!$G$726:$G$760)</f>
        <v>1</v>
      </c>
      <c r="AC19" s="1937"/>
      <c r="AD19" s="1937"/>
      <c r="AE19" s="1937"/>
      <c r="AF19" s="1937"/>
      <c r="AG19" s="1938"/>
      <c r="AH19" s="1936" cm="1">
        <f t="array" ref="AH19">SUMPRODUCT((Application!$B$726:$B$760 = 'CalHFA Addendum'!AH$18)*(Application!$AC$726:$AC$760 = 'CalHFA Addendum'!$B19),Application!$G$726:$G$760)</f>
        <v>0</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0.5</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5">
      <c r="A21" s="1208"/>
      <c r="B21" s="1933">
        <v>0.5</v>
      </c>
      <c r="C21" s="1934"/>
      <c r="D21" s="1934"/>
      <c r="E21" s="1934"/>
      <c r="F21" s="1934"/>
      <c r="G21" s="1934"/>
      <c r="H21" s="1934"/>
      <c r="I21" s="1935"/>
      <c r="J21" s="1936">
        <f t="shared" si="0"/>
        <v>11</v>
      </c>
      <c r="K21" s="1937"/>
      <c r="L21" s="1937"/>
      <c r="M21" s="1937"/>
      <c r="N21" s="1937"/>
      <c r="O21" s="1938"/>
      <c r="P21" s="1936" cm="1">
        <f t="array" ref="P21">SUMPRODUCT((Application!$B$726:$B$760 = 'CalHFA Addendum'!P$18)*(Application!$AC$726:$AC$760 = 'CalHFA Addendum'!$B21),Application!$G$726:$G$760)</f>
        <v>1</v>
      </c>
      <c r="Q21" s="1937"/>
      <c r="R21" s="1937"/>
      <c r="S21" s="1937"/>
      <c r="T21" s="1937"/>
      <c r="U21" s="1938"/>
      <c r="V21" s="1936" cm="1">
        <f t="array" ref="V21">SUMPRODUCT((Application!$B$726:$B$760 = 'CalHFA Addendum'!V$18)*(Application!$AC$726:$AC$760 = 'CalHFA Addendum'!$B21),Application!$G$726:$G$760)</f>
        <v>9</v>
      </c>
      <c r="W21" s="1937"/>
      <c r="X21" s="1937"/>
      <c r="Y21" s="1937"/>
      <c r="Z21" s="1937"/>
      <c r="AA21" s="1938"/>
      <c r="AB21" s="1936" cm="1">
        <f t="array" ref="AB21">SUMPRODUCT((Application!$B$726:$B$760 = 'CalHFA Addendum'!AB$18)*(Application!$AC$726:$AC$760 = 'CalHFA Addendum'!$B21),Application!$G$726:$G$760)</f>
        <v>1</v>
      </c>
      <c r="AC21" s="1937"/>
      <c r="AD21" s="1937"/>
      <c r="AE21" s="1937"/>
      <c r="AF21" s="1937"/>
      <c r="AG21" s="1938"/>
      <c r="AH21" s="1936" cm="1">
        <f t="array" ref="AH21">SUMPRODUCT((Application!$B$726:$B$760 = 'CalHFA Addendum'!AH$18)*(Application!$AC$726:$AC$760 = 'CalHFA Addendum'!$B21),Application!$G$726:$G$760)</f>
        <v>0</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0.45833333333333331</v>
      </c>
      <c r="AU21" s="1940"/>
      <c r="AV21" s="1940"/>
      <c r="AW21" s="1940"/>
      <c r="AX21" s="1940"/>
      <c r="AY21" s="1941"/>
      <c r="AZ21" s="1208"/>
      <c r="BA21" s="1208"/>
      <c r="BB21" s="1208"/>
      <c r="BC21" s="1208"/>
      <c r="BD21" s="1208"/>
      <c r="BE21" s="1215"/>
    </row>
    <row r="22" spans="1:58" ht="15">
      <c r="A22" s="1208"/>
      <c r="B22" s="1933">
        <v>0.6</v>
      </c>
      <c r="C22" s="1934"/>
      <c r="D22" s="1934"/>
      <c r="E22" s="1934"/>
      <c r="F22" s="1934"/>
      <c r="G22" s="1934"/>
      <c r="H22" s="1934"/>
      <c r="I22" s="1935"/>
      <c r="J22" s="1936">
        <f t="shared" si="0"/>
        <v>0</v>
      </c>
      <c r="K22" s="1937"/>
      <c r="L22" s="1937"/>
      <c r="M22" s="1937"/>
      <c r="N22" s="1937"/>
      <c r="O22" s="1938"/>
      <c r="P22" s="1936" cm="1">
        <f t="array" ref="P22">SUMPRODUCT((Application!$B$726:$B$760 = 'CalHFA Addendum'!P$18)*(Application!$AC$726:$AC$760 = 'CalHFA Addendum'!$B22),Application!$G$726:$G$760)</f>
        <v>0</v>
      </c>
      <c r="Q22" s="1937"/>
      <c r="R22" s="1937"/>
      <c r="S22" s="1937"/>
      <c r="T22" s="1937"/>
      <c r="U22" s="1938"/>
      <c r="V22" s="1936" cm="1">
        <f t="array" ref="V22">SUMPRODUCT((Application!$B$726:$B$760 = 'CalHFA Addendum'!V$18)*(Application!$AC$726:$AC$760 = 'CalHFA Addendum'!$B22),Application!$G$726:$G$760)</f>
        <v>0</v>
      </c>
      <c r="W22" s="1937"/>
      <c r="X22" s="1937"/>
      <c r="Y22" s="1937"/>
      <c r="Z22" s="1937"/>
      <c r="AA22" s="1938"/>
      <c r="AB22" s="1936" cm="1">
        <f t="array" ref="AB22">SUMPRODUCT((Application!$B$726:$B$760 = 'CalHFA Addendum'!AB$18)*(Application!$AC$726:$AC$760 = 'CalHFA Addendum'!$B22),Application!$G$726:$G$760)</f>
        <v>0</v>
      </c>
      <c r="AC22" s="1937"/>
      <c r="AD22" s="1937"/>
      <c r="AE22" s="1937"/>
      <c r="AF22" s="1937"/>
      <c r="AG22" s="1938"/>
      <c r="AH22" s="1936" cm="1">
        <f t="array" ref="AH22">SUMPRODUCT((Application!$B$726:$B$760 = 'CalHFA Addendum'!AH$18)*(Application!$AC$726:$AC$760 = 'CalHFA Addendum'!$B22),Application!$G$726:$G$760)</f>
        <v>0</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v>
      </c>
      <c r="AU22" s="1940"/>
      <c r="AV22" s="1940"/>
      <c r="AW22" s="1940"/>
      <c r="AX22" s="1940"/>
      <c r="AY22" s="1941"/>
      <c r="AZ22" s="1208"/>
      <c r="BA22" s="1208"/>
      <c r="BB22" s="1208"/>
      <c r="BC22" s="1208"/>
      <c r="BD22" s="1208"/>
      <c r="BE22" s="1215"/>
    </row>
    <row r="23" spans="1:58" ht="15">
      <c r="A23" s="1208"/>
      <c r="B23" s="1933">
        <v>0.7</v>
      </c>
      <c r="C23" s="1934"/>
      <c r="D23" s="1934"/>
      <c r="E23" s="1934"/>
      <c r="F23" s="1934"/>
      <c r="G23" s="1934"/>
      <c r="H23" s="1934"/>
      <c r="I23" s="1935"/>
      <c r="J23" s="1936">
        <f t="shared" si="0"/>
        <v>0</v>
      </c>
      <c r="K23" s="1937"/>
      <c r="L23" s="1937"/>
      <c r="M23" s="1937"/>
      <c r="N23" s="1937"/>
      <c r="O23" s="1938"/>
      <c r="P23" s="1936" cm="1">
        <f t="array" ref="P23">SUMPRODUCT((Application!$B$726:$B$760 = 'CalHFA Addendum'!P$18)*(Application!$AC$726:$AC$760 = 'CalHFA Addendum'!$B23),Application!$G$726:$G$760)</f>
        <v>0</v>
      </c>
      <c r="Q23" s="1937"/>
      <c r="R23" s="1937"/>
      <c r="S23" s="1937"/>
      <c r="T23" s="1937"/>
      <c r="U23" s="1938"/>
      <c r="V23" s="1936" cm="1">
        <f t="array" ref="V23">SUMPRODUCT((Application!$B$726:$B$760 = 'CalHFA Addendum'!V$18)*(Application!$AC$726:$AC$760 = 'CalHFA Addendum'!$B23),Application!$G$726:$G$760)</f>
        <v>0</v>
      </c>
      <c r="W23" s="1937"/>
      <c r="X23" s="1937"/>
      <c r="Y23" s="1937"/>
      <c r="Z23" s="1937"/>
      <c r="AA23" s="1938"/>
      <c r="AB23" s="1936" cm="1">
        <f t="array" ref="AB23">SUMPRODUCT((Application!$B$726:$B$760 = 'CalHFA Addendum'!AB$18)*(Application!$AC$726:$AC$760 = 'CalHFA Addendum'!$B23),Application!$G$726:$G$760)</f>
        <v>0</v>
      </c>
      <c r="AC23" s="1937"/>
      <c r="AD23" s="1937"/>
      <c r="AE23" s="1937"/>
      <c r="AF23" s="1937"/>
      <c r="AG23" s="1938"/>
      <c r="AH23" s="1936" cm="1">
        <f t="array" ref="AH23">SUMPRODUCT((Application!$B$726:$B$760 = 'CalHFA Addendum'!AH$18)*(Application!$AC$726:$AC$760 = 'CalHFA Addendum'!$B23),Application!$G$726:$G$760)</f>
        <v>0</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v>
      </c>
      <c r="AU23" s="1940"/>
      <c r="AV23" s="1940"/>
      <c r="AW23" s="1940"/>
      <c r="AX23" s="1940"/>
      <c r="AY23" s="1941"/>
      <c r="AZ23" s="1208"/>
      <c r="BA23" s="1208"/>
      <c r="BB23" s="1208"/>
      <c r="BC23" s="1208"/>
      <c r="BD23" s="1208"/>
      <c r="BE23" s="1215"/>
    </row>
    <row r="24" spans="1:58" ht="15">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5">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5">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5">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thickBot="1">
      <c r="A28" s="1208"/>
      <c r="B28" s="1945" t="s">
        <v>2366</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1</v>
      </c>
      <c r="W28" s="1949"/>
      <c r="X28" s="1949"/>
      <c r="Y28" s="1949"/>
      <c r="Z28" s="1949"/>
      <c r="AA28" s="1950"/>
      <c r="AB28" s="1948">
        <f>_xlfn.IFNA(VLOOKUP(AB$18,Application!$J$781:$S$784,6,FALSE), 0)</f>
        <v>0</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4.1666666666666664E-2</v>
      </c>
      <c r="AU28" s="1952"/>
      <c r="AV28" s="1952"/>
      <c r="AW28" s="1952"/>
      <c r="AX28" s="1952"/>
      <c r="AY28" s="1953"/>
      <c r="AZ28" s="1208"/>
      <c r="BA28" s="1208"/>
      <c r="BB28" s="1208"/>
      <c r="BC28" s="1208"/>
      <c r="BD28" s="1208"/>
      <c r="BE28" s="1215"/>
    </row>
    <row r="29" spans="1:58" thickBot="1">
      <c r="A29" s="1208"/>
      <c r="B29" s="1982" t="s">
        <v>1575</v>
      </c>
      <c r="C29" s="1955"/>
      <c r="D29" s="1955"/>
      <c r="E29" s="1955"/>
      <c r="F29" s="1955"/>
      <c r="G29" s="1955"/>
      <c r="H29" s="1955"/>
      <c r="I29" s="1956"/>
      <c r="J29" s="1954">
        <f>SUM(J19:O28)</f>
        <v>24</v>
      </c>
      <c r="K29" s="1955"/>
      <c r="L29" s="1955"/>
      <c r="M29" s="1955"/>
      <c r="N29" s="1955"/>
      <c r="O29" s="1956"/>
      <c r="P29" s="1954">
        <f>SUM(P19:U28)</f>
        <v>2</v>
      </c>
      <c r="Q29" s="1955"/>
      <c r="R29" s="1955"/>
      <c r="S29" s="1955"/>
      <c r="T29" s="1955"/>
      <c r="U29" s="1956"/>
      <c r="V29" s="1954">
        <f>SUM(V19:AA28)</f>
        <v>20</v>
      </c>
      <c r="W29" s="1955"/>
      <c r="X29" s="1955"/>
      <c r="Y29" s="1955"/>
      <c r="Z29" s="1955"/>
      <c r="AA29" s="1956"/>
      <c r="AB29" s="1954">
        <f>SUM(AB19:AG28)</f>
        <v>2</v>
      </c>
      <c r="AC29" s="1955"/>
      <c r="AD29" s="1955"/>
      <c r="AE29" s="1955"/>
      <c r="AF29" s="1955"/>
      <c r="AG29" s="1956"/>
      <c r="AH29" s="1954">
        <f>SUM(AH19:AM28)</f>
        <v>0</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0" t="s">
        <v>2365</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thickBot="1">
      <c r="A32" s="1208"/>
      <c r="B32" s="1963" t="s">
        <v>2364</v>
      </c>
      <c r="C32" s="1964"/>
      <c r="D32" s="1964"/>
      <c r="E32" s="1964"/>
      <c r="F32" s="1964"/>
      <c r="G32" s="1964"/>
      <c r="H32" s="1964"/>
      <c r="I32" s="1964"/>
      <c r="J32" s="1967" t="s">
        <v>2363</v>
      </c>
      <c r="K32" s="1968"/>
      <c r="L32" s="1968"/>
      <c r="M32" s="1968"/>
      <c r="N32" s="1967" t="s">
        <v>2362</v>
      </c>
      <c r="O32" s="1968"/>
      <c r="P32" s="1968"/>
      <c r="Q32" s="1970"/>
      <c r="R32" s="1972" t="s">
        <v>2361</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2360</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2359</v>
      </c>
      <c r="AT35" s="1984"/>
      <c r="AU35" s="1984"/>
      <c r="AV35" s="1984"/>
      <c r="AW35" s="1984"/>
      <c r="AX35" s="1992"/>
      <c r="AY35" s="1983" t="s">
        <v>2358</v>
      </c>
      <c r="AZ35" s="1984"/>
      <c r="BA35" s="1984"/>
      <c r="BB35" s="1984"/>
      <c r="BC35" s="1984"/>
      <c r="BD35" s="1985"/>
      <c r="BE35" s="1215"/>
    </row>
    <row r="36" spans="1:58" ht="15.75" customHeight="1">
      <c r="A36" s="1208"/>
      <c r="B36" s="2002" t="s">
        <v>2357</v>
      </c>
      <c r="C36" s="2003"/>
      <c r="D36" s="2003"/>
      <c r="E36" s="2003"/>
      <c r="F36" s="2003"/>
      <c r="G36" s="2003"/>
      <c r="H36" s="2003"/>
      <c r="I36" s="2003"/>
      <c r="J36" s="2004" t="s">
        <v>2356</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2355</v>
      </c>
      <c r="C37" s="2003"/>
      <c r="D37" s="2003"/>
      <c r="E37" s="2003"/>
      <c r="F37" s="2003"/>
      <c r="G37" s="2003"/>
      <c r="H37" s="2003"/>
      <c r="I37" s="2003"/>
      <c r="J37" s="2004" t="s">
        <v>2354</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2353</v>
      </c>
      <c r="C38" s="2003"/>
      <c r="D38" s="2003"/>
      <c r="E38" s="2003"/>
      <c r="F38" s="2003"/>
      <c r="G38" s="2003"/>
      <c r="H38" s="2003"/>
      <c r="I38" s="2003"/>
      <c r="J38" s="2004" t="s">
        <v>2352</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2351</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2351</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2350</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2350</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2349</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2348</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2347</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2279</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300</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2344</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2337</v>
      </c>
      <c r="C51" s="2022"/>
      <c r="D51" s="2022"/>
      <c r="E51" s="2022"/>
      <c r="F51" s="2022"/>
      <c r="G51" s="2022"/>
      <c r="H51" s="2022"/>
      <c r="I51" s="2022"/>
      <c r="J51" s="2022" t="s">
        <v>2343</v>
      </c>
      <c r="K51" s="2022"/>
      <c r="L51" s="2022"/>
      <c r="M51" s="2022"/>
      <c r="N51" s="2022"/>
      <c r="O51" s="2022"/>
      <c r="P51" s="2022"/>
      <c r="Q51" s="2022"/>
      <c r="R51" s="2023" t="s">
        <v>2342</v>
      </c>
      <c r="S51" s="2023"/>
      <c r="T51" s="2023"/>
      <c r="U51" s="2023"/>
      <c r="V51" s="2023"/>
      <c r="W51" s="2023"/>
      <c r="X51" s="2023"/>
      <c r="Y51" s="2023"/>
      <c r="Z51" s="2023" t="s">
        <v>2341</v>
      </c>
      <c r="AA51" s="2023"/>
      <c r="AB51" s="2023"/>
      <c r="AC51" s="2023"/>
      <c r="AD51" s="2023"/>
      <c r="AE51" s="2023"/>
      <c r="AF51" s="2023"/>
      <c r="AG51" s="2023"/>
      <c r="AH51" s="2023" t="s">
        <v>2340</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2339</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2338</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1575</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2337</v>
      </c>
      <c r="C59" s="2031"/>
      <c r="D59" s="2031"/>
      <c r="E59" s="2031"/>
      <c r="F59" s="2031"/>
      <c r="G59" s="2031"/>
      <c r="H59" s="2031"/>
      <c r="I59" s="2032"/>
      <c r="J59" s="1924" t="s">
        <v>2336</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
        <v>2765</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
        <v>2765</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2334</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2333</v>
      </c>
      <c r="AD68" s="2066"/>
      <c r="AE68" s="2066"/>
      <c r="AF68" s="2066"/>
      <c r="AG68" s="2066"/>
      <c r="AH68" s="2066"/>
      <c r="AI68" s="2066"/>
      <c r="AJ68" s="2066"/>
      <c r="AK68" s="2066"/>
      <c r="AL68" s="2066"/>
      <c r="AM68" s="2066"/>
      <c r="AN68" s="2066"/>
      <c r="AO68" s="2066"/>
      <c r="AP68" s="2066"/>
      <c r="AQ68" s="2066"/>
      <c r="AR68" s="2066"/>
      <c r="AS68" s="2066"/>
      <c r="AT68" s="2066"/>
      <c r="AU68" s="2066"/>
      <c r="AV68" s="2045" t="s">
        <v>669</v>
      </c>
      <c r="AW68" s="2046"/>
      <c r="AX68" s="2046"/>
      <c r="AY68" s="2046"/>
      <c r="AZ68" s="2046"/>
      <c r="BA68" s="2046"/>
      <c r="BB68" s="2046"/>
      <c r="BC68" s="2047"/>
      <c r="BD68" s="1208"/>
      <c r="BE68" s="1215"/>
      <c r="BM68" s="1221" t="s">
        <v>2332</v>
      </c>
    </row>
    <row r="69" spans="1:94" ht="15.75" customHeight="1" thickTop="1" thickBot="1">
      <c r="A69" s="1208"/>
      <c r="B69" s="2048" t="s">
        <v>2331</v>
      </c>
      <c r="C69" s="2049"/>
      <c r="D69" s="2049"/>
      <c r="E69" s="2049"/>
      <c r="F69" s="2049"/>
      <c r="G69" s="2049"/>
      <c r="H69" s="2049"/>
      <c r="I69" s="2049"/>
      <c r="J69" s="2049"/>
      <c r="K69" s="2049"/>
      <c r="L69" s="2049"/>
      <c r="M69" s="2049"/>
      <c r="N69" s="2049"/>
      <c r="O69" s="1896" t="s">
        <v>2330</v>
      </c>
      <c r="P69" s="1897"/>
      <c r="Q69" s="1897"/>
      <c r="R69" s="1897"/>
      <c r="S69" s="1897"/>
      <c r="T69" s="1897"/>
      <c r="U69" s="1897"/>
      <c r="V69" s="1897"/>
      <c r="W69" s="1897"/>
      <c r="X69" s="1897"/>
      <c r="Y69" s="1897"/>
      <c r="Z69" s="1897"/>
      <c r="AA69" s="2050"/>
      <c r="AB69" s="1208"/>
      <c r="AC69" s="2051" t="s">
        <v>2329</v>
      </c>
      <c r="AD69" s="2052"/>
      <c r="AE69" s="2052"/>
      <c r="AF69" s="2052"/>
      <c r="AG69" s="2052"/>
      <c r="AH69" s="2052"/>
      <c r="AI69" s="2052"/>
      <c r="AJ69" s="2052"/>
      <c r="AK69" s="2052"/>
      <c r="AL69" s="2052"/>
      <c r="AM69" s="2052"/>
      <c r="AN69" s="2052"/>
      <c r="AO69" s="2052"/>
      <c r="AP69" s="2052"/>
      <c r="AQ69" s="2052"/>
      <c r="AR69" s="2052"/>
      <c r="AS69" s="2052"/>
      <c r="AT69" s="2052"/>
      <c r="AU69" s="2052"/>
      <c r="AV69" s="2045" t="s">
        <v>669</v>
      </c>
      <c r="AW69" s="2046"/>
      <c r="AX69" s="2046"/>
      <c r="AY69" s="2046"/>
      <c r="AZ69" s="2046"/>
      <c r="BA69" s="2046"/>
      <c r="BB69" s="2046"/>
      <c r="BC69" s="2047"/>
      <c r="BD69" s="1208"/>
      <c r="BE69" s="1215"/>
      <c r="BM69" s="1222" t="s">
        <v>545</v>
      </c>
    </row>
    <row r="70" spans="1:94" ht="15.75" customHeight="1">
      <c r="A70" s="1208"/>
      <c r="B70" s="2002" t="s">
        <v>2328</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2327</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669</v>
      </c>
    </row>
    <row r="71" spans="1:94" ht="15.75" customHeight="1" thickBot="1">
      <c r="A71" s="1208"/>
      <c r="B71" s="2002" t="s">
        <v>2326</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2325</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2324</v>
      </c>
    </row>
    <row r="72" spans="1:94" ht="15.75" customHeight="1">
      <c r="A72" s="1208"/>
      <c r="B72" s="2002" t="s">
        <v>2323</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2322</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2321</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2274</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2319</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2625</v>
      </c>
      <c r="AK81" s="2087"/>
      <c r="AL81" s="2087"/>
      <c r="AM81" s="2087"/>
      <c r="AN81" s="2087"/>
      <c r="AO81" s="2087"/>
      <c r="AP81" s="2087"/>
      <c r="AQ81" s="2087"/>
      <c r="AR81" s="2087"/>
      <c r="AS81" s="2087"/>
      <c r="AT81" s="2087"/>
      <c r="AU81" s="2087"/>
      <c r="AV81" s="2087"/>
      <c r="AW81" s="2087"/>
      <c r="AX81" s="2087"/>
      <c r="AY81" s="2090" t="s">
        <v>545</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2313</v>
      </c>
      <c r="J82" s="2022"/>
      <c r="K82" s="2022"/>
      <c r="L82" s="2022"/>
      <c r="M82" s="2022"/>
      <c r="N82" s="2022"/>
      <c r="O82" s="2022" t="s">
        <v>2290</v>
      </c>
      <c r="P82" s="2022"/>
      <c r="Q82" s="2022"/>
      <c r="R82" s="2022"/>
      <c r="S82" s="2022"/>
      <c r="T82" s="2022"/>
      <c r="U82" s="2022"/>
      <c r="V82" s="2094" t="s">
        <v>2289</v>
      </c>
      <c r="W82" s="2094"/>
      <c r="X82" s="2094"/>
      <c r="Y82" s="2094"/>
      <c r="Z82" s="2094"/>
      <c r="AA82" s="2094"/>
      <c r="AB82" s="2095" t="s">
        <v>2312</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2311</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2310</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2316</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2309</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2317</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2626</v>
      </c>
      <c r="AK92" s="2087"/>
      <c r="AL92" s="2087"/>
      <c r="AM92" s="2087"/>
      <c r="AN92" s="2087"/>
      <c r="AO92" s="2087"/>
      <c r="AP92" s="2087"/>
      <c r="AQ92" s="2087"/>
      <c r="AR92" s="2087"/>
      <c r="AS92" s="2087"/>
      <c r="AT92" s="2087"/>
      <c r="AU92" s="2087"/>
      <c r="AV92" s="2087"/>
      <c r="AW92" s="2087"/>
      <c r="AX92" s="2087"/>
      <c r="AY92" s="2090" t="s">
        <v>545</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2313</v>
      </c>
      <c r="J93" s="2022"/>
      <c r="K93" s="2022"/>
      <c r="L93" s="2022"/>
      <c r="M93" s="2022"/>
      <c r="N93" s="2022"/>
      <c r="O93" s="2022" t="s">
        <v>2290</v>
      </c>
      <c r="P93" s="2022"/>
      <c r="Q93" s="2022"/>
      <c r="R93" s="2022"/>
      <c r="S93" s="2022"/>
      <c r="T93" s="2022"/>
      <c r="U93" s="2022"/>
      <c r="V93" s="2094" t="s">
        <v>2289</v>
      </c>
      <c r="W93" s="2094"/>
      <c r="X93" s="2094"/>
      <c r="Y93" s="2094"/>
      <c r="Z93" s="2094"/>
      <c r="AA93" s="2094"/>
      <c r="AB93" s="2095" t="s">
        <v>2312</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2311</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2310</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2316</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2309</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2314</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2313</v>
      </c>
      <c r="J103" s="2022"/>
      <c r="K103" s="2022"/>
      <c r="L103" s="2022"/>
      <c r="M103" s="2022"/>
      <c r="N103" s="2022"/>
      <c r="O103" s="2022" t="s">
        <v>2290</v>
      </c>
      <c r="P103" s="2022"/>
      <c r="Q103" s="2022"/>
      <c r="R103" s="2022"/>
      <c r="S103" s="2022"/>
      <c r="T103" s="2022"/>
      <c r="U103" s="2022"/>
      <c r="V103" s="2094" t="s">
        <v>2289</v>
      </c>
      <c r="W103" s="2094"/>
      <c r="X103" s="2094"/>
      <c r="Y103" s="2094"/>
      <c r="Z103" s="2094"/>
      <c r="AA103" s="2094"/>
      <c r="AB103" s="2095" t="s">
        <v>2312</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2311</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2310</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2309</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2627</v>
      </c>
      <c r="C112" s="2106"/>
      <c r="D112" s="2106"/>
      <c r="E112" s="2106"/>
      <c r="F112" s="2106"/>
      <c r="G112" s="2106"/>
      <c r="H112" s="2106"/>
      <c r="I112" s="2106"/>
      <c r="J112" s="2106"/>
      <c r="K112" s="2106"/>
      <c r="L112" s="2106"/>
      <c r="M112" s="2106"/>
      <c r="N112" s="2106"/>
      <c r="O112" s="2106"/>
      <c r="P112" s="2106"/>
      <c r="Q112" s="2106"/>
      <c r="R112" s="2106"/>
      <c r="S112" s="2106"/>
      <c r="T112" s="2106"/>
      <c r="U112" s="2109" t="s">
        <v>545</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2627</v>
      </c>
      <c r="C116" s="2114"/>
      <c r="D116" s="2114"/>
      <c r="E116" s="2114"/>
      <c r="F116" s="2114"/>
      <c r="G116" s="2114"/>
      <c r="H116" s="2114"/>
      <c r="I116" s="2114"/>
      <c r="J116" s="2114"/>
      <c r="K116" s="2114"/>
      <c r="L116" s="2114"/>
      <c r="M116" s="2114"/>
      <c r="N116" s="2114"/>
      <c r="O116" s="2114"/>
      <c r="P116" s="2114"/>
      <c r="Q116" s="2114"/>
      <c r="R116" s="2114"/>
      <c r="S116" s="2114"/>
      <c r="T116" s="2114"/>
      <c r="U116" s="2117" t="s">
        <v>545</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2306</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1566</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2305</v>
      </c>
      <c r="J122" s="2022"/>
      <c r="K122" s="2022"/>
      <c r="L122" s="2022"/>
      <c r="M122" s="2022"/>
      <c r="N122" s="2022"/>
      <c r="O122" s="2151" t="s">
        <v>2304</v>
      </c>
      <c r="P122" s="2151"/>
      <c r="Q122" s="2151"/>
      <c r="R122" s="2151"/>
      <c r="S122" s="2151"/>
      <c r="T122" s="2151"/>
      <c r="U122" s="2152"/>
      <c r="V122" s="1208"/>
      <c r="W122" s="1208"/>
      <c r="X122" s="2069" t="s">
        <v>2274</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2288</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2287</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2302</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2290</v>
      </c>
      <c r="J129" s="2149"/>
      <c r="K129" s="2149"/>
      <c r="L129" s="2149"/>
      <c r="M129" s="2149"/>
      <c r="N129" s="2149"/>
      <c r="O129" s="2149"/>
      <c r="P129" s="2149" t="s">
        <v>2289</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2288</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2287</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2301</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545</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2300</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2299</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545</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2298</v>
      </c>
      <c r="C137" s="2136"/>
      <c r="D137" s="2136"/>
      <c r="E137" s="2136"/>
      <c r="F137" s="2136"/>
      <c r="G137" s="2136"/>
      <c r="H137" s="2136"/>
      <c r="I137" s="2136"/>
      <c r="J137" s="2136"/>
      <c r="K137" s="2136"/>
      <c r="L137" s="2136"/>
      <c r="M137" s="2136"/>
      <c r="N137" s="2136"/>
      <c r="O137" s="2136"/>
      <c r="P137" s="2136"/>
      <c r="Q137" s="2136"/>
      <c r="R137" s="2137" t="s">
        <v>2297</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250</v>
      </c>
      <c r="BD137" s="1208"/>
      <c r="BE137" s="1215"/>
    </row>
    <row r="138" spans="1:57" ht="15.75" customHeight="1">
      <c r="A138" s="1208"/>
      <c r="B138" s="2139" t="s">
        <v>2296</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2293</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2292</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2290</v>
      </c>
      <c r="J152" s="2149"/>
      <c r="K152" s="2149"/>
      <c r="L152" s="2149"/>
      <c r="M152" s="2149"/>
      <c r="N152" s="2149"/>
      <c r="O152" s="2149"/>
      <c r="P152" s="2149" t="s">
        <v>2291</v>
      </c>
      <c r="Q152" s="2149"/>
      <c r="R152" s="2149"/>
      <c r="S152" s="2149"/>
      <c r="T152" s="2149"/>
      <c r="U152" s="2150"/>
      <c r="V152" s="1208"/>
      <c r="W152" s="1208"/>
      <c r="X152" s="2147"/>
      <c r="Y152" s="2148"/>
      <c r="Z152" s="2148"/>
      <c r="AA152" s="2148"/>
      <c r="AB152" s="2148"/>
      <c r="AC152" s="2148"/>
      <c r="AD152" s="2148"/>
      <c r="AE152" s="2149" t="s">
        <v>2290</v>
      </c>
      <c r="AF152" s="2149"/>
      <c r="AG152" s="2149"/>
      <c r="AH152" s="2149"/>
      <c r="AI152" s="2149"/>
      <c r="AJ152" s="2149"/>
      <c r="AK152" s="2149"/>
      <c r="AL152" s="2149" t="s">
        <v>2289</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2288</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2288</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2287</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2286</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2271</v>
      </c>
      <c r="D158" s="2148"/>
      <c r="E158" s="2148"/>
      <c r="F158" s="2148"/>
      <c r="G158" s="2148"/>
      <c r="H158" s="2148"/>
      <c r="I158" s="2148"/>
      <c r="J158" s="2148"/>
      <c r="K158" s="2148"/>
      <c r="L158" s="2148"/>
      <c r="M158" s="2148"/>
      <c r="N158" s="2148"/>
      <c r="O158" s="2148"/>
      <c r="P158" s="2148"/>
      <c r="Q158" s="2148" t="s">
        <v>2285</v>
      </c>
      <c r="R158" s="2148"/>
      <c r="S158" s="2148"/>
      <c r="T158" s="2095" t="s">
        <v>2284</v>
      </c>
      <c r="U158" s="2095"/>
      <c r="V158" s="2095"/>
      <c r="W158" s="2095"/>
      <c r="X158" s="2095"/>
      <c r="Y158" s="2095"/>
      <c r="Z158" s="2095"/>
      <c r="AA158" s="2095"/>
      <c r="AB158" s="2148" t="s">
        <v>2283</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2282</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2281</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2280</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2279</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170</v>
      </c>
      <c r="D163" s="2154"/>
      <c r="E163" s="2154"/>
      <c r="F163" s="2161" t="s">
        <v>2260</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170</v>
      </c>
      <c r="D164" s="2154"/>
      <c r="E164" s="2154"/>
      <c r="F164" s="2161" t="s">
        <v>2260</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170</v>
      </c>
      <c r="D165" s="2163"/>
      <c r="E165" s="2163"/>
      <c r="F165" s="2164" t="s">
        <v>2260</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2278</v>
      </c>
      <c r="D167" s="2066"/>
      <c r="E167" s="2066"/>
      <c r="F167" s="2066"/>
      <c r="G167" s="2066"/>
      <c r="H167" s="2066"/>
      <c r="I167" s="2066"/>
      <c r="J167" s="2066"/>
      <c r="K167" s="2066"/>
      <c r="L167" s="2066"/>
      <c r="M167" s="2066"/>
      <c r="N167" s="2104"/>
      <c r="O167" s="1208"/>
      <c r="P167" s="2169" t="s">
        <v>2277</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2276</v>
      </c>
      <c r="D168" s="2148"/>
      <c r="E168" s="2148"/>
      <c r="F168" s="2148"/>
      <c r="G168" s="2148"/>
      <c r="H168" s="2148"/>
      <c r="I168" s="2148" t="s">
        <v>2275</v>
      </c>
      <c r="J168" s="2148"/>
      <c r="K168" s="2148"/>
      <c r="L168" s="2148"/>
      <c r="M168" s="2148"/>
      <c r="N168" s="2158"/>
      <c r="O168" s="1208"/>
      <c r="P168" s="2069" t="s">
        <v>2274</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2273</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2271</v>
      </c>
      <c r="D179" s="2066"/>
      <c r="E179" s="2066"/>
      <c r="F179" s="2066"/>
      <c r="G179" s="2066"/>
      <c r="H179" s="2066"/>
      <c r="I179" s="2066"/>
      <c r="J179" s="2066"/>
      <c r="K179" s="2066"/>
      <c r="L179" s="2066"/>
      <c r="M179" s="2066"/>
      <c r="N179" s="2066" t="s">
        <v>2272</v>
      </c>
      <c r="O179" s="2066"/>
      <c r="P179" s="2066"/>
      <c r="Q179" s="2066"/>
      <c r="R179" s="2066"/>
      <c r="S179" s="2066"/>
      <c r="T179" s="2066"/>
      <c r="U179" s="2019" t="s">
        <v>2271</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2270</v>
      </c>
      <c r="D180" s="2178"/>
      <c r="E180" s="2178"/>
      <c r="F180" s="2178"/>
      <c r="G180" s="2178"/>
      <c r="H180" s="2178"/>
      <c r="I180" s="2178"/>
      <c r="J180" s="2178"/>
      <c r="K180" s="2178"/>
      <c r="L180" s="2178"/>
      <c r="M180" s="2178"/>
      <c r="N180" s="2179">
        <f>'Sources and Uses Budget'!B105</f>
        <v>52230266</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2269</v>
      </c>
      <c r="D181" s="2178"/>
      <c r="E181" s="2178"/>
      <c r="F181" s="2178"/>
      <c r="G181" s="2178"/>
      <c r="H181" s="2178"/>
      <c r="I181" s="2178"/>
      <c r="J181" s="2178"/>
      <c r="K181" s="2178"/>
      <c r="L181" s="2178"/>
      <c r="M181" s="2178"/>
      <c r="N181" s="2179">
        <f>N180/J29</f>
        <v>2176261.0833333335</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2268</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2267</v>
      </c>
      <c r="D183" s="2178"/>
      <c r="E183" s="2178"/>
      <c r="F183" s="2178"/>
      <c r="G183" s="2178"/>
      <c r="H183" s="2178"/>
      <c r="I183" s="2178"/>
      <c r="J183" s="2178"/>
      <c r="K183" s="2178"/>
      <c r="L183" s="2178"/>
      <c r="M183" s="2178"/>
      <c r="N183" s="2195">
        <f>SUM('Sources and Uses Budget'!B85:B86)</f>
        <v>664478</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2266</v>
      </c>
      <c r="D184" s="2178"/>
      <c r="E184" s="2178"/>
      <c r="F184" s="2178"/>
      <c r="G184" s="2178"/>
      <c r="H184" s="2178"/>
      <c r="I184" s="2178"/>
      <c r="J184" s="2178"/>
      <c r="K184" s="2178"/>
      <c r="L184" s="2178"/>
      <c r="M184" s="2178"/>
      <c r="N184" s="2195">
        <f>'Sources and Uses Budget'!B8</f>
        <v>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2264</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2265</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2264</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2263</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2262</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300</v>
      </c>
      <c r="D187" s="2155"/>
      <c r="E187" s="2208" t="s">
        <v>2260</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2261</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300</v>
      </c>
      <c r="D188" s="2025"/>
      <c r="E188" s="2208" t="s">
        <v>2260</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300</v>
      </c>
      <c r="D189" s="2234"/>
      <c r="E189" s="2235" t="s">
        <v>2260</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2259</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2258</v>
      </c>
      <c r="D190" s="2217"/>
      <c r="E190" s="2217"/>
      <c r="F190" s="2217"/>
      <c r="G190" s="2217"/>
      <c r="H190" s="2217"/>
      <c r="I190" s="2217"/>
      <c r="J190" s="2217"/>
      <c r="K190" s="2217"/>
      <c r="L190" s="2217"/>
      <c r="M190" s="2217"/>
      <c r="N190" s="2218">
        <f>SUM(N182:T189)</f>
        <v>664478</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2257</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2256</v>
      </c>
      <c r="D191" s="2227"/>
      <c r="E191" s="2227"/>
      <c r="F191" s="2227"/>
      <c r="G191" s="2227"/>
      <c r="H191" s="2227"/>
      <c r="I191" s="2227"/>
      <c r="J191" s="2227"/>
      <c r="K191" s="2227"/>
      <c r="L191" s="2227"/>
      <c r="M191" s="2227"/>
      <c r="N191" s="2228">
        <f>(N180-N190)/J29</f>
        <v>2148574.5</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2255</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2254</v>
      </c>
      <c r="D195" s="2253"/>
      <c r="E195" s="2253"/>
      <c r="F195" s="2253"/>
      <c r="G195" s="2253"/>
      <c r="H195" s="2253"/>
      <c r="I195" s="2253"/>
      <c r="J195" s="2253"/>
      <c r="K195" s="2253"/>
      <c r="L195" s="2253"/>
      <c r="M195" s="2253"/>
      <c r="N195" s="2253"/>
      <c r="O195" s="2254" t="s">
        <v>2253</v>
      </c>
      <c r="P195" s="2254"/>
      <c r="Q195" s="2254"/>
      <c r="R195" s="2254"/>
      <c r="S195" s="2254"/>
      <c r="T195" s="2254"/>
      <c r="U195" s="2254"/>
      <c r="V195" s="2254"/>
      <c r="W195" s="2254"/>
      <c r="X195" s="2254" t="s">
        <v>2252</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2251</v>
      </c>
      <c r="D196" s="2245"/>
      <c r="E196" s="2245"/>
      <c r="F196" s="2245"/>
      <c r="G196" s="2245"/>
      <c r="H196" s="2245"/>
      <c r="I196" s="2245"/>
      <c r="J196" s="2245"/>
      <c r="K196" s="2245"/>
      <c r="L196" s="2245"/>
      <c r="M196" s="2245"/>
      <c r="N196" s="2245"/>
      <c r="O196" s="2246" t="s">
        <v>2250</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854</v>
      </c>
      <c r="D197" s="2245"/>
      <c r="E197" s="2245"/>
      <c r="F197" s="2245"/>
      <c r="G197" s="2245"/>
      <c r="H197" s="2245"/>
      <c r="I197" s="2245"/>
      <c r="J197" s="2245"/>
      <c r="K197" s="2245"/>
      <c r="L197" s="2245"/>
      <c r="M197" s="2245"/>
      <c r="N197" s="2245"/>
      <c r="O197" s="2246" t="s">
        <v>2250</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2249</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2248</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2247</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2246</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2245</v>
      </c>
      <c r="D202" s="2260"/>
      <c r="E202" s="2260"/>
      <c r="F202" s="2261"/>
      <c r="G202" s="2265" t="s">
        <v>2244</v>
      </c>
      <c r="H202" s="2260"/>
      <c r="I202" s="2260"/>
      <c r="J202" s="2260"/>
      <c r="K202" s="2260"/>
      <c r="L202" s="2260"/>
      <c r="M202" s="2260"/>
      <c r="N202" s="2260"/>
      <c r="O202" s="2261"/>
      <c r="P202" s="2267" t="s">
        <v>2243</v>
      </c>
      <c r="Q202" s="2268"/>
      <c r="R202" s="2268"/>
      <c r="S202" s="2268"/>
      <c r="T202" s="2269"/>
      <c r="U202" s="2273" t="s">
        <v>2242</v>
      </c>
      <c r="V202" s="2274"/>
      <c r="W202" s="2274"/>
      <c r="X202" s="2275"/>
      <c r="Y202" s="2273" t="s">
        <v>2241</v>
      </c>
      <c r="Z202" s="2274"/>
      <c r="AA202" s="2274"/>
      <c r="AB202" s="2275"/>
      <c r="AC202" s="2273" t="s">
        <v>2240</v>
      </c>
      <c r="AD202" s="2274"/>
      <c r="AE202" s="2274"/>
      <c r="AF202" s="2275"/>
      <c r="AG202" s="2265" t="s">
        <v>2239</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1859</v>
      </c>
      <c r="H204" s="2286"/>
      <c r="I204" s="2286"/>
      <c r="J204" s="2286"/>
      <c r="K204" s="2286"/>
      <c r="L204" s="2286"/>
      <c r="M204" s="2286"/>
      <c r="N204" s="2286"/>
      <c r="O204" s="2286"/>
      <c r="P204" s="2287"/>
      <c r="Q204" s="2290"/>
      <c r="R204" s="2290"/>
      <c r="S204" s="2290"/>
      <c r="T204" s="2290"/>
      <c r="U204" s="2288" t="s">
        <v>1859</v>
      </c>
      <c r="V204" s="2288"/>
      <c r="W204" s="2288"/>
      <c r="X204" s="2288"/>
      <c r="Y204" s="2288" t="s">
        <v>1859</v>
      </c>
      <c r="Z204" s="2288"/>
      <c r="AA204" s="2288"/>
      <c r="AB204" s="2288"/>
      <c r="AC204" s="2289" t="s">
        <v>1859</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1859</v>
      </c>
      <c r="H205" s="2286"/>
      <c r="I205" s="2286"/>
      <c r="J205" s="2286"/>
      <c r="K205" s="2286"/>
      <c r="L205" s="2286"/>
      <c r="M205" s="2286"/>
      <c r="N205" s="2286"/>
      <c r="O205" s="2286"/>
      <c r="P205" s="2287"/>
      <c r="Q205" s="2287"/>
      <c r="R205" s="2287"/>
      <c r="S205" s="2287"/>
      <c r="T205" s="2287"/>
      <c r="U205" s="2288" t="s">
        <v>1859</v>
      </c>
      <c r="V205" s="2288"/>
      <c r="W205" s="2288"/>
      <c r="X205" s="2288"/>
      <c r="Y205" s="2288" t="s">
        <v>1859</v>
      </c>
      <c r="Z205" s="2288"/>
      <c r="AA205" s="2288"/>
      <c r="AB205" s="2288"/>
      <c r="AC205" s="2289" t="s">
        <v>1859</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1859</v>
      </c>
      <c r="H206" s="2286"/>
      <c r="I206" s="2286"/>
      <c r="J206" s="2286"/>
      <c r="K206" s="2286"/>
      <c r="L206" s="2286"/>
      <c r="M206" s="2286"/>
      <c r="N206" s="2286"/>
      <c r="O206" s="2286"/>
      <c r="P206" s="2287"/>
      <c r="Q206" s="2287"/>
      <c r="R206" s="2287"/>
      <c r="S206" s="2287"/>
      <c r="T206" s="2287"/>
      <c r="U206" s="2288" t="s">
        <v>1859</v>
      </c>
      <c r="V206" s="2288"/>
      <c r="W206" s="2288"/>
      <c r="X206" s="2288"/>
      <c r="Y206" s="2288" t="s">
        <v>1859</v>
      </c>
      <c r="Z206" s="2288"/>
      <c r="AA206" s="2288"/>
      <c r="AB206" s="2288"/>
      <c r="AC206" s="2289" t="s">
        <v>1859</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1859</v>
      </c>
      <c r="H207" s="2286"/>
      <c r="I207" s="2286"/>
      <c r="J207" s="2286"/>
      <c r="K207" s="2286"/>
      <c r="L207" s="2286"/>
      <c r="M207" s="2286"/>
      <c r="N207" s="2286"/>
      <c r="O207" s="2286"/>
      <c r="P207" s="2287"/>
      <c r="Q207" s="2287"/>
      <c r="R207" s="2287"/>
      <c r="S207" s="2287"/>
      <c r="T207" s="2287"/>
      <c r="U207" s="2288" t="s">
        <v>1859</v>
      </c>
      <c r="V207" s="2288"/>
      <c r="W207" s="2288"/>
      <c r="X207" s="2288"/>
      <c r="Y207" s="2288" t="s">
        <v>1859</v>
      </c>
      <c r="Z207" s="2288"/>
      <c r="AA207" s="2288"/>
      <c r="AB207" s="2288"/>
      <c r="AC207" s="2289" t="s">
        <v>1859</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1859</v>
      </c>
      <c r="H208" s="2286"/>
      <c r="I208" s="2286"/>
      <c r="J208" s="2286"/>
      <c r="K208" s="2286"/>
      <c r="L208" s="2286"/>
      <c r="M208" s="2286"/>
      <c r="N208" s="2286"/>
      <c r="O208" s="2286"/>
      <c r="P208" s="2287"/>
      <c r="Q208" s="2287"/>
      <c r="R208" s="2287"/>
      <c r="S208" s="2287"/>
      <c r="T208" s="2287"/>
      <c r="U208" s="2288" t="s">
        <v>1859</v>
      </c>
      <c r="V208" s="2288"/>
      <c r="W208" s="2288"/>
      <c r="X208" s="2288"/>
      <c r="Y208" s="2288" t="s">
        <v>1859</v>
      </c>
      <c r="Z208" s="2288"/>
      <c r="AA208" s="2288"/>
      <c r="AB208" s="2288"/>
      <c r="AC208" s="2289" t="s">
        <v>1859</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1859</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1859</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1859</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2238</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2236</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2235</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2234</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2233</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2231</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2230</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2229</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2228</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2227</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441</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2226</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2225</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K56" sqref="AK56"/>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28187254</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497</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501</v>
      </c>
      <c r="D17" s="2378"/>
      <c r="E17" s="2378"/>
      <c r="F17" s="2378"/>
      <c r="G17" s="2378"/>
      <c r="H17" s="2378"/>
      <c r="I17" s="2378"/>
      <c r="J17" s="2378"/>
      <c r="K17" s="2378"/>
      <c r="L17" s="2378"/>
      <c r="M17" s="2378"/>
      <c r="N17" s="2378"/>
      <c r="O17" s="2378"/>
      <c r="P17" s="2378"/>
      <c r="Q17" s="2378"/>
      <c r="R17" s="2378"/>
      <c r="S17" s="2379"/>
      <c r="T17" s="2360">
        <v>9318187</v>
      </c>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44"/>
      <c r="C18" s="1563" t="s">
        <v>960</v>
      </c>
      <c r="D18" s="1563"/>
      <c r="E18" s="1563"/>
      <c r="F18" s="1563"/>
      <c r="G18" s="1563"/>
      <c r="H18" s="1563"/>
      <c r="I18" s="1563"/>
      <c r="J18" s="1563"/>
      <c r="K18" s="1563"/>
      <c r="L18" s="1563"/>
      <c r="M18" s="1563"/>
      <c r="N18" s="1563"/>
      <c r="O18" s="1563"/>
      <c r="P18" s="1563"/>
      <c r="Q18" s="1563"/>
      <c r="R18" s="1563"/>
      <c r="S18" s="156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44"/>
      <c r="C19" s="1563" t="s">
        <v>960</v>
      </c>
      <c r="D19" s="1563"/>
      <c r="E19" s="1563"/>
      <c r="F19" s="1563"/>
      <c r="G19" s="1563"/>
      <c r="H19" s="1563"/>
      <c r="I19" s="1563"/>
      <c r="J19" s="1563"/>
      <c r="K19" s="1563"/>
      <c r="L19" s="1563"/>
      <c r="M19" s="1563"/>
      <c r="N19" s="1563"/>
      <c r="O19" s="1563"/>
      <c r="P19" s="1563"/>
      <c r="Q19" s="1563"/>
      <c r="R19" s="1563"/>
      <c r="S19" s="156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9318187</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1263</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-9318187</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18869067</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2.9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Application!AJ1062</f>
        <v>39696339.340000004</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24529787.100000001</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2.9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2.9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24529787.100000001</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2.9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24529787.100000001</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24529787.100000001</v>
      </c>
      <c r="Z38" s="2332"/>
      <c r="AA38" s="2332"/>
      <c r="AB38" s="2332"/>
      <c r="AC38" s="2332"/>
      <c r="AD38" s="2332">
        <f>IF(T24&gt;=(T23+Y23+AD23+AI23),AD28+AI28,0)</f>
        <v>0</v>
      </c>
      <c r="AE38" s="2332"/>
      <c r="AF38" s="2332"/>
      <c r="AG38" s="2332"/>
      <c r="AH38" s="2332"/>
    </row>
    <row r="39" spans="1:76" ht="12.95" customHeight="1">
      <c r="B39" s="2338" t="s">
        <v>1680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981191</v>
      </c>
      <c r="Z40" s="2332"/>
      <c r="AA40" s="2332"/>
      <c r="AB40" s="2332"/>
      <c r="AC40" s="2332"/>
      <c r="AD40" s="2351">
        <f>ROUND(AD38*AD39,0)</f>
        <v>0</v>
      </c>
      <c r="AE40" s="2332"/>
      <c r="AF40" s="2332"/>
      <c r="AG40" s="2332"/>
      <c r="AH40" s="2332"/>
    </row>
    <row r="41" spans="1:76" ht="12.9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981191</v>
      </c>
      <c r="Z41" s="2350"/>
      <c r="AA41" s="2350"/>
      <c r="AB41" s="2350"/>
      <c r="AC41" s="2350"/>
      <c r="AD41" s="2350"/>
      <c r="AE41" s="2350"/>
      <c r="AF41" s="2350"/>
      <c r="AG41" s="2350"/>
      <c r="AH41" s="2351"/>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586</v>
      </c>
      <c r="C46" s="404" t="s">
        <v>282</v>
      </c>
    </row>
    <row r="47" spans="1:76" ht="12.95" customHeight="1">
      <c r="D47" s="404" t="s">
        <v>283</v>
      </c>
      <c r="AB47" s="2346">
        <f>'Sources and Uses Budget'!B105-MAX(IF('Sources and Uses Budget'!B15="",0,'Sources and Uses Budget'!B15),IF(Application!AG403="",0,Application!AG403))</f>
        <v>52230266</v>
      </c>
      <c r="AC47" s="2347"/>
      <c r="AD47" s="2347"/>
      <c r="AE47" s="2347"/>
      <c r="AF47" s="2348"/>
    </row>
    <row r="48" spans="1:76" ht="12.95" customHeight="1">
      <c r="D48" s="404" t="s">
        <v>21</v>
      </c>
      <c r="AB48" s="2346">
        <f>Application!AO647-MAX(IF('Sources and Uses Budget'!B15="",0,'Sources and Uses Budget'!B15),IF(Application!AG403="",0,Application!AG403))</f>
        <v>43694758</v>
      </c>
      <c r="AC48" s="2347"/>
      <c r="AD48" s="2347"/>
      <c r="AE48" s="2347"/>
      <c r="AF48" s="2348"/>
    </row>
    <row r="49" spans="1:76" ht="12.95" customHeight="1">
      <c r="D49" s="404" t="s">
        <v>91</v>
      </c>
      <c r="AB49" s="2346">
        <f>AB47-AB48</f>
        <v>8535508</v>
      </c>
      <c r="AC49" s="2347"/>
      <c r="AD49" s="2347"/>
      <c r="AE49" s="2347"/>
      <c r="AF49" s="2348"/>
    </row>
    <row r="50" spans="1:76" ht="12.95" customHeight="1">
      <c r="D50" s="404" t="s">
        <v>681</v>
      </c>
      <c r="AA50" s="415"/>
      <c r="AB50" s="2334">
        <f>AB49/(Y41*10)</f>
        <v>0.86991299349464069</v>
      </c>
      <c r="AC50" s="2335"/>
      <c r="AD50" s="2335"/>
      <c r="AE50" s="2335"/>
      <c r="AF50" s="2336"/>
    </row>
    <row r="51" spans="1:76" s="417" customFormat="1" ht="12.95" customHeight="1">
      <c r="A51" s="402"/>
      <c r="B51" s="402"/>
      <c r="C51" s="402"/>
      <c r="D51" s="402"/>
      <c r="E51" s="2345" t="s">
        <v>2538</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9811910</v>
      </c>
      <c r="AC54" s="2347"/>
      <c r="AD54" s="2347"/>
      <c r="AE54" s="2347"/>
      <c r="AF54" s="2348"/>
    </row>
    <row r="55" spans="1:76" ht="12.95" customHeight="1">
      <c r="D55" s="404" t="s">
        <v>333</v>
      </c>
      <c r="AB55" s="2346">
        <f>(AB54/10)</f>
        <v>981191</v>
      </c>
      <c r="AC55" s="2347"/>
      <c r="AD55" s="2347"/>
      <c r="AE55" s="2347"/>
      <c r="AF55" s="2348"/>
    </row>
    <row r="56" spans="1:76" ht="12.95" customHeight="1">
      <c r="D56" s="404" t="s">
        <v>756</v>
      </c>
      <c r="AB56" s="2346">
        <f>ROUND((IF((Y41&lt;AB55),Y41,AB55)),0)</f>
        <v>981191</v>
      </c>
      <c r="AC56" s="2347"/>
      <c r="AD56" s="2347"/>
      <c r="AE56" s="2347"/>
      <c r="AF56" s="2348"/>
    </row>
    <row r="57" spans="1:76" ht="12.95" customHeight="1">
      <c r="D57" s="404" t="s">
        <v>755</v>
      </c>
      <c r="AB57" s="2346">
        <f>ROUND((10*AB56*AB50),0)</f>
        <v>8535508</v>
      </c>
      <c r="AC57" s="2347"/>
      <c r="AD57" s="2347"/>
      <c r="AE57" s="2347"/>
      <c r="AF57" s="2348"/>
    </row>
    <row r="58" spans="1:76" ht="12.95" customHeight="1">
      <c r="D58" s="404"/>
      <c r="AB58" s="423"/>
      <c r="AC58" s="423"/>
      <c r="AD58" s="423"/>
      <c r="AE58" s="423"/>
      <c r="AF58" s="423"/>
    </row>
    <row r="59" spans="1:76" ht="12.95" customHeight="1">
      <c r="D59" s="404" t="s">
        <v>754</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589</v>
      </c>
      <c r="C63" s="205" t="s">
        <v>1248</v>
      </c>
      <c r="Y63" s="2341" t="s">
        <v>984</v>
      </c>
      <c r="Z63" s="2341"/>
      <c r="AA63" s="2341"/>
      <c r="AB63" s="2341"/>
      <c r="AC63" s="2341"/>
      <c r="AD63" s="2341" t="s">
        <v>369</v>
      </c>
      <c r="AE63" s="2341"/>
      <c r="AF63" s="2341"/>
      <c r="AG63" s="2341"/>
      <c r="AH63" s="234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Needs"),Application!M367="yes"),AD28+AI28,0)</f>
        <v>0</v>
      </c>
      <c r="AE64" s="2343"/>
      <c r="AF64" s="2343"/>
      <c r="AG64" s="2343"/>
      <c r="AH64" s="2344"/>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System'!B26="Yes"),0.13,0))</f>
        <v>0</v>
      </c>
      <c r="AE67" s="2331"/>
      <c r="AF67" s="2331"/>
      <c r="AG67" s="2331"/>
      <c r="AH67" s="2331"/>
    </row>
    <row r="68" spans="1:37" ht="12.95" customHeight="1">
      <c r="C68" s="404"/>
      <c r="D68" s="205" t="s">
        <v>2180</v>
      </c>
      <c r="Y68" s="2332">
        <f>IF(AND(T25=1.3,OR(Y67=0.13,Y67=0.95),NOT(Application!T212&gt;=50%)),0,ROUND(Y64*Y67,0))</f>
        <v>0</v>
      </c>
      <c r="Z68" s="2333"/>
      <c r="AA68" s="2333"/>
      <c r="AB68" s="2333"/>
      <c r="AC68" s="2333"/>
      <c r="AD68" s="2332">
        <f>IF(AND(T25=1.3,AD67&gt;0,NOT(Application!T212&gt;=50%)),0,ROUND(AD64*AD67,0))</f>
        <v>0</v>
      </c>
      <c r="AE68" s="2333"/>
      <c r="AF68" s="2333"/>
      <c r="AG68" s="2333"/>
      <c r="AH68" s="2333"/>
      <c r="AK68" s="1192"/>
    </row>
    <row r="69" spans="1:37" ht="12.95" customHeight="1">
      <c r="C69" s="404"/>
      <c r="D69" s="205" t="s">
        <v>2181</v>
      </c>
      <c r="Y69" s="2332">
        <f>IF(OR(Application!Z205="State Farmworker Credit",Application!Z205="$500M (Farmworker Housing)"),Y68+AD68,MIN(Y68+AD68,200000*(Application!G761+Application!O785)))</f>
        <v>0</v>
      </c>
      <c r="Z69" s="2332"/>
      <c r="AA69" s="2332"/>
      <c r="AB69" s="2332"/>
      <c r="AC69" s="2332"/>
      <c r="AD69" s="2332"/>
      <c r="AE69" s="2332"/>
      <c r="AF69" s="2332"/>
      <c r="AG69" s="2332"/>
      <c r="AH69" s="2332"/>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4"/>
      <c r="AC72" s="2335"/>
      <c r="AD72" s="2335"/>
      <c r="AE72" s="2335"/>
      <c r="AF72" s="2336"/>
    </row>
    <row r="73" spans="1:37" ht="12.95"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5">
        <f>ROUND(IF(ISERROR((AB59/AB72)),0,(AB59/AB72)),0)</f>
        <v>0</v>
      </c>
      <c r="AC77" s="2325"/>
      <c r="AD77" s="2325"/>
      <c r="AE77" s="2325"/>
      <c r="AF77" s="2325"/>
    </row>
    <row r="78" spans="1:37" ht="12.95" customHeight="1">
      <c r="C78" s="404"/>
      <c r="D78" s="205" t="s">
        <v>1253</v>
      </c>
      <c r="AB78" s="2326">
        <f>ROUNDUP(MIN(Y69,AB77),0)</f>
        <v>0</v>
      </c>
      <c r="AC78" s="2327"/>
      <c r="AD78" s="2327"/>
      <c r="AE78" s="2327"/>
      <c r="AF78" s="2328"/>
    </row>
    <row r="79" spans="1:37" ht="12.95" customHeight="1">
      <c r="C79" s="404"/>
      <c r="D79" s="205" t="s">
        <v>1254</v>
      </c>
      <c r="AB79" s="2329">
        <f>AB78*AB72</f>
        <v>0</v>
      </c>
      <c r="AC79" s="2329"/>
      <c r="AD79" s="2329"/>
      <c r="AE79" s="2329"/>
      <c r="AF79" s="2329"/>
    </row>
    <row r="80" spans="1:37" ht="12.95" customHeight="1">
      <c r="C80" s="404"/>
      <c r="D80" s="404"/>
      <c r="AB80" s="425"/>
      <c r="AC80" s="425"/>
      <c r="AD80" s="425"/>
      <c r="AE80" s="425"/>
      <c r="AF80" s="425"/>
    </row>
    <row r="81" spans="1:78" ht="12.95" customHeight="1">
      <c r="D81" s="404" t="s">
        <v>754</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hidden="1" customHeight="1">
      <c r="A86" s="404"/>
      <c r="C86" s="205"/>
    </row>
    <row r="87" spans="1:78" ht="12.95" hidden="1" customHeight="1">
      <c r="D87" s="205"/>
      <c r="AB87" s="2381"/>
      <c r="AC87" s="2381"/>
      <c r="AD87" s="2381"/>
      <c r="AE87" s="2381"/>
      <c r="AF87" s="2381"/>
    </row>
    <row r="88" spans="1:78" ht="12.95"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zoomScale="115" zoomScaleNormal="115" workbookViewId="0">
      <selection activeCell="O127" sqref="O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4" t="s">
        <v>1299</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1303</v>
      </c>
      <c r="AF7" s="2417"/>
      <c r="AG7" s="2417"/>
      <c r="AH7" s="2417"/>
      <c r="AI7" s="2417"/>
      <c r="AJ7" s="2417"/>
      <c r="AK7" s="2417"/>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591</v>
      </c>
      <c r="C12" s="2389"/>
      <c r="D12" s="540"/>
      <c r="E12" s="2405" t="s">
        <v>2552</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591</v>
      </c>
      <c r="C16" s="2389"/>
      <c r="D16" s="540"/>
      <c r="E16" s="2405" t="s">
        <v>2553</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591</v>
      </c>
      <c r="C20" s="2389"/>
      <c r="D20" s="540"/>
      <c r="E20" s="2405" t="s">
        <v>1980</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591</v>
      </c>
      <c r="C26" s="2389"/>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591</v>
      </c>
      <c r="C30" s="2389"/>
      <c r="D30" s="546"/>
      <c r="E30" s="2390" t="s">
        <v>2560</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591</v>
      </c>
      <c r="C33" s="2389"/>
      <c r="D33" s="546"/>
      <c r="E33" s="2390" t="s">
        <v>2561</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1305</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591</v>
      </c>
      <c r="C37" s="2389"/>
      <c r="D37" s="1136"/>
      <c r="E37" s="2396" t="s">
        <v>2565</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591</v>
      </c>
      <c r="C39" s="2389"/>
      <c r="D39" s="1136"/>
      <c r="E39" s="2396" t="s">
        <v>2562</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591</v>
      </c>
      <c r="C43" s="2389"/>
      <c r="D43" s="546"/>
      <c r="E43" s="2399" t="s">
        <v>2564</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591</v>
      </c>
      <c r="C46" s="2389"/>
      <c r="D46" s="546"/>
      <c r="E46" s="2390" t="s">
        <v>2563</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591</v>
      </c>
      <c r="C49" s="2389"/>
      <c r="D49" s="546"/>
      <c r="E49" s="2405" t="s">
        <v>1994</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591</v>
      </c>
      <c r="C52" s="2389"/>
      <c r="D52" s="546"/>
      <c r="E52" s="2396" t="s">
        <v>2203</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591</v>
      </c>
      <c r="C56" s="2389"/>
      <c r="D56" s="546"/>
      <c r="E56" s="2405" t="s">
        <v>2566</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591</v>
      </c>
      <c r="C59" s="2389"/>
      <c r="D59" s="546"/>
      <c r="E59" s="2396" t="s">
        <v>2567</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1308</v>
      </c>
      <c r="AF64" s="2417"/>
      <c r="AG64" s="2417"/>
      <c r="AH64" s="2417"/>
      <c r="AI64" s="2417"/>
      <c r="AJ64" s="2417"/>
      <c r="AK64" s="2417"/>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591</v>
      </c>
      <c r="C67" s="2389"/>
      <c r="D67" s="546" t="s">
        <v>1309</v>
      </c>
      <c r="E67" s="2399" t="s">
        <v>1981</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10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591</v>
      </c>
      <c r="C73" s="2389"/>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591</v>
      </c>
      <c r="F74" s="2389"/>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591</v>
      </c>
      <c r="F75" s="2416"/>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591</v>
      </c>
      <c r="F76" s="2416"/>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545</v>
      </c>
      <c r="C78" s="2389"/>
      <c r="D78" s="546" t="s">
        <v>1314</v>
      </c>
      <c r="E78" s="2405" t="s">
        <v>1729</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591</v>
      </c>
      <c r="C81" s="2389"/>
      <c r="D81" s="546" t="s">
        <v>1461</v>
      </c>
      <c r="E81" s="2396" t="s">
        <v>1727</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1303</v>
      </c>
      <c r="AF86" s="2417"/>
      <c r="AG86" s="2417"/>
      <c r="AH86" s="2417"/>
      <c r="AI86" s="2417"/>
      <c r="AJ86" s="2417"/>
      <c r="AK86" s="2417"/>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545</v>
      </c>
      <c r="C89" s="2389"/>
      <c r="D89" s="546" t="s">
        <v>1309</v>
      </c>
      <c r="E89" s="2399" t="s">
        <v>1319</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0.39565217391304347</v>
      </c>
      <c r="F92" s="2412"/>
      <c r="G92" s="2412"/>
      <c r="H92" s="2412"/>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0.19999999999999996</v>
      </c>
      <c r="F93" s="2414"/>
      <c r="G93" s="2414"/>
      <c r="H93" s="2414"/>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20</v>
      </c>
      <c r="F94" s="2441"/>
      <c r="G94" s="2441"/>
      <c r="H94" s="244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c r="C97" s="2389"/>
      <c r="D97" s="546" t="s">
        <v>1311</v>
      </c>
      <c r="E97" s="2399" t="s">
        <v>1714</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0.39565217391304347</v>
      </c>
      <c r="F102" s="2412"/>
      <c r="G102" s="2412"/>
      <c r="H102" s="2412"/>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0.52173913043478259</v>
      </c>
      <c r="F103" s="2412"/>
      <c r="G103" s="2412"/>
      <c r="H103" s="2412"/>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0.47826086956521741</v>
      </c>
      <c r="F104" s="2412"/>
      <c r="G104" s="2412"/>
      <c r="H104" s="2412"/>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8">
        <f>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1308</v>
      </c>
      <c r="AF111" s="2417"/>
      <c r="AG111" s="2417"/>
      <c r="AH111" s="2417"/>
      <c r="AI111" s="2417"/>
      <c r="AJ111" s="2417"/>
      <c r="AK111" s="2417"/>
      <c r="AL111" s="540"/>
      <c r="AM111" s="540"/>
      <c r="AN111" s="535"/>
      <c r="AO111" s="536" t="str">
        <f>Application!B726</f>
        <v>SRO/Studio</v>
      </c>
      <c r="AQ111" s="536">
        <f>Application!O726</f>
        <v>795</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1325</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852</v>
      </c>
    </row>
    <row r="114" spans="1:52" s="536" customFormat="1" ht="12.75" customHeight="1">
      <c r="A114" s="540"/>
      <c r="B114" s="2389" t="s">
        <v>545</v>
      </c>
      <c r="C114" s="2389"/>
      <c r="D114" s="546" t="s">
        <v>1309</v>
      </c>
      <c r="E114" s="2399" t="s">
        <v>2569</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1 Bedroom</v>
      </c>
      <c r="AQ114" s="536">
        <f>Application!O729</f>
        <v>1420</v>
      </c>
      <c r="AU114" s="536" t="s">
        <v>1817</v>
      </c>
      <c r="AV114" s="593" t="s">
        <v>1818</v>
      </c>
      <c r="AW114" s="536" t="s">
        <v>1819</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2 Bedrooms</v>
      </c>
      <c r="AQ115" s="536">
        <f>Application!O730</f>
        <v>1022</v>
      </c>
      <c r="AU115" s="852" t="str">
        <f>E123</f>
        <v>Studio/SRO</v>
      </c>
      <c r="AV115" s="536">
        <f t="array" ref="AV115">SUM(IF(Application!B726:F760="SRO/Studio",Application!G726:J760))</f>
        <v>2</v>
      </c>
      <c r="AW115" s="1006">
        <f>AV115/AV121</f>
        <v>8.6956521739130432E-2</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2 Bedrooms</v>
      </c>
      <c r="AQ116" s="536">
        <f>Application!O731</f>
        <v>1703</v>
      </c>
      <c r="AU116" s="852" t="str">
        <f>J123</f>
        <v>1-bedroom</v>
      </c>
      <c r="AV116" s="536">
        <f t="array" ref="AV116">SUM(IF(Application!B726:F760="1 Bedroom",Application!G726:J760))</f>
        <v>19</v>
      </c>
      <c r="AW116" s="1006">
        <f>AV116/AV121</f>
        <v>0.82608695652173914</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f>Application!B732</f>
        <v>0</v>
      </c>
      <c r="AQ117" s="536">
        <f>Application!O732</f>
        <v>0</v>
      </c>
      <c r="AU117" s="852" t="str">
        <f>O123</f>
        <v>2-bedroom</v>
      </c>
      <c r="AV117" s="536">
        <f t="array" ref="AV117">SUM(IF(Application!B726:F760="2 Bedrooms",Application!G726:J760))</f>
        <v>2</v>
      </c>
      <c r="AW117" s="1006">
        <f>AV117/AV121</f>
        <v>8.6956521739130432E-2</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f>Application!B736</f>
        <v>0</v>
      </c>
      <c r="AQ121" s="536">
        <f>Application!O736</f>
        <v>0</v>
      </c>
      <c r="AV121" s="536">
        <f>SUM(AV115:AV120)</f>
        <v>23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1" t="s">
        <v>1577</v>
      </c>
      <c r="F123" s="2412"/>
      <c r="G123" s="2412"/>
      <c r="H123" s="2412"/>
      <c r="I123" s="575"/>
      <c r="J123" s="2412" t="s">
        <v>1620</v>
      </c>
      <c r="K123" s="2412"/>
      <c r="L123" s="2412"/>
      <c r="M123" s="2412"/>
      <c r="N123" s="575"/>
      <c r="O123" s="2412" t="s">
        <v>1621</v>
      </c>
      <c r="P123" s="2412"/>
      <c r="Q123" s="2412"/>
      <c r="R123" s="2412"/>
      <c r="S123" s="575"/>
      <c r="T123" s="2412" t="s">
        <v>1328</v>
      </c>
      <c r="U123" s="2412"/>
      <c r="V123" s="2412"/>
      <c r="W123" s="2412"/>
      <c r="X123" s="575"/>
      <c r="Y123" s="2412" t="s">
        <v>1622</v>
      </c>
      <c r="Z123" s="2412"/>
      <c r="AA123" s="2412"/>
      <c r="AB123" s="2412"/>
      <c r="AC123" s="575"/>
      <c r="AD123" s="2412" t="s">
        <v>1623</v>
      </c>
      <c r="AE123" s="2412"/>
      <c r="AF123" s="2412"/>
      <c r="AG123" s="24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8">
        <v>2719</v>
      </c>
      <c r="F126" s="2449"/>
      <c r="G126" s="2449"/>
      <c r="H126" s="2449"/>
      <c r="I126" s="860"/>
      <c r="J126" s="2449">
        <v>3032</v>
      </c>
      <c r="K126" s="2449"/>
      <c r="L126" s="2449"/>
      <c r="M126" s="2449"/>
      <c r="N126" s="860"/>
      <c r="O126" s="2449">
        <v>4382</v>
      </c>
      <c r="P126" s="2449"/>
      <c r="Q126" s="2449"/>
      <c r="R126" s="2449"/>
      <c r="S126" s="860"/>
      <c r="T126" s="2449"/>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1060</v>
      </c>
      <c r="F129" s="2423"/>
      <c r="G129" s="2423"/>
      <c r="H129" s="2423"/>
      <c r="I129" s="860"/>
      <c r="J129" s="2423">
        <f>Application!EC678</f>
        <v>1121.0526315789473</v>
      </c>
      <c r="K129" s="2423"/>
      <c r="L129" s="2423"/>
      <c r="M129" s="2423"/>
      <c r="N129" s="860"/>
      <c r="O129" s="2423">
        <f>Application!EH678</f>
        <v>1362.5</v>
      </c>
      <c r="P129" s="2423"/>
      <c r="Q129" s="2423"/>
      <c r="R129" s="2423"/>
      <c r="S129" s="864"/>
      <c r="T129" s="2423">
        <f>Application!EM678</f>
        <v>0</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0.61015079073188672</v>
      </c>
      <c r="F132" s="2414"/>
      <c r="G132" s="2414"/>
      <c r="H132" s="2622"/>
      <c r="I132" s="575"/>
      <c r="J132" s="2621">
        <f>(J126-J129)/J126</f>
        <v>0.63025968615470074</v>
      </c>
      <c r="K132" s="2414"/>
      <c r="L132" s="2414"/>
      <c r="M132" s="2622"/>
      <c r="N132" s="575"/>
      <c r="O132" s="2621">
        <f>(O126-O129)/O126</f>
        <v>0.68906891830214512</v>
      </c>
      <c r="P132" s="2414"/>
      <c r="Q132" s="2414"/>
      <c r="R132" s="2622"/>
      <c r="S132" s="575"/>
      <c r="T132" s="2621" t="e">
        <f>(T126-T129)/T126</f>
        <v>#DIV/0!</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4.4360938324511892E-2</v>
      </c>
      <c r="F135" s="2438"/>
      <c r="G135" s="2438"/>
      <c r="H135" s="2439"/>
      <c r="I135" s="575"/>
      <c r="J135" s="2437">
        <f>IF(((J132-0.1)*AW116)&gt;0,((J132-0.1)*AW116),0)</f>
        <v>0.43804061030170932</v>
      </c>
      <c r="K135" s="2438"/>
      <c r="L135" s="2438"/>
      <c r="M135" s="2439"/>
      <c r="N135" s="575"/>
      <c r="O135" s="2437">
        <f>IF(((O132-0.1)*AW117)&gt;0,((O132-0.1)*AW117),0)</f>
        <v>5.1223384200186531E-2</v>
      </c>
      <c r="P135" s="2438"/>
      <c r="Q135" s="2438"/>
      <c r="R135" s="2439"/>
      <c r="S135" s="575"/>
      <c r="T135" s="2437" t="e">
        <f>IF(((T132-0.1)*AW118)&gt;0,((T132-0.1)*AW118),0)</f>
        <v>#DIV/0!</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0.53</v>
      </c>
      <c r="F137" s="2414"/>
      <c r="G137" s="2414"/>
      <c r="H137" s="2622"/>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7" t="s">
        <v>1308</v>
      </c>
      <c r="AF145" s="2417"/>
      <c r="AG145" s="2417"/>
      <c r="AH145" s="2417"/>
      <c r="AI145" s="2417"/>
      <c r="AJ145" s="2417"/>
      <c r="AK145" s="2417"/>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1332</v>
      </c>
      <c r="AG147" s="2450"/>
      <c r="AH147" s="2450"/>
      <c r="AI147" s="2450"/>
      <c r="AJ147" s="2450"/>
      <c r="AK147" s="2450"/>
      <c r="AL147" s="2450"/>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2655</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1" t="s">
        <v>1335</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2" t="s">
        <v>545</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1" t="s">
        <v>1340</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2408</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2409</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2407</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591</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1346</v>
      </c>
      <c r="AG167" s="2450"/>
      <c r="AH167" s="2450"/>
      <c r="AI167" s="2450"/>
      <c r="AJ167" s="2450"/>
      <c r="AK167" s="2450"/>
      <c r="AL167" s="2450"/>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1344</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545</v>
      </c>
      <c r="AG171" s="246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1" t="s">
        <v>1350</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3" t="str">
        <f>Application!AA344</f>
        <v>Hyder Property Management Professionals</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1308</v>
      </c>
      <c r="AF185" s="2417"/>
      <c r="AG185" s="2417"/>
      <c r="AH185" s="2417"/>
      <c r="AI185" s="2417"/>
      <c r="AJ185" s="2417"/>
      <c r="AK185" s="2417"/>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8" t="s">
        <v>1043</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1357</v>
      </c>
      <c r="AG187" s="2450"/>
      <c r="AH187" s="2450"/>
      <c r="AI187" s="2450"/>
      <c r="AJ187" s="2450"/>
      <c r="AK187" s="2450"/>
      <c r="AL187" s="2450"/>
      <c r="AN187" s="595"/>
      <c r="AP187" s="549" t="s">
        <v>1043</v>
      </c>
      <c r="AQ187" s="549">
        <v>10</v>
      </c>
    </row>
    <row r="188" spans="1:73" s="549" customFormat="1" ht="12.75" customHeight="1">
      <c r="A188" s="536"/>
      <c r="B188" s="2459" t="s">
        <v>1715</v>
      </c>
      <c r="C188" s="2459"/>
      <c r="D188" s="2459"/>
      <c r="E188" s="2459"/>
      <c r="F188" s="2459"/>
      <c r="G188" s="2459"/>
      <c r="H188" s="2459"/>
      <c r="I188" s="2459"/>
      <c r="J188" s="2459"/>
      <c r="K188" s="2459"/>
      <c r="L188" s="2459"/>
      <c r="M188" s="2459"/>
      <c r="N188" s="2459"/>
      <c r="O188" s="2459"/>
      <c r="P188" s="2459"/>
      <c r="Q188" s="2459"/>
      <c r="R188" s="2459"/>
      <c r="S188" s="2459"/>
      <c r="T188" s="2460" t="s">
        <v>591</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5">
        <f>IF(AK83&gt;0,VLOOKUP($B$187,AP184:AQ190,2,FALSE),0)</f>
        <v>10</v>
      </c>
      <c r="AL190" s="2476"/>
      <c r="AM190" s="2477"/>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1365</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1616</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1579</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1596</v>
      </c>
      <c r="J221" s="2456"/>
      <c r="K221" s="2456"/>
      <c r="L221" s="536"/>
      <c r="M221" s="536"/>
      <c r="N221" s="536"/>
      <c r="O221" s="536"/>
      <c r="P221" s="536"/>
      <c r="Q221" s="536"/>
      <c r="R221" s="536"/>
      <c r="S221" s="536"/>
      <c r="T221" s="2624" t="s">
        <v>1590</v>
      </c>
      <c r="U221" s="2624"/>
      <c r="V221" s="2624"/>
      <c r="W221" s="2624"/>
      <c r="X221" s="2624"/>
      <c r="Y221" s="2624"/>
      <c r="Z221" s="845"/>
      <c r="AA221" s="489"/>
      <c r="AB221" s="2451" t="s">
        <v>1591</v>
      </c>
      <c r="AC221" s="2451"/>
      <c r="AD221" s="2451"/>
      <c r="AE221" s="2451"/>
      <c r="AF221" s="2451"/>
      <c r="AG221" s="2451"/>
      <c r="AH221" s="823"/>
      <c r="AI221" s="823"/>
      <c r="AJ221" s="823"/>
      <c r="AK221" s="608"/>
    </row>
    <row r="222" spans="1:37" hidden="1">
      <c r="A222" s="603"/>
      <c r="B222" s="2454" t="s">
        <v>1576</v>
      </c>
      <c r="C222" s="2454"/>
      <c r="D222" s="2454"/>
      <c r="E222" s="2454"/>
      <c r="F222" s="2454"/>
      <c r="G222" s="2454"/>
      <c r="I222" s="2455" t="s">
        <v>1597</v>
      </c>
      <c r="J222" s="2455"/>
      <c r="K222" s="2455"/>
      <c r="L222" s="1003"/>
      <c r="N222" s="2445" t="s">
        <v>1592</v>
      </c>
      <c r="O222" s="2445"/>
      <c r="P222" s="2445"/>
      <c r="Q222" s="2445"/>
      <c r="R222" s="2445"/>
      <c r="T222" s="2445" t="s">
        <v>1593</v>
      </c>
      <c r="U222" s="2445"/>
      <c r="V222" s="2445"/>
      <c r="W222" s="2445"/>
      <c r="X222" s="2445"/>
      <c r="Y222" s="2445"/>
      <c r="Z222" s="846"/>
      <c r="AA222" s="489"/>
      <c r="AB222" s="2603" t="s">
        <v>1594</v>
      </c>
      <c r="AC222" s="2603"/>
      <c r="AD222" s="2603"/>
      <c r="AE222" s="2603"/>
      <c r="AF222" s="2603"/>
      <c r="AG222" s="2603"/>
      <c r="AH222" s="823"/>
      <c r="AI222" s="823"/>
      <c r="AJ222" s="823"/>
      <c r="AK222" s="608"/>
    </row>
    <row r="223" spans="1:37" hidden="1">
      <c r="A223" s="603"/>
      <c r="B223" s="2457" t="s">
        <v>1184</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1184</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1184</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1184</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1184</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1184</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1184</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1184</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1184</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1184</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0.42397168722058587</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30086112</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0">
        <f>IFERROR(IF(AG269=0,0,IF((AG269*100)&gt;8,8,(AG269*100))),0)</f>
        <v>0</v>
      </c>
      <c r="AL272" s="2480"/>
      <c r="AM272" s="2481"/>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2" t="s">
        <v>545</v>
      </c>
      <c r="D279" s="2472"/>
      <c r="E279" s="546"/>
      <c r="F279" s="2627" t="s">
        <v>2570</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1357</v>
      </c>
      <c r="AH279" s="2473"/>
      <c r="AI279" s="2473"/>
      <c r="AJ279" s="2473"/>
      <c r="AK279" s="549"/>
      <c r="AL279" s="549"/>
      <c r="AM279" s="549"/>
      <c r="AO279" s="549"/>
    </row>
    <row r="280" spans="1:52" ht="13.7"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2577</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0">
        <f>IF($C$279="yes",10,0)</f>
        <v>10</v>
      </c>
      <c r="AL298" s="2480"/>
      <c r="AM298" s="2481"/>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9" t="s">
        <v>1374</v>
      </c>
      <c r="B305" s="1669"/>
      <c r="C305" s="2462" t="s">
        <v>545</v>
      </c>
      <c r="D305" s="2472"/>
      <c r="E305" s="546"/>
      <c r="F305" s="2494" t="s">
        <v>1375</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1982</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6" t="s">
        <v>1987</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1376</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1377</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9" t="s">
        <v>1378</v>
      </c>
      <c r="B315" s="1669"/>
      <c r="C315" s="2472" t="s">
        <v>591</v>
      </c>
      <c r="D315" s="2472"/>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6" t="s">
        <v>1983</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69" t="s">
        <v>1381</v>
      </c>
      <c r="B323" s="1669"/>
      <c r="C323" s="2472" t="s">
        <v>591</v>
      </c>
      <c r="D323" s="2472"/>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6" t="s">
        <v>1988</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1184</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1184</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7" t="s">
        <v>1184</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7" t="s">
        <v>1184</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69" t="s">
        <v>1384</v>
      </c>
      <c r="B346" s="1669"/>
      <c r="C346" s="2472" t="s">
        <v>591</v>
      </c>
      <c r="D346" s="2472"/>
      <c r="E346" s="546"/>
      <c r="F346" s="2405" t="s">
        <v>1989</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5">
        <f>IF(NOT(OR(Application!M364="Yes",Application!M365="Yes")),0,AP308)</f>
        <v>10</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7" t="s">
        <v>1308</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1445</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2049</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2163</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1446</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1447</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0</v>
      </c>
      <c r="AS372" s="539" t="s">
        <v>1448</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581</v>
      </c>
      <c r="AP374" s="692">
        <f>IF(C420="Yes",5,0)</f>
        <v>0</v>
      </c>
      <c r="AS374" s="539" t="s">
        <v>1853</v>
      </c>
    </row>
    <row r="375" spans="1:46" s="549" customFormat="1" ht="12.75" customHeight="1">
      <c r="A375" s="601"/>
      <c r="B375" s="609"/>
      <c r="C375" s="2542" t="s">
        <v>2187</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0</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763</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584</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227</v>
      </c>
      <c r="AP379" s="696">
        <f>SUM(AP370:AP378)</f>
        <v>0</v>
      </c>
      <c r="AQ379" s="2543">
        <f>IF(AP379&gt;0,AP379,0)</f>
        <v>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1" t="s">
        <v>1449</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456</v>
      </c>
      <c r="AP382" s="692">
        <f>IF(C455="Yes",5,0)</f>
        <v>5</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461</v>
      </c>
      <c r="AP383" s="692">
        <f>IF(C462="Yes",5,0)</f>
        <v>5</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7">
        <f>Application!DU810-U387</f>
        <v>0</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25</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10</v>
      </c>
      <c r="AQ388" s="2543">
        <f>IF(AP388&gt;0,AP388,0)</f>
        <v>10</v>
      </c>
      <c r="AR388" s="2543"/>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5" t="s">
        <v>1451</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591</v>
      </c>
      <c r="D394" s="2472"/>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1453</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5" t="s">
        <v>1454</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591</v>
      </c>
      <c r="D402" s="2472"/>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1453</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5" t="s">
        <v>1456</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591</v>
      </c>
      <c r="D410" s="2472"/>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1458</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591</v>
      </c>
      <c r="D412" s="2472"/>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1453</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5" t="s">
        <v>1462</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591</v>
      </c>
      <c r="D420" s="2472"/>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1453</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591</v>
      </c>
      <c r="D422" s="2472"/>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1465</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591</v>
      </c>
      <c r="D425" s="2472"/>
      <c r="E425" s="711" t="s">
        <v>1466</v>
      </c>
      <c r="F425" s="2515" t="s">
        <v>1467</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1453</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5" t="s">
        <v>1469</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591</v>
      </c>
      <c r="D434" s="2472"/>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1453</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591</v>
      </c>
      <c r="D436" s="2472"/>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1465</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5" t="s">
        <v>1473</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591</v>
      </c>
      <c r="D443" s="2472"/>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1453</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5" t="s">
        <v>1476</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545</v>
      </c>
      <c r="D455" s="2472"/>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1453</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5" t="s">
        <v>1479</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545</v>
      </c>
      <c r="D462" s="2472"/>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1453</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591</v>
      </c>
      <c r="D466" s="2518"/>
      <c r="E466" s="711" t="s">
        <v>1488</v>
      </c>
      <c r="F466" s="2515" t="s">
        <v>1489</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1453</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591</v>
      </c>
      <c r="D470" s="2472"/>
      <c r="E470" s="711" t="s">
        <v>1494</v>
      </c>
      <c r="F470" s="2515" t="s">
        <v>1495</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1453</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5" t="s">
        <v>1498</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591</v>
      </c>
      <c r="D479" s="2472"/>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1453</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3" t="s">
        <v>1502</v>
      </c>
      <c r="AF485" s="2513"/>
      <c r="AG485" s="2513"/>
      <c r="AH485" s="2513"/>
      <c r="AI485" s="2513"/>
      <c r="AJ485" s="2513"/>
      <c r="AK485" s="2513"/>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9" t="s">
        <v>591</v>
      </c>
      <c r="D491" s="2520"/>
      <c r="E491" s="757" t="s">
        <v>507</v>
      </c>
      <c r="F491" s="2521" t="s">
        <v>1508</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7" t="s">
        <v>591</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8" t="s">
        <v>545</v>
      </c>
      <c r="D495" s="2639"/>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6" t="s">
        <v>591</v>
      </c>
      <c r="W498" s="2606"/>
      <c r="X498" s="260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6" t="s">
        <v>591</v>
      </c>
      <c r="W500" s="2606"/>
      <c r="X500" s="260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6" t="s">
        <v>591</v>
      </c>
      <c r="W505" s="2606"/>
      <c r="X505" s="260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2"/>
      <c r="E508" s="2592"/>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6" t="s">
        <v>591</v>
      </c>
      <c r="W509" s="2606"/>
      <c r="X509" s="260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6" t="s">
        <v>591</v>
      </c>
      <c r="W511" s="2606"/>
      <c r="X511" s="260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591</v>
      </c>
      <c r="D514" s="2520"/>
      <c r="E514" s="757" t="s">
        <v>507</v>
      </c>
      <c r="F514" s="2521" t="s">
        <v>1508</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591</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591</v>
      </c>
      <c r="D518" s="2520"/>
      <c r="E518" s="757" t="s">
        <v>757</v>
      </c>
      <c r="F518" s="2614" t="s">
        <v>1530</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591</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591</v>
      </c>
      <c r="D523" s="252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591</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591</v>
      </c>
      <c r="D528" s="2595"/>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591</v>
      </c>
      <c r="D532" s="2595"/>
      <c r="F532" s="791" t="s">
        <v>1538</v>
      </c>
      <c r="G532" s="2388" t="s">
        <v>1539</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591</v>
      </c>
      <c r="D536" s="2597"/>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591</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1551</v>
      </c>
      <c r="AF551" s="2417"/>
      <c r="AG551" s="2417"/>
      <c r="AH551" s="2417"/>
      <c r="AI551" s="2417"/>
      <c r="AJ551" s="2417"/>
      <c r="AK551" s="2417"/>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c r="D554" s="2472"/>
      <c r="E554" s="550"/>
      <c r="F554" s="2523" t="s">
        <v>1552</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545</v>
      </c>
      <c r="D557" s="2472"/>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2630</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1554</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12186954</v>
      </c>
      <c r="AQ563" s="2605"/>
      <c r="AR563" s="2605"/>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28187254</v>
      </c>
      <c r="AG564" s="2478"/>
      <c r="AH564" s="2478"/>
      <c r="AI564" s="2478"/>
      <c r="AJ564" s="2478"/>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31043602</v>
      </c>
      <c r="AG565" s="2609"/>
      <c r="AH565" s="2609"/>
      <c r="AI565" s="2609"/>
      <c r="AJ565" s="2609"/>
      <c r="AK565" s="593"/>
      <c r="AL565" s="593"/>
      <c r="AM565" s="593"/>
      <c r="AN565" s="595"/>
      <c r="AP565" s="2605">
        <f>Application!AJ1054</f>
        <v>5727868.3799999999</v>
      </c>
      <c r="AQ565" s="2605"/>
      <c r="AR565" s="2605"/>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0.18</v>
      </c>
      <c r="AG566" s="2610"/>
      <c r="AH566" s="2610"/>
      <c r="AI566" s="2610"/>
      <c r="AJ566" s="2610"/>
      <c r="AK566" s="593"/>
      <c r="AL566" s="593"/>
      <c r="AM566" s="593"/>
      <c r="AN566" s="595"/>
      <c r="AP566" s="2625">
        <f>Application!AJ1058</f>
        <v>12674432.16</v>
      </c>
      <c r="AQ566" s="2625"/>
      <c r="AR566" s="2625"/>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0.8</v>
      </c>
      <c r="AQ567" s="2604"/>
      <c r="AR567" s="2604"/>
      <c r="AS567" s="549" t="s">
        <v>2127</v>
      </c>
    </row>
    <row r="568" spans="1:45" s="549" customFormat="1" ht="12.75" customHeight="1">
      <c r="A568" s="622"/>
      <c r="B568" s="2551" t="s">
        <v>1993</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21294038.800000001</v>
      </c>
      <c r="AQ569" s="2536"/>
      <c r="AR569" s="2536"/>
      <c r="AS569" s="549" t="s">
        <v>2129</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39696339.340000004</v>
      </c>
      <c r="AQ570" s="2605"/>
      <c r="AR570" s="2605"/>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0">
        <f>IFERROR(IF(AND(C554="N/A",C557="N/A"),0,IF(AF566=0,0,IF((AF566*100)&gt;12,12,(AF566*100)))),0)</f>
        <v>12</v>
      </c>
      <c r="AL572" s="2560"/>
      <c r="AM572" s="2561"/>
      <c r="AN572" s="595"/>
      <c r="AP572" s="2618">
        <f>AP569+(AP563*AP567)</f>
        <v>31043602</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1308</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1985</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1332</v>
      </c>
      <c r="AG591" s="2450"/>
      <c r="AH591" s="2450"/>
      <c r="AI591" s="2450"/>
      <c r="AJ591" s="2450"/>
      <c r="AK591" s="2450"/>
      <c r="AL591" s="2450"/>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1388</v>
      </c>
      <c r="AG598" s="2450"/>
      <c r="AH598" s="2450"/>
      <c r="AI598" s="2450"/>
      <c r="AJ598" s="2450"/>
      <c r="AK598" s="2450"/>
      <c r="AL598" s="2450"/>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1371</v>
      </c>
      <c r="AG604" s="2450"/>
      <c r="AH604" s="2450"/>
      <c r="AI604" s="2450"/>
      <c r="AJ604" s="2450"/>
      <c r="AK604" s="2450"/>
      <c r="AL604" s="2450"/>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1391</v>
      </c>
      <c r="AG610" s="2450"/>
      <c r="AH610" s="2450"/>
      <c r="AI610" s="2450"/>
      <c r="AJ610" s="2450"/>
      <c r="AK610" s="2450"/>
      <c r="AL610" s="2450"/>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2" t="s">
        <v>1184</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1346</v>
      </c>
      <c r="AG616" s="2450"/>
      <c r="AH616" s="2450"/>
      <c r="AI616" s="2450"/>
      <c r="AJ616" s="2450"/>
      <c r="AK616" s="2450"/>
      <c r="AL616" s="2450"/>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0" t="s">
        <v>509</v>
      </c>
      <c r="I619" s="2530"/>
      <c r="J619" s="932"/>
      <c r="K619" s="932"/>
      <c r="L619" s="932"/>
      <c r="N619" s="22"/>
      <c r="O619" s="22"/>
      <c r="P619" s="22"/>
      <c r="Q619" s="1145" t="s">
        <v>2132</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1" t="s">
        <v>591</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2" t="s">
        <v>591</v>
      </c>
      <c r="C629" s="2462"/>
      <c r="D629" s="640"/>
      <c r="E629" s="2467" t="s">
        <v>1395</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5">
        <f>VLOOKUP($H$619,$AO$599:$AP$604,2,FALSE)+IF(R619=AO607,0,VLOOKUP($I$627,$AO$626:$AP$628,2,FALSE))</f>
        <v>6</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1683</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1346</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2" t="s">
        <v>591</v>
      </c>
      <c r="Y647" s="246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1400</v>
      </c>
      <c r="AG649" s="2450"/>
      <c r="AH649" s="2450"/>
      <c r="AI649" s="2450"/>
      <c r="AJ649" s="2450"/>
      <c r="AK649" s="2450"/>
      <c r="AL649" s="2450"/>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0" t="s">
        <v>687</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5">
        <f>VLOOKUP($H$651,$AO$618:$AP$620,2,FALSE)</f>
        <v>3</v>
      </c>
      <c r="AK653" s="2477"/>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7" t="s">
        <v>2054</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1346</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1400</v>
      </c>
      <c r="AG660" s="2450"/>
      <c r="AH660" s="2450"/>
      <c r="AI660" s="2450"/>
      <c r="AJ660" s="2450"/>
      <c r="AK660" s="2450"/>
      <c r="AL660" s="2450"/>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0" t="s">
        <v>509</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5">
        <f>VLOOKUP(H663,AT618:AU620,2,FALSE)</f>
        <v>2</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7" t="s">
        <v>1410</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1371</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7" t="s">
        <v>1411</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1391</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7" t="s">
        <v>1412</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1346</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591</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7" t="s">
        <v>1413</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1391</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7" t="s">
        <v>1414</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1346</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7" t="s">
        <v>1415</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1400</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7" t="s">
        <v>1416</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1417</v>
      </c>
      <c r="AG694" s="2450"/>
      <c r="AH694" s="2450"/>
      <c r="AI694" s="2450"/>
      <c r="AJ694" s="2450"/>
      <c r="AK694" s="2450"/>
      <c r="AL694" s="2450"/>
      <c r="AM694" s="594"/>
      <c r="AN694" s="595"/>
      <c r="AO694" s="609" t="s">
        <v>687</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0" t="s">
        <v>687</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5">
        <f>VLOOKUP($H$698,$AO$646:$AP$653,2,FALSE)</f>
        <v>5</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23</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23</v>
      </c>
    </row>
    <row r="704" spans="1:50" s="549" customFormat="1" ht="12.75" customHeight="1">
      <c r="A704" s="675"/>
      <c r="B704" s="536"/>
      <c r="C704" s="944"/>
      <c r="D704" s="659" t="s">
        <v>687</v>
      </c>
      <c r="E704" s="2537" t="s">
        <v>2145</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1346</v>
      </c>
      <c r="AG704" s="2450"/>
      <c r="AH704" s="2450"/>
      <c r="AI704" s="2450"/>
      <c r="AJ704" s="2450"/>
      <c r="AK704" s="2450"/>
      <c r="AL704" s="2450"/>
      <c r="AN704" s="595"/>
      <c r="AW704" s="22" t="s">
        <v>2140</v>
      </c>
      <c r="AX704" s="549">
        <f>Application!DE761</f>
        <v>0</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7" t="s">
        <v>2090</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1346</v>
      </c>
      <c r="AG707" s="2450"/>
      <c r="AH707" s="2450"/>
      <c r="AI707" s="2450"/>
      <c r="AJ707" s="2450"/>
      <c r="AK707" s="2450"/>
      <c r="AL707" s="2450"/>
      <c r="AN707" s="595"/>
      <c r="AW707" s="22" t="s">
        <v>2143</v>
      </c>
      <c r="AX707" s="549">
        <f>AX704+AX705+AX706</f>
        <v>0</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0</v>
      </c>
      <c r="AP708" s="2536"/>
      <c r="AW708" s="22" t="s">
        <v>2144</v>
      </c>
      <c r="AX708" s="549">
        <f>IFERROR(AX707/AX703,0)</f>
        <v>0</v>
      </c>
      <c r="AY708" s="549">
        <f>IFERROR(AX707/(AX703-AX702),0)</f>
        <v>0</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7" t="s">
        <v>2091</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1400</v>
      </c>
      <c r="AG712" s="2450"/>
      <c r="AH712" s="2450"/>
      <c r="AI712" s="2450"/>
      <c r="AJ712" s="2450"/>
      <c r="AK712" s="2450"/>
      <c r="AL712" s="2450"/>
      <c r="AN712" s="595"/>
      <c r="AO712" s="609" t="s">
        <v>509</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7" t="s">
        <v>1682</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0" t="s">
        <v>591</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5">
        <f>VLOOKUP($H$722,$AO$716:$AP$719,2,FALSE)</f>
        <v>0</v>
      </c>
      <c r="AK724" s="2477"/>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8" t="s">
        <v>1684</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1346</v>
      </c>
      <c r="AG728" s="2450"/>
      <c r="AH728" s="2450"/>
      <c r="AI728" s="2450"/>
      <c r="AJ728" s="2450"/>
      <c r="AK728" s="2450"/>
      <c r="AL728" s="2450"/>
      <c r="AM728" s="549"/>
      <c r="AN728" s="680"/>
      <c r="AP728" s="568" t="s">
        <v>1424</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9" t="s">
        <v>1427</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1400</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0" t="s">
        <v>591</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7" t="s">
        <v>1685</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1346</v>
      </c>
      <c r="AG742" s="2450"/>
      <c r="AH742" s="2450"/>
      <c r="AI742" s="2450"/>
      <c r="AJ742" s="2450"/>
      <c r="AK742" s="2450"/>
      <c r="AL742" s="2450"/>
      <c r="AM742" s="549"/>
      <c r="AN742" s="680"/>
      <c r="AT742" s="14"/>
      <c r="AU742" s="14"/>
      <c r="AV742" s="14"/>
      <c r="AW742" s="14"/>
      <c r="AX742" s="14"/>
      <c r="AY742" s="14"/>
      <c r="AZ742" s="14"/>
    </row>
    <row r="743" spans="1:81" s="568" customFormat="1">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7" t="s">
        <v>1431</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1400</v>
      </c>
      <c r="AG745" s="2450"/>
      <c r="AH745" s="2450"/>
      <c r="AI745" s="2450"/>
      <c r="AJ745" s="2450"/>
      <c r="AK745" s="2450"/>
      <c r="AL745" s="2450"/>
      <c r="AM745" s="549"/>
      <c r="AN745" s="680"/>
      <c r="AT745" s="14"/>
      <c r="AU745" s="14"/>
      <c r="AV745" s="14"/>
      <c r="AW745" s="14"/>
      <c r="AX745" s="14"/>
      <c r="AY745" s="14"/>
      <c r="AZ745" s="14"/>
    </row>
    <row r="746" spans="1:81" s="568" customFormat="1">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0" t="s">
        <v>687</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5">
        <f>VLOOKUP($H$748,$AO$679:$AP$681,2,FALSE)</f>
        <v>3</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7" t="s">
        <v>1434</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1346</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7" t="s">
        <v>1435</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1400</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0" t="s">
        <v>687</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5">
        <f>VLOOKUP($H$764,$AO$693:$AP$695,2,FALSE)</f>
        <v>3</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7" t="s">
        <v>1437</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1400</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7" t="s">
        <v>1438</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1417</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0" t="s">
        <v>687</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5">
        <f>VLOOKUP($H$776,$AO$710:$AP$712,2,FALSE)</f>
        <v>2</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7" t="s">
        <v>1681</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1400</v>
      </c>
      <c r="AG782" s="2450"/>
      <c r="AH782" s="2450"/>
      <c r="AI782" s="2450"/>
      <c r="AJ782" s="2450"/>
      <c r="AK782" s="2450"/>
      <c r="AL782" s="2450"/>
      <c r="AM782" s="611"/>
      <c r="AN782" s="680"/>
      <c r="AO782" s="549" t="s">
        <v>591</v>
      </c>
      <c r="AP782" s="669">
        <v>0</v>
      </c>
    </row>
    <row r="783" spans="1:74" s="568" customFormat="1" ht="13.7"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0" t="s">
        <v>1686</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1346</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0" t="s">
        <v>591</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7" t="s">
        <v>2640</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1346</v>
      </c>
      <c r="AG798" s="2450"/>
      <c r="AH798" s="2450"/>
      <c r="AI798" s="2450"/>
      <c r="AJ798" s="2450"/>
      <c r="AK798" s="2450"/>
      <c r="AL798" s="2450"/>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0" t="s">
        <v>545</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5">
        <f>VLOOKUP($H$803,$AO$797:$AP$798,2,FALSE)</f>
        <v>3</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7" t="s">
        <v>2602</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1371</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0" t="s">
        <v>591</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1558</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1559</v>
      </c>
      <c r="U824" s="2566"/>
      <c r="V824" s="2566"/>
      <c r="W824" s="2566"/>
      <c r="X824" s="2566"/>
      <c r="Y824" s="2567"/>
      <c r="Z824" s="2565" t="s">
        <v>1560</v>
      </c>
      <c r="AA824" s="2566"/>
      <c r="AB824" s="2566"/>
      <c r="AC824" s="2566"/>
      <c r="AD824" s="2566"/>
      <c r="AE824" s="2567"/>
      <c r="AF824" s="2565" t="s">
        <v>1561</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757</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1532</v>
      </c>
      <c r="B827" s="2545" t="s">
        <v>1307</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1541</v>
      </c>
      <c r="B828" s="2545" t="s">
        <v>1317</v>
      </c>
      <c r="C828" s="2545"/>
      <c r="D828" s="2545"/>
      <c r="E828" s="2545"/>
      <c r="F828" s="2545"/>
      <c r="G828" s="2545"/>
      <c r="H828" s="2545"/>
      <c r="I828" s="2545"/>
      <c r="J828" s="2545"/>
      <c r="K828" s="2545"/>
      <c r="L828" s="2545"/>
      <c r="M828" s="2545"/>
      <c r="N828" s="2545"/>
      <c r="O828" s="2545"/>
      <c r="P828" s="2545"/>
      <c r="Q828" s="2545"/>
      <c r="R828" s="2545"/>
      <c r="S828" s="2546"/>
      <c r="T828" s="2547">
        <f>AK108</f>
        <v>20</v>
      </c>
      <c r="U828" s="2548"/>
      <c r="V828" s="2548"/>
      <c r="W828" s="2548"/>
      <c r="X828" s="2548"/>
      <c r="Y828" s="2549"/>
      <c r="Z828" s="2550">
        <v>20</v>
      </c>
      <c r="AA828" s="2548"/>
      <c r="AB828" s="2548"/>
      <c r="AC828" s="2548"/>
      <c r="AD828" s="2548"/>
      <c r="AE828" s="2549"/>
      <c r="AF828" s="2543">
        <f>IF(T828&gt;Z828,Z828,T828)</f>
        <v>20</v>
      </c>
      <c r="AG828" s="2543"/>
      <c r="AH828" s="2543"/>
      <c r="AI828" s="2543"/>
      <c r="AJ828" s="2543"/>
      <c r="AK828" s="2543"/>
      <c r="AL828" s="814"/>
      <c r="AM828" s="594"/>
      <c r="AO828" s="812"/>
      <c r="AP828" s="812"/>
      <c r="AQ828" s="812"/>
    </row>
    <row r="829" spans="1:43">
      <c r="A829" s="815" t="s">
        <v>1562</v>
      </c>
      <c r="B829" s="2545" t="s">
        <v>1327</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1563</v>
      </c>
      <c r="B830" s="2545" t="s">
        <v>1564</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1565</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1566</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1355</v>
      </c>
      <c r="B833" s="2545" t="s">
        <v>1567</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1363</v>
      </c>
      <c r="B834" s="2545" t="s">
        <v>1364</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589</v>
      </c>
      <c r="B835" s="2545" t="s">
        <v>1568</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10</v>
      </c>
      <c r="U837" s="2571"/>
      <c r="V837" s="2571"/>
      <c r="W837" s="2571"/>
      <c r="X837" s="2571"/>
      <c r="Y837" s="2571"/>
      <c r="Z837" s="2576">
        <v>10</v>
      </c>
      <c r="AA837" s="2577"/>
      <c r="AB837" s="2577"/>
      <c r="AC837" s="2577"/>
      <c r="AD837" s="2577"/>
      <c r="AE837" s="2578"/>
      <c r="AF837" s="2576">
        <f>IF(T837&gt;Z837,Z837,T837)</f>
        <v>10</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4">
        <f>AK351</f>
        <v>10</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845</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1550</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1570</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1572</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9" t="s">
        <v>1573</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SUM(AF826:AK841)-AF842</f>
        <v>112</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cp:lastModifiedBy>
  <cp:lastPrinted>2026-01-27T22:09:23Z</cp:lastPrinted>
  <dcterms:created xsi:type="dcterms:W3CDTF">2007-12-27T18:26:28Z</dcterms:created>
  <dcterms:modified xsi:type="dcterms:W3CDTF">2026-02-02T22:27:14Z</dcterms:modified>
</cp:coreProperties>
</file>